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embeddings/oleObject70.bin" ContentType="application/vnd.openxmlformats-officedocument.oleObject"/>
  <Override PartName="/xl/embeddings/oleObject71.bin" ContentType="application/vnd.openxmlformats-officedocument.oleObject"/>
  <Override PartName="/xl/embeddings/oleObject72.bin" ContentType="application/vnd.openxmlformats-officedocument.oleObject"/>
  <Override PartName="/xl/embeddings/oleObject73.bin" ContentType="application/vnd.openxmlformats-officedocument.oleObject"/>
  <Override PartName="/xl/embeddings/oleObject74.bin" ContentType="application/vnd.openxmlformats-officedocument.oleObject"/>
  <Override PartName="/xl/embeddings/oleObject75.bin" ContentType="application/vnd.openxmlformats-officedocument.oleObject"/>
  <Override PartName="/xl/embeddings/oleObject76.bin" ContentType="application/vnd.openxmlformats-officedocument.oleObject"/>
  <Override PartName="/xl/embeddings/oleObject77.bin" ContentType="application/vnd.openxmlformats-officedocument.oleObject"/>
  <Override PartName="/xl/embeddings/oleObject78.bin" ContentType="application/vnd.openxmlformats-officedocument.oleObject"/>
  <Override PartName="/xl/embeddings/oleObject79.bin" ContentType="application/vnd.openxmlformats-officedocument.oleObject"/>
  <Override PartName="/xl/embeddings/oleObject80.bin" ContentType="application/vnd.openxmlformats-officedocument.oleObject"/>
  <Override PartName="/xl/embeddings/oleObject81.bin" ContentType="application/vnd.openxmlformats-officedocument.oleObject"/>
  <Override PartName="/xl/embeddings/oleObject82.bin" ContentType="application/vnd.openxmlformats-officedocument.oleObject"/>
  <Override PartName="/xl/embeddings/oleObject83.bin" ContentType="application/vnd.openxmlformats-officedocument.oleObject"/>
  <Override PartName="/xl/embeddings/oleObject84.bin" ContentType="application/vnd.openxmlformats-officedocument.oleObject"/>
  <Override PartName="/xl/embeddings/oleObject85.bin" ContentType="application/vnd.openxmlformats-officedocument.oleObject"/>
  <Override PartName="/xl/embeddings/oleObject86.bin" ContentType="application/vnd.openxmlformats-officedocument.oleObject"/>
  <Override PartName="/xl/embeddings/oleObject87.bin" ContentType="application/vnd.openxmlformats-officedocument.oleObject"/>
  <Override PartName="/xl/embeddings/oleObject88.bin" ContentType="application/vnd.openxmlformats-officedocument.oleObject"/>
  <Override PartName="/xl/embeddings/oleObject89.bin" ContentType="application/vnd.openxmlformats-officedocument.oleObject"/>
  <Override PartName="/xl/embeddings/oleObject90.bin" ContentType="application/vnd.openxmlformats-officedocument.oleObject"/>
  <Override PartName="/xl/embeddings/oleObject91.bin" ContentType="application/vnd.openxmlformats-officedocument.oleObject"/>
  <Override PartName="/xl/embeddings/oleObject92.bin" ContentType="application/vnd.openxmlformats-officedocument.oleObject"/>
  <Override PartName="/xl/embeddings/oleObject93.bin" ContentType="application/vnd.openxmlformats-officedocument.oleObject"/>
  <Override PartName="/xl/drawings/drawing2.xml" ContentType="application/vnd.openxmlformats-officedocument.drawing+xml"/>
  <Override PartName="/xl/embeddings/oleObject94.bin" ContentType="application/vnd.openxmlformats-officedocument.oleObject"/>
  <Override PartName="/xl/drawings/drawing3.xml" ContentType="application/vnd.openxmlformats-officedocument.drawing+xml"/>
  <Override PartName="/xl/embeddings/oleObject95.bin" ContentType="application/vnd.openxmlformats-officedocument.oleObject"/>
  <Override PartName="/xl/drawings/drawing4.xml" ContentType="application/vnd.openxmlformats-officedocument.drawing+xml"/>
  <Override PartName="/xl/embeddings/oleObject96.bin" ContentType="application/vnd.openxmlformats-officedocument.oleObject"/>
  <Override PartName="/xl/drawings/drawing5.xml" ContentType="application/vnd.openxmlformats-officedocument.drawing+xml"/>
  <Override PartName="/xl/embeddings/oleObject97.bin" ContentType="application/vnd.openxmlformats-officedocument.oleObject"/>
  <Override PartName="/xl/drawings/drawing6.xml" ContentType="application/vnd.openxmlformats-officedocument.drawing+xml"/>
  <Override PartName="/xl/embeddings/oleObject98.bin" ContentType="application/vnd.openxmlformats-officedocument.oleObject"/>
  <Override PartName="/xl/drawings/drawing7.xml" ContentType="application/vnd.openxmlformats-officedocument.drawing+xml"/>
  <Override PartName="/xl/embeddings/oleObject99.bin" ContentType="application/vnd.openxmlformats-officedocument.oleObject"/>
  <Override PartName="/xl/drawings/drawing8.xml" ContentType="application/vnd.openxmlformats-officedocument.drawing+xml"/>
  <Override PartName="/xl/embeddings/oleObject100.bin" ContentType="application/vnd.openxmlformats-officedocument.oleObject"/>
  <Override PartName="/xl/drawings/drawing9.xml" ContentType="application/vnd.openxmlformats-officedocument.drawing+xml"/>
  <Override PartName="/xl/embeddings/oleObject101.bin" ContentType="application/vnd.openxmlformats-officedocument.oleObject"/>
  <Override PartName="/xl/drawings/drawing10.xml" ContentType="application/vnd.openxmlformats-officedocument.drawing+xml"/>
  <Override PartName="/xl/embeddings/oleObject102.bin" ContentType="application/vnd.openxmlformats-officedocument.oleObject"/>
  <Override PartName="/xl/drawings/drawing11.xml" ContentType="application/vnd.openxmlformats-officedocument.drawing+xml"/>
  <Override PartName="/xl/embeddings/oleObject103.bin" ContentType="application/vnd.openxmlformats-officedocument.oleObject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embeddings/oleObject104.bin" ContentType="application/vnd.openxmlformats-officedocument.oleObject"/>
  <Override PartName="/xl/drawings/drawing22.xml" ContentType="application/vnd.openxmlformats-officedocument.drawing+xml"/>
  <Override PartName="/xl/embeddings/oleObject105.bin" ContentType="application/vnd.openxmlformats-officedocument.oleObject"/>
  <Override PartName="/xl/drawings/drawing23.xml" ContentType="application/vnd.openxmlformats-officedocument.drawing+xml"/>
  <Override PartName="/xl/embeddings/oleObject106.bin" ContentType="application/vnd.openxmlformats-officedocument.oleObject"/>
  <Override PartName="/xl/drawings/drawing24.xml" ContentType="application/vnd.openxmlformats-officedocument.drawing+xml"/>
  <Override PartName="/xl/embeddings/oleObject107.bin" ContentType="application/vnd.openxmlformats-officedocument.oleObject"/>
  <Override PartName="/xl/drawings/drawing25.xml" ContentType="application/vnd.openxmlformats-officedocument.drawing+xml"/>
  <Override PartName="/xl/embeddings/oleObject108.bin" ContentType="application/vnd.openxmlformats-officedocument.oleObject"/>
  <Override PartName="/xl/drawings/drawing26.xml" ContentType="application/vnd.openxmlformats-officedocument.drawing+xml"/>
  <Override PartName="/xl/embeddings/oleObject109.bin" ContentType="application/vnd.openxmlformats-officedocument.oleObject"/>
  <Override PartName="/xl/drawings/drawing27.xml" ContentType="application/vnd.openxmlformats-officedocument.drawing+xml"/>
  <Override PartName="/xl/embeddings/oleObject110.bin" ContentType="application/vnd.openxmlformats-officedocument.oleObject"/>
  <Override PartName="/xl/drawings/drawing28.xml" ContentType="application/vnd.openxmlformats-officedocument.drawing+xml"/>
  <Override PartName="/xl/embeddings/oleObject111.bin" ContentType="application/vnd.openxmlformats-officedocument.oleObject"/>
  <Override PartName="/xl/drawings/drawing29.xml" ContentType="application/vnd.openxmlformats-officedocument.drawing+xml"/>
  <Override PartName="/xl/embeddings/oleObject112.bin" ContentType="application/vnd.openxmlformats-officedocument.oleObject"/>
  <Override PartName="/xl/drawings/drawing30.xml" ContentType="application/vnd.openxmlformats-officedocument.drawing+xml"/>
  <Override PartName="/xl/embeddings/oleObject113.bin" ContentType="application/vnd.openxmlformats-officedocument.oleObject"/>
  <Override PartName="/xl/drawings/drawing31.xml" ContentType="application/vnd.openxmlformats-officedocument.drawing+xml"/>
  <Override PartName="/xl/embeddings/oleObject114.bin" ContentType="application/vnd.openxmlformats-officedocument.oleObject"/>
  <Override PartName="/xl/drawings/drawing32.xml" ContentType="application/vnd.openxmlformats-officedocument.drawing+xml"/>
  <Override PartName="/xl/embeddings/oleObject115.bin" ContentType="application/vnd.openxmlformats-officedocument.oleObject"/>
  <Override PartName="/xl/drawings/drawing33.xml" ContentType="application/vnd.openxmlformats-officedocument.drawing+xml"/>
  <Override PartName="/xl/embeddings/oleObject116.bin" ContentType="application/vnd.openxmlformats-officedocument.oleObject"/>
  <Override PartName="/xl/drawings/drawing34.xml" ContentType="application/vnd.openxmlformats-officedocument.drawing+xml"/>
  <Override PartName="/xl/embeddings/oleObject117.bin" ContentType="application/vnd.openxmlformats-officedocument.oleObject"/>
  <Override PartName="/xl/drawings/drawing35.xml" ContentType="application/vnd.openxmlformats-officedocument.drawing+xml"/>
  <Override PartName="/xl/embeddings/oleObject118.bin" ContentType="application/vnd.openxmlformats-officedocument.oleObject"/>
  <Override PartName="/xl/drawings/drawing36.xml" ContentType="application/vnd.openxmlformats-officedocument.drawing+xml"/>
  <Override PartName="/xl/embeddings/oleObject119.bin" ContentType="application/vnd.openxmlformats-officedocument.oleObject"/>
  <Override PartName="/xl/drawings/drawing37.xml" ContentType="application/vnd.openxmlformats-officedocument.drawing+xml"/>
  <Override PartName="/xl/embeddings/oleObject120.bin" ContentType="application/vnd.openxmlformats-officedocument.oleObject"/>
  <Override PartName="/xl/drawings/drawing38.xml" ContentType="application/vnd.openxmlformats-officedocument.drawing+xml"/>
  <Override PartName="/xl/embeddings/oleObject121.bin" ContentType="application/vnd.openxmlformats-officedocument.oleObject"/>
  <Override PartName="/xl/drawings/drawing39.xml" ContentType="application/vnd.openxmlformats-officedocument.drawing+xml"/>
  <Override PartName="/xl/embeddings/oleObject122.bin" ContentType="application/vnd.openxmlformats-officedocument.oleObject"/>
  <Override PartName="/xl/drawings/drawing40.xml" ContentType="application/vnd.openxmlformats-officedocument.drawing+xml"/>
  <Override PartName="/xl/embeddings/oleObject123.bin" ContentType="application/vnd.openxmlformats-officedocument.oleObject"/>
  <Override PartName="/xl/drawings/drawing41.xml" ContentType="application/vnd.openxmlformats-officedocument.drawing+xml"/>
  <Override PartName="/xl/embeddings/oleObject124.bin" ContentType="application/vnd.openxmlformats-officedocument.oleObject"/>
  <Override PartName="/xl/drawings/drawing42.xml" ContentType="application/vnd.openxmlformats-officedocument.drawing+xml"/>
  <Override PartName="/xl/embeddings/oleObject125.bin" ContentType="application/vnd.openxmlformats-officedocument.oleObject"/>
  <Override PartName="/xl/drawings/drawing43.xml" ContentType="application/vnd.openxmlformats-officedocument.drawing+xml"/>
  <Override PartName="/xl/embeddings/oleObject126.bin" ContentType="application/vnd.openxmlformats-officedocument.oleObject"/>
  <Override PartName="/xl/drawings/drawing44.xml" ContentType="application/vnd.openxmlformats-officedocument.drawing+xml"/>
  <Override PartName="/xl/embeddings/oleObject127.bin" ContentType="application/vnd.openxmlformats-officedocument.oleObject"/>
  <Override PartName="/xl/drawings/drawing45.xml" ContentType="application/vnd.openxmlformats-officedocument.drawing+xml"/>
  <Override PartName="/xl/embeddings/oleObject128.bin" ContentType="application/vnd.openxmlformats-officedocument.oleObject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embeddings/oleObject129.bin" ContentType="application/vnd.openxmlformats-officedocument.oleObject"/>
  <Override PartName="/xl/drawings/drawing53.xml" ContentType="application/vnd.openxmlformats-officedocument.drawing+xml"/>
  <Override PartName="/xl/embeddings/oleObject130.bin" ContentType="application/vnd.openxmlformats-officedocument.oleObject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embeddings/oleObject131.bin" ContentType="application/vnd.openxmlformats-officedocument.oleObject"/>
  <Override PartName="/xl/drawings/drawing76.xml" ContentType="application/vnd.openxmlformats-officedocument.drawing+xml"/>
  <Override PartName="/xl/embeddings/oleObject132.bin" ContentType="application/vnd.openxmlformats-officedocument.oleObject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embeddings/oleObject133.bin" ContentType="application/vnd.openxmlformats-officedocument.oleObject"/>
  <Override PartName="/xl/drawings/drawing80.xml" ContentType="application/vnd.openxmlformats-officedocument.drawing+xml"/>
  <Override PartName="/xl/embeddings/oleObject134.bin" ContentType="application/vnd.openxmlformats-officedocument.oleObject"/>
  <Override PartName="/xl/drawings/drawing81.xml" ContentType="application/vnd.openxmlformats-officedocument.drawing+xml"/>
  <Override PartName="/xl/embeddings/oleObject135.bin" ContentType="application/vnd.openxmlformats-officedocument.oleObject"/>
  <Override PartName="/xl/drawings/drawing82.xml" ContentType="application/vnd.openxmlformats-officedocument.drawing+xml"/>
  <Override PartName="/xl/embeddings/oleObject136.bin" ContentType="application/vnd.openxmlformats-officedocument.oleObject"/>
  <Override PartName="/xl/drawings/drawing83.xml" ContentType="application/vnd.openxmlformats-officedocument.drawing+xml"/>
  <Override PartName="/xl/embeddings/oleObject137.bin" ContentType="application/vnd.openxmlformats-officedocument.oleObject"/>
  <Override PartName="/xl/drawings/drawing84.xml" ContentType="application/vnd.openxmlformats-officedocument.drawing+xml"/>
  <Override PartName="/xl/embeddings/oleObject138.bin" ContentType="application/vnd.openxmlformats-officedocument.oleObject"/>
  <Override PartName="/xl/drawings/drawing85.xml" ContentType="application/vnd.openxmlformats-officedocument.drawing+xml"/>
  <Override PartName="/xl/embeddings/oleObject139.bin" ContentType="application/vnd.openxmlformats-officedocument.oleObject"/>
  <Override PartName="/xl/drawings/drawing86.xml" ContentType="application/vnd.openxmlformats-officedocument.drawing+xml"/>
  <Override PartName="/xl/embeddings/oleObject140.bin" ContentType="application/vnd.openxmlformats-officedocument.oleObject"/>
  <Override PartName="/xl/drawings/drawing87.xml" ContentType="application/vnd.openxmlformats-officedocument.drawing+xml"/>
  <Override PartName="/xl/embeddings/oleObject141.bin" ContentType="application/vnd.openxmlformats-officedocument.oleObject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embeddings/oleObject142.bin" ContentType="application/vnd.openxmlformats-officedocument.oleObject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embeddings/oleObject143.bin" ContentType="application/vnd.openxmlformats-officedocument.oleObject"/>
  <Override PartName="/xl/drawings/drawing96.xml" ContentType="application/vnd.openxmlformats-officedocument.drawing+xml"/>
  <Override PartName="/xl/embeddings/oleObject144.bin" ContentType="application/vnd.openxmlformats-officedocument.oleObject"/>
  <Override PartName="/xl/drawings/drawing97.xml" ContentType="application/vnd.openxmlformats-officedocument.drawing+xml"/>
  <Override PartName="/xl/embeddings/oleObject145.bin" ContentType="application/vnd.openxmlformats-officedocument.oleObject"/>
  <Override PartName="/xl/drawings/drawing98.xml" ContentType="application/vnd.openxmlformats-officedocument.drawing+xml"/>
  <Override PartName="/xl/embeddings/oleObject146.bin" ContentType="application/vnd.openxmlformats-officedocument.oleObject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embeddings/oleObject147.bin" ContentType="application/vnd.openxmlformats-officedocument.oleObject"/>
  <Override PartName="/xl/drawings/drawing124.xml" ContentType="application/vnd.openxmlformats-officedocument.drawing+xml"/>
  <Override PartName="/xl/embeddings/oleObject148.bin" ContentType="application/vnd.openxmlformats-officedocument.oleObject"/>
  <Override PartName="/xl/drawings/drawing125.xml" ContentType="application/vnd.openxmlformats-officedocument.drawing+xml"/>
  <Override PartName="/xl/embeddings/oleObject149.bin" ContentType="application/vnd.openxmlformats-officedocument.oleObject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embeddings/oleObject150.bin" ContentType="application/vnd.openxmlformats-officedocument.oleObject"/>
  <Override PartName="/xl/drawings/drawing172.xml" ContentType="application/vnd.openxmlformats-officedocument.drawing+xml"/>
  <Override PartName="/xl/embeddings/oleObject151.bin" ContentType="application/vnd.openxmlformats-officedocument.oleObject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embeddings/oleObject152.bin" ContentType="application/vnd.openxmlformats-officedocument.oleObject"/>
  <Override PartName="/xl/drawings/drawing175.xml" ContentType="application/vnd.openxmlformats-officedocument.drawing+xml"/>
  <Override PartName="/xl/embeddings/oleObject153.bin" ContentType="application/vnd.openxmlformats-officedocument.oleObject"/>
  <Override PartName="/xl/drawings/drawing176.xml" ContentType="application/vnd.openxmlformats-officedocument.drawing+xml"/>
  <Override PartName="/xl/embeddings/oleObject154.bin" ContentType="application/vnd.openxmlformats-officedocument.oleObject"/>
  <Override PartName="/xl/drawings/drawing177.xml" ContentType="application/vnd.openxmlformats-officedocument.drawing+xml"/>
  <Override PartName="/xl/embeddings/oleObject155.bin" ContentType="application/vnd.openxmlformats-officedocument.oleObject"/>
  <Override PartName="/xl/drawings/drawing178.xml" ContentType="application/vnd.openxmlformats-officedocument.drawing+xml"/>
  <Override PartName="/xl/embeddings/oleObject156.bin" ContentType="application/vnd.openxmlformats-officedocument.oleObject"/>
  <Override PartName="/xl/drawings/drawing179.xml" ContentType="application/vnd.openxmlformats-officedocument.drawing+xml"/>
  <Override PartName="/xl/embeddings/oleObject157.bin" ContentType="application/vnd.openxmlformats-officedocument.oleObject"/>
  <Override PartName="/xl/drawings/drawing180.xml" ContentType="application/vnd.openxmlformats-officedocument.drawing+xml"/>
  <Override PartName="/xl/embeddings/oleObject158.bin" ContentType="application/vnd.openxmlformats-officedocument.oleObject"/>
  <Override PartName="/xl/drawings/drawing181.xml" ContentType="application/vnd.openxmlformats-officedocument.drawing+xml"/>
  <Override PartName="/xl/embeddings/oleObject159.bin" ContentType="application/vnd.openxmlformats-officedocument.oleObject"/>
  <Override PartName="/xl/drawings/drawing182.xml" ContentType="application/vnd.openxmlformats-officedocument.drawing+xml"/>
  <Override PartName="/xl/embeddings/oleObject160.bin" ContentType="application/vnd.openxmlformats-officedocument.oleObject"/>
  <Override PartName="/xl/drawings/drawing183.xml" ContentType="application/vnd.openxmlformats-officedocument.drawing+xml"/>
  <Override PartName="/xl/embeddings/oleObject161.bin" ContentType="application/vnd.openxmlformats-officedocument.oleObject"/>
  <Override PartName="/xl/drawings/drawing184.xml" ContentType="application/vnd.openxmlformats-officedocument.drawing+xml"/>
  <Override PartName="/xl/embeddings/oleObject162.bin" ContentType="application/vnd.openxmlformats-officedocument.oleObject"/>
  <Override PartName="/xl/drawings/drawing185.xml" ContentType="application/vnd.openxmlformats-officedocument.drawing+xml"/>
  <Override PartName="/xl/embeddings/oleObject163.bin" ContentType="application/vnd.openxmlformats-officedocument.oleObject"/>
  <Override PartName="/xl/drawings/drawing186.xml" ContentType="application/vnd.openxmlformats-officedocument.drawing+xml"/>
  <Override PartName="/xl/embeddings/oleObject164.bin" ContentType="application/vnd.openxmlformats-officedocument.oleObject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drawings/drawing189.xml" ContentType="application/vnd.openxmlformats-officedocument.drawing+xml"/>
  <Override PartName="/xl/drawings/drawing190.xml" ContentType="application/vnd.openxmlformats-officedocument.drawing+xml"/>
  <Override PartName="/xl/drawings/drawing191.xml" ContentType="application/vnd.openxmlformats-officedocument.drawing+xml"/>
  <Override PartName="/xl/drawings/drawing192.xml" ContentType="application/vnd.openxmlformats-officedocument.drawing+xml"/>
  <Override PartName="/xl/drawings/drawing193.xml" ContentType="application/vnd.openxmlformats-officedocument.drawing+xml"/>
  <Override PartName="/xl/drawings/drawing194.xml" ContentType="application/vnd.openxmlformats-officedocument.drawing+xml"/>
  <Override PartName="/xl/drawings/drawing195.xml" ContentType="application/vnd.openxmlformats-officedocument.drawing+xml"/>
  <Override PartName="/xl/drawings/drawing196.xml" ContentType="application/vnd.openxmlformats-officedocument.drawing+xml"/>
  <Override PartName="/xl/drawings/drawing197.xml" ContentType="application/vnd.openxmlformats-officedocument.drawing+xml"/>
  <Override PartName="/xl/drawings/drawing198.xml" ContentType="application/vnd.openxmlformats-officedocument.drawing+xml"/>
  <Override PartName="/xl/drawings/drawing199.xml" ContentType="application/vnd.openxmlformats-officedocument.drawing+xml"/>
  <Override PartName="/xl/drawings/drawing200.xml" ContentType="application/vnd.openxmlformats-officedocument.drawing+xml"/>
  <Override PartName="/xl/drawings/drawing201.xml" ContentType="application/vnd.openxmlformats-officedocument.drawing+xml"/>
  <Override PartName="/xl/drawings/drawing202.xml" ContentType="application/vnd.openxmlformats-officedocument.drawing+xml"/>
  <Override PartName="/xl/drawings/drawing203.xml" ContentType="application/vnd.openxmlformats-officedocument.drawing+xml"/>
  <Override PartName="/xl/drawings/drawing204.xml" ContentType="application/vnd.openxmlformats-officedocument.drawing+xml"/>
  <Override PartName="/xl/drawings/drawing205.xml" ContentType="application/vnd.openxmlformats-officedocument.drawing+xml"/>
  <Override PartName="/xl/drawings/drawing206.xml" ContentType="application/vnd.openxmlformats-officedocument.drawing+xml"/>
  <Override PartName="/xl/drawings/drawing207.xml" ContentType="application/vnd.openxmlformats-officedocument.drawing+xml"/>
  <Override PartName="/xl/drawings/drawing208.xml" ContentType="application/vnd.openxmlformats-officedocument.drawing+xml"/>
  <Override PartName="/xl/drawings/drawing209.xml" ContentType="application/vnd.openxmlformats-officedocument.drawing+xml"/>
  <Override PartName="/xl/drawings/drawing210.xml" ContentType="application/vnd.openxmlformats-officedocument.drawing+xml"/>
  <Override PartName="/xl/drawings/drawing211.xml" ContentType="application/vnd.openxmlformats-officedocument.drawing+xml"/>
  <Override PartName="/xl/drawings/drawing212.xml" ContentType="application/vnd.openxmlformats-officedocument.drawing+xml"/>
  <Override PartName="/xl/drawings/drawing213.xml" ContentType="application/vnd.openxmlformats-officedocument.drawing+xml"/>
  <Override PartName="/xl/drawings/drawing214.xml" ContentType="application/vnd.openxmlformats-officedocument.drawing+xml"/>
  <Override PartName="/xl/drawings/drawing215.xml" ContentType="application/vnd.openxmlformats-officedocument.drawing+xml"/>
  <Override PartName="/xl/drawings/drawing216.xml" ContentType="application/vnd.openxmlformats-officedocument.drawing+xml"/>
  <Override PartName="/xl/drawings/drawing217.xml" ContentType="application/vnd.openxmlformats-officedocument.drawing+xml"/>
  <Override PartName="/xl/drawings/drawing218.xml" ContentType="application/vnd.openxmlformats-officedocument.drawing+xml"/>
  <Override PartName="/xl/drawings/drawing219.xml" ContentType="application/vnd.openxmlformats-officedocument.drawing+xml"/>
  <Override PartName="/xl/drawings/drawing220.xml" ContentType="application/vnd.openxmlformats-officedocument.drawing+xml"/>
  <Override PartName="/xl/drawings/drawing221.xml" ContentType="application/vnd.openxmlformats-officedocument.drawing+xml"/>
  <Override PartName="/xl/drawings/drawing222.xml" ContentType="application/vnd.openxmlformats-officedocument.drawing+xml"/>
  <Override PartName="/xl/drawings/drawing223.xml" ContentType="application/vnd.openxmlformats-officedocument.drawing+xml"/>
  <Override PartName="/xl/drawings/drawing224.xml" ContentType="application/vnd.openxmlformats-officedocument.drawing+xml"/>
  <Override PartName="/xl/drawings/drawing225.xml" ContentType="application/vnd.openxmlformats-officedocument.drawing+xml"/>
  <Override PartName="/xl/embeddings/oleObject165.bin" ContentType="application/vnd.openxmlformats-officedocument.oleObject"/>
  <Override PartName="/xl/embeddings/oleObject166.bin" ContentType="application/vnd.openxmlformats-officedocument.oleObject"/>
  <Override PartName="/xl/embeddings/oleObject167.bin" ContentType="application/vnd.openxmlformats-officedocument.oleObject"/>
  <Override PartName="/xl/drawings/drawing226.xml" ContentType="application/vnd.openxmlformats-officedocument.drawing+xml"/>
  <Override PartName="/xl/embeddings/oleObject168.bin" ContentType="application/vnd.openxmlformats-officedocument.oleObject"/>
  <Override PartName="/xl/embeddings/oleObject169.bin" ContentType="application/vnd.openxmlformats-officedocument.oleObject"/>
  <Override PartName="/xl/embeddings/oleObject170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onard.yegon\Desktop\Leo ERC_Updated\Petroleum Pricing\PETROLEUM PRICES\PRICES\MONTHLY PRICES\2023\March 2023\"/>
    </mc:Choice>
  </mc:AlternateContent>
  <xr:revisionPtr revIDLastSave="0" documentId="13_ncr:1_{74B68B7A-CB3C-47B6-B411-8EFA47363E92}" xr6:coauthVersionLast="36" xr6:coauthVersionMax="36" xr10:uidLastSave="{00000000-0000-0000-0000-000000000000}"/>
  <bookViews>
    <workbookView xWindow="0" yWindow="0" windowWidth="19200" windowHeight="6350" tabRatio="862" firstSheet="2" activeTab="9" xr2:uid="{00000000-000D-0000-FFFF-FFFF00000000}"/>
  </bookViews>
  <sheets>
    <sheet name="Exchange Rates Feb 23" sheetId="563" r:id="rId1"/>
    <sheet name="PMS Import" sheetId="20" r:id="rId2"/>
    <sheet name="AGO Import" sheetId="133" r:id="rId3"/>
    <sheet name="DPK Import" sheetId="22" r:id="rId4"/>
    <sheet name="WEIGHTED AVERAGE COST" sheetId="11" r:id="rId5"/>
    <sheet name="RMS Cargos" sheetId="23" state="hidden" r:id="rId6"/>
    <sheet name="PMS SUMMARY" sheetId="129" r:id="rId7"/>
    <sheet name="AGO SUMMARY" sheetId="130" r:id="rId8"/>
    <sheet name="DPK SUMMARY" sheetId="131" r:id="rId9"/>
    <sheet name="VAT Breakdown for PMS_AGO_DPK" sheetId="215" r:id="rId10"/>
    <sheet name="VAT Breakdown for PUBLICATION" sheetId="293" state="hidden" r:id="rId11"/>
    <sheet name="Breakdown for PMS, AGO &amp; DPK" sheetId="132" r:id="rId12"/>
    <sheet name="Mombasa" sheetId="17" r:id="rId13"/>
    <sheet name="MOMBASA_PRICE VAT Inclusive" sheetId="137" r:id="rId14"/>
    <sheet name="Kilifi" sheetId="64" r:id="rId15"/>
    <sheet name="KILIFI_PRICE VAT Inclusive" sheetId="138" r:id="rId16"/>
    <sheet name="Likoni Mainland" sheetId="70" r:id="rId17"/>
    <sheet name="LIKONI_PRICE VAT Inclusive" sheetId="139" r:id="rId18"/>
    <sheet name="Lungalunga" sheetId="85" r:id="rId19"/>
    <sheet name="LUNGALUNGA_PRICE VAT Inclusive" sheetId="140" r:id="rId20"/>
    <sheet name="Kwale" sheetId="65" r:id="rId21"/>
    <sheet name="KWALE_PRICE VAT Inclusive" sheetId="141" r:id="rId22"/>
    <sheet name="Malindi" sheetId="27" r:id="rId23"/>
    <sheet name="MALINDI_PRICE VAT Inclusive" sheetId="142" r:id="rId24"/>
    <sheet name="Voi" sheetId="37" r:id="rId25"/>
    <sheet name="Voi_Price VAT Inclusive" sheetId="144" r:id="rId26"/>
    <sheet name="Taveta" sheetId="49" r:id="rId27"/>
    <sheet name="Taveta_Price VAT Inclusive" sheetId="145" r:id="rId28"/>
    <sheet name="Lamu" sheetId="40" r:id="rId29"/>
    <sheet name="Lamu_Price VAT Inclusive" sheetId="146" r:id="rId30"/>
    <sheet name="Hola" sheetId="211" r:id="rId31"/>
    <sheet name="Hola_Price VAT Inclusive" sheetId="212" r:id="rId32"/>
    <sheet name="Minjila" sheetId="390" r:id="rId33"/>
    <sheet name="Minjila_Price VAT Inclusive" sheetId="391" r:id="rId34"/>
    <sheet name="Samburu" sheetId="394" r:id="rId35"/>
    <sheet name="Samburu_Price VAT Inclusive" sheetId="395" r:id="rId36"/>
    <sheet name="Taru" sheetId="396" r:id="rId37"/>
    <sheet name="Taru_Price VAT Inclusive" sheetId="397" r:id="rId38"/>
    <sheet name="Mpeketoni" sheetId="408" r:id="rId39"/>
    <sheet name="Mpeketoni_Price VAT Inclusive" sheetId="389" r:id="rId40"/>
    <sheet name="Garsen" sheetId="392" r:id="rId41"/>
    <sheet name="Garsen_Price VAT Inclusive" sheetId="393" r:id="rId42"/>
    <sheet name="Mwatate" sheetId="399" r:id="rId43"/>
    <sheet name="Mwatate_Price VAT Inclusive" sheetId="400" r:id="rId44"/>
    <sheet name="Wundanyi" sheetId="401" r:id="rId45"/>
    <sheet name="Wundanyi_Price VAT Inclusive" sheetId="402" r:id="rId46"/>
    <sheet name="Kaloleni" sheetId="403" r:id="rId47"/>
    <sheet name="Kaloleni_Price VAT Inclusive" sheetId="404" r:id="rId48"/>
    <sheet name="Marereni" sheetId="398" r:id="rId49"/>
    <sheet name="Marereni_Price VAT Inclusive" sheetId="405" r:id="rId50"/>
    <sheet name="Nairobi" sheetId="19" r:id="rId51"/>
    <sheet name="Nairobi_Price VAT Inclusive" sheetId="182" r:id="rId52"/>
    <sheet name="Thika" sheetId="71" r:id="rId53"/>
    <sheet name="Thika_Price VAT Inclusive" sheetId="183" r:id="rId54"/>
    <sheet name="Machakos" sheetId="56" r:id="rId55"/>
    <sheet name="Machakos_Price VAT Inclusive" sheetId="184" r:id="rId56"/>
    <sheet name="Namanga" sheetId="86" r:id="rId57"/>
    <sheet name="Namanga_Price VAT Inclusive" sheetId="185" r:id="rId58"/>
    <sheet name="Kajiado" sheetId="61" r:id="rId59"/>
    <sheet name="Kajiado_Price VAT Inclusive" sheetId="186" r:id="rId60"/>
    <sheet name="Muranga" sheetId="57" r:id="rId61"/>
    <sheet name="Muranga_Price VAT Inclusive" sheetId="187" r:id="rId62"/>
    <sheet name="Embu" sheetId="54" r:id="rId63"/>
    <sheet name="Embu_Price VAT Inclusive" sheetId="188" r:id="rId64"/>
    <sheet name="Kerugoya" sheetId="80" r:id="rId65"/>
    <sheet name="Kerugoya_Price VAT Inclusive" sheetId="189" r:id="rId66"/>
    <sheet name="Kiganjo" sheetId="87" r:id="rId67"/>
    <sheet name="Kiganjo_Price VAT Inclusive" sheetId="190" r:id="rId68"/>
    <sheet name="Makuyu" sheetId="88" r:id="rId69"/>
    <sheet name="Makuyu_Price VAT Inclusive" sheetId="191" r:id="rId70"/>
    <sheet name="Sagana" sheetId="89" r:id="rId71"/>
    <sheet name="Sagana_Price VAT Inclusive" sheetId="192" r:id="rId72"/>
    <sheet name="Narok" sheetId="66" r:id="rId73"/>
    <sheet name="Narok_Price VAT Inclusive" sheetId="193" r:id="rId74"/>
    <sheet name="Nyeri" sheetId="38" r:id="rId75"/>
    <sheet name="Nyeri-Price VAT Inclusive" sheetId="194" r:id="rId76"/>
    <sheet name="Kitui" sheetId="55" r:id="rId77"/>
    <sheet name="Kitui_Price VAT Inclusive" sheetId="195" r:id="rId78"/>
    <sheet name="Mwingi" sheetId="81" r:id="rId79"/>
    <sheet name="Mwingi_Price VAT Inclusive" sheetId="196" r:id="rId80"/>
    <sheet name="Nanyuki" sheetId="52" r:id="rId81"/>
    <sheet name="Nanyuki_Price VAT Inclusive" sheetId="197" r:id="rId82"/>
    <sheet name="Mtito Andei" sheetId="77" r:id="rId83"/>
    <sheet name="Mtito Andei_Price VAT Inclusive" sheetId="198" r:id="rId84"/>
    <sheet name="Chuka" sheetId="92" r:id="rId85"/>
    <sheet name="Chuka_Price VAT Inclusive" sheetId="199" r:id="rId86"/>
    <sheet name="Nkubu" sheetId="91" r:id="rId87"/>
    <sheet name="Nkubu_Price VAT Inclusive" sheetId="200" r:id="rId88"/>
    <sheet name="Meru" sheetId="29" r:id="rId89"/>
    <sheet name="Meru-Price VAT Inclusive" sheetId="201" r:id="rId90"/>
    <sheet name="Isiolo" sheetId="53" r:id="rId91"/>
    <sheet name="Isiolo_Price VAT Inclusive" sheetId="202" r:id="rId92"/>
    <sheet name="Maua" sheetId="83" r:id="rId93"/>
    <sheet name="Maua_Price VAT Inclusive" sheetId="203" r:id="rId94"/>
    <sheet name="Garissa" sheetId="39" r:id="rId95"/>
    <sheet name="Garissa_Price VAT Inclusive" sheetId="204" r:id="rId96"/>
    <sheet name="Marsabit" sheetId="47" r:id="rId97"/>
    <sheet name="Marsabit_Price VAT Inclusive" sheetId="205" r:id="rId98"/>
    <sheet name="Liboi" sheetId="93" r:id="rId99"/>
    <sheet name="Liboi_Price VAT Inclusive" sheetId="206" r:id="rId100"/>
    <sheet name="Moyale" sheetId="217" r:id="rId101"/>
    <sheet name="Moyale_Price VAT Inclusive" sheetId="218" r:id="rId102"/>
    <sheet name="Sololo" sheetId="222" r:id="rId103"/>
    <sheet name="Sololo_Price VAT Inclusive" sheetId="223" r:id="rId104"/>
    <sheet name="Habaswein" sheetId="224" r:id="rId105"/>
    <sheet name="Habaswein_Price VAT Inclusive" sheetId="225" r:id="rId106"/>
    <sheet name="Dadaab" sheetId="226" r:id="rId107"/>
    <sheet name="Dadaab_Price VAT Inclusive" sheetId="227" r:id="rId108"/>
    <sheet name="Tarbaj" sheetId="228" r:id="rId109"/>
    <sheet name="Tarbaj_Price VAT Inclusive" sheetId="229" r:id="rId110"/>
    <sheet name="Elwak" sheetId="230" r:id="rId111"/>
    <sheet name="Elwak_Price VAT Inclusive" sheetId="231" r:id="rId112"/>
    <sheet name="Wajir" sheetId="50" r:id="rId113"/>
    <sheet name="Wajir_Price VAT Inclusive" sheetId="207" r:id="rId114"/>
    <sheet name="Mandera" sheetId="51" r:id="rId115"/>
    <sheet name="Mandera_Price VAT Inclusive" sheetId="208" r:id="rId116"/>
    <sheet name="Modogashe" sheetId="308" r:id="rId117"/>
    <sheet name="Modogashe_Price VAT Inclusive" sheetId="309" r:id="rId118"/>
    <sheet name="Matuu" sheetId="409" r:id="rId119"/>
    <sheet name="Matuu_Price VAT Inclusive" sheetId="410" r:id="rId120"/>
    <sheet name="Merti" sheetId="411" r:id="rId121"/>
    <sheet name="Merti_Price VAT Inclusive" sheetId="412" r:id="rId122"/>
    <sheet name="Oldonyiro" sheetId="413" r:id="rId123"/>
    <sheet name="Oldonyiro_Price VAT Inclusive" sheetId="414" r:id="rId124"/>
    <sheet name="Eldas" sheetId="415" r:id="rId125"/>
    <sheet name="Eldas_Price VAT Inclusive" sheetId="416" r:id="rId126"/>
    <sheet name="Bute" sheetId="417" r:id="rId127"/>
    <sheet name="Bute_Price VAT Inclusive" sheetId="418" r:id="rId128"/>
    <sheet name="Hadado" sheetId="419" r:id="rId129"/>
    <sheet name="Hadado_Price VAT Inclusive" sheetId="420" r:id="rId130"/>
    <sheet name="Mai Mahiu" sheetId="421" r:id="rId131"/>
    <sheet name="Mai Mahiu_Price VAT Inclusive" sheetId="422" r:id="rId132"/>
    <sheet name="Doldo" sheetId="423" r:id="rId133"/>
    <sheet name="Doldo_Price VAT Inclusive" sheetId="424" r:id="rId134"/>
    <sheet name="Lamuria" sheetId="425" r:id="rId135"/>
    <sheet name="Lamuria_Price VAT Inclusive" sheetId="426" r:id="rId136"/>
    <sheet name="Sipili" sheetId="429" r:id="rId137"/>
    <sheet name="Sipili_Price VAT Inclusive" sheetId="430" r:id="rId138"/>
    <sheet name="Marimanti" sheetId="431" r:id="rId139"/>
    <sheet name="Marimanti_Price VAT Inclusive" sheetId="432" r:id="rId140"/>
    <sheet name="Mutuobare" sheetId="433" r:id="rId141"/>
    <sheet name="Mutuobare_Price VAT Inclusive" sheetId="434" r:id="rId142"/>
    <sheet name="North Horr" sheetId="435" r:id="rId143"/>
    <sheet name="Nort Horr_Price VAT Inclusive" sheetId="436" r:id="rId144"/>
    <sheet name="Maikona" sheetId="437" r:id="rId145"/>
    <sheet name="Maikona_Price VAT Inclusive" sheetId="438" r:id="rId146"/>
    <sheet name="Kalacha" sheetId="439" r:id="rId147"/>
    <sheet name="Kalacha_Price VAT Inclusive" sheetId="440" r:id="rId148"/>
    <sheet name="Loyangalani" sheetId="441" r:id="rId149"/>
    <sheet name="Loyangalani_Price VAT Inclusive" sheetId="442" r:id="rId150"/>
    <sheet name="Turbi" sheetId="443" r:id="rId151"/>
    <sheet name="Turbi_Price VAT Inclusive" sheetId="444" r:id="rId152"/>
    <sheet name="Laisamis" sheetId="445" r:id="rId153"/>
    <sheet name="Laisamis_Price VAT Inclusive" sheetId="446" r:id="rId154"/>
    <sheet name="Merille" sheetId="447" r:id="rId155"/>
    <sheet name="Merille_Price VAT Inclusive" sheetId="448" r:id="rId156"/>
    <sheet name="Korr" sheetId="449" r:id="rId157"/>
    <sheet name="Korr_Price VAT Inclusive" sheetId="450" r:id="rId158"/>
    <sheet name="Nakuru" sheetId="18" r:id="rId159"/>
    <sheet name="Nakuru-Price VAT Inclusive" sheetId="170" r:id="rId160"/>
    <sheet name="Nyahururu" sheetId="32" r:id="rId161"/>
    <sheet name="Nyahururu_Price VAT Inclusive" sheetId="171" r:id="rId162"/>
    <sheet name="Archers Post" sheetId="234" r:id="rId163"/>
    <sheet name="ArchersPost_Price VAT Inclusive" sheetId="221" r:id="rId164"/>
    <sheet name="Lodosoit" sheetId="232" r:id="rId165"/>
    <sheet name="Lodosoit_Price VAT Inclusive" sheetId="233" r:id="rId166"/>
    <sheet name="Naivasha" sheetId="41" r:id="rId167"/>
    <sheet name="Naivasha_Price VAT Inclusive" sheetId="172" r:id="rId168"/>
    <sheet name="Gilgil" sheetId="95" r:id="rId169"/>
    <sheet name="Gilgil_Price VAT Inclusive" sheetId="173" r:id="rId170"/>
    <sheet name="Molo" sheetId="96" r:id="rId171"/>
    <sheet name="Molo_Price VAT Inclusive" sheetId="174" r:id="rId172"/>
    <sheet name="Olenguruone" sheetId="135" r:id="rId173"/>
    <sheet name="Olenguruone_Price VAT Inclusive" sheetId="175" r:id="rId174"/>
    <sheet name="Mogotio" sheetId="97" r:id="rId175"/>
    <sheet name="Mogotio_Price VAT Inclusive" sheetId="176" r:id="rId176"/>
    <sheet name="Kabarnet" sheetId="75" r:id="rId177"/>
    <sheet name="Kabarnet_Price VAT Inclusive" sheetId="177" r:id="rId178"/>
    <sheet name="Londiani" sheetId="100" r:id="rId179"/>
    <sheet name="Londiani_Price VAT Inclusive" sheetId="179" r:id="rId180"/>
    <sheet name="Marigat" sheetId="98" r:id="rId181"/>
    <sheet name="Marigat_Price VAT Inclusive" sheetId="180" r:id="rId182"/>
    <sheet name="Maralal" sheetId="63" r:id="rId183"/>
    <sheet name="Maralal_Price VAT Inclusive" sheetId="181" r:id="rId184"/>
    <sheet name="Wamba" sheetId="452" r:id="rId185"/>
    <sheet name="Wamba_Price VAT Inclusive" sheetId="453" r:id="rId186"/>
    <sheet name="Rumuruti" sheetId="561" r:id="rId187"/>
    <sheet name="Rumuruti_Price VAT Inclusive" sheetId="562" r:id="rId188"/>
    <sheet name="Eldoret" sheetId="16" r:id="rId189"/>
    <sheet name="Eldoret_Price VAT Inclusive" sheetId="162" r:id="rId190"/>
    <sheet name="Kiplombe" sheetId="310" r:id="rId191"/>
    <sheet name="Kiplombe_Price VAT Inclusive" sheetId="311" r:id="rId192"/>
    <sheet name="Iten" sheetId="383" r:id="rId193"/>
    <sheet name="Iten_Price VAT Inclusive" sheetId="384" r:id="rId194"/>
    <sheet name="Naiberi" sheetId="312" r:id="rId195"/>
    <sheet name="Naiberi_Price VAT Inclusive" sheetId="313" r:id="rId196"/>
    <sheet name="Kesses" sheetId="314" r:id="rId197"/>
    <sheet name="Kesses_Price VAT Inclusive" sheetId="315" r:id="rId198"/>
    <sheet name="Kapsabet" sheetId="59" r:id="rId199"/>
    <sheet name="Kapsabet_Price VAT Inclusive" sheetId="163" r:id="rId200"/>
    <sheet name="Kitale" sheetId="43" r:id="rId201"/>
    <sheet name="Kitale_Prive VAT Inclusive" sheetId="164" r:id="rId202"/>
    <sheet name="Kapenguria" sheetId="73" r:id="rId203"/>
    <sheet name="Kapenguria_Price VAT Inclusive" sheetId="165" r:id="rId204"/>
    <sheet name="Bungoma" sheetId="34" r:id="rId205"/>
    <sheet name="Bungoma_Price VAT Inclusive" sheetId="166" r:id="rId206"/>
    <sheet name="Moiben" sheetId="235" r:id="rId207"/>
    <sheet name="Moiben_Price VAT Inclusive" sheetId="236" r:id="rId208"/>
    <sheet name="Matunda" sheetId="237" r:id="rId209"/>
    <sheet name="Matunda_Price VAT Inclusive" sheetId="238" r:id="rId210"/>
    <sheet name="Burnt Forest" sheetId="239" r:id="rId211"/>
    <sheet name="Burnt Fores_Price VAT Inclusive" sheetId="240" r:id="rId212"/>
    <sheet name="Tambach" sheetId="241" r:id="rId213"/>
    <sheet name="Tambach_Price VAT Inclusive" sheetId="242" r:id="rId214"/>
    <sheet name="Kapsowar" sheetId="243" r:id="rId215"/>
    <sheet name="Kapsowar_Price VAT Inclusive" sheetId="244" r:id="rId216"/>
    <sheet name="Chebara" sheetId="245" r:id="rId217"/>
    <sheet name="Chebara_Price VAT Inclusive" sheetId="246" r:id="rId218"/>
    <sheet name="Kimwarer" sheetId="247" r:id="rId219"/>
    <sheet name="Kimwarer_Price VAT Inclusive" sheetId="284" r:id="rId220"/>
    <sheet name="Timboroa" sheetId="248" r:id="rId221"/>
    <sheet name="Timboroa_Price VAT Inclusive" sheetId="249" r:id="rId222"/>
    <sheet name="Nandi Hills" sheetId="285" r:id="rId223"/>
    <sheet name="Nandi Hills_Price VAT Inclusive" sheetId="250" r:id="rId224"/>
    <sheet name="Kaiboi" sheetId="251" r:id="rId225"/>
    <sheet name="Kaiboi_Price VAT Inclusive" sheetId="252" r:id="rId226"/>
    <sheet name="Kiminini" sheetId="253" r:id="rId227"/>
    <sheet name="Kiminini_Price VAT Inclusive" sheetId="254" r:id="rId228"/>
    <sheet name="Endebes" sheetId="255" r:id="rId229"/>
    <sheet name="Endebes_Price VAT Inclusive" sheetId="256" r:id="rId230"/>
    <sheet name="Saboti" sheetId="257" r:id="rId231"/>
    <sheet name="Saboti_Price VAT Inclusive" sheetId="258" r:id="rId232"/>
    <sheet name="Chepareria" sheetId="259" r:id="rId233"/>
    <sheet name="Chepareria_Price VAT Inclusive" sheetId="260" r:id="rId234"/>
    <sheet name="Lomut" sheetId="261" r:id="rId235"/>
    <sheet name="Lomut_Price VAT Inclusive" sheetId="262" r:id="rId236"/>
    <sheet name="Burgich" sheetId="263" r:id="rId237"/>
    <sheet name="Burgich_Price VAT Inclusive" sheetId="264" r:id="rId238"/>
    <sheet name="Sigor" sheetId="265" r:id="rId239"/>
    <sheet name="Sigor_Price VAT Inclusive" sheetId="266" r:id="rId240"/>
    <sheet name="Lodwar" sheetId="267" r:id="rId241"/>
    <sheet name="Lodwar_Price VAT Inclusive" sheetId="268" r:id="rId242"/>
    <sheet name="Kakuma" sheetId="269" r:id="rId243"/>
    <sheet name="Kakuma_Price VAT Inclusive" sheetId="271" r:id="rId244"/>
    <sheet name="Lokichar" sheetId="272" r:id="rId245"/>
    <sheet name="Lokichar_Price VAT Inclusive" sheetId="273" r:id="rId246"/>
    <sheet name="Kalokol" sheetId="274" r:id="rId247"/>
    <sheet name="Kalokol_Price VAT Inclusive" sheetId="275" r:id="rId248"/>
    <sheet name="Lokori" sheetId="276" r:id="rId249"/>
    <sheet name="Lokori_Price VAT Inclusive" sheetId="277" r:id="rId250"/>
    <sheet name="Lokitaung" sheetId="278" r:id="rId251"/>
    <sheet name="Lokitaung_Price VAT Inclusive" sheetId="279" r:id="rId252"/>
    <sheet name="Kapedo" sheetId="280" r:id="rId253"/>
    <sheet name="Kapedo_Price VAT Inclusive" sheetId="282" r:id="rId254"/>
    <sheet name="Webuye" sheetId="101" r:id="rId255"/>
    <sheet name="Webuye_Price VAT Inclusive" sheetId="167" r:id="rId256"/>
    <sheet name="Malaba" sheetId="82" r:id="rId257"/>
    <sheet name="Malaba_Price VAT Inclusive" sheetId="168" r:id="rId258"/>
    <sheet name="Lokichogio" sheetId="42" r:id="rId259"/>
    <sheet name="Lokichogio_Price VAT Inclusive" sheetId="169" r:id="rId260"/>
    <sheet name="Ziwa" sheetId="316" r:id="rId261"/>
    <sheet name="Ziwa_Price VAT INclusive" sheetId="317" r:id="rId262"/>
    <sheet name="Soy" sheetId="318" r:id="rId263"/>
    <sheet name="Soy_Price VAT Inclusive" sheetId="319" r:id="rId264"/>
    <sheet name="Moi's Bridge" sheetId="320" r:id="rId265"/>
    <sheet name="Moi's Bridge_Price VAT Inclusiv" sheetId="321" r:id="rId266"/>
    <sheet name="Turbo" sheetId="322" r:id="rId267"/>
    <sheet name="Turbo_Price VAT Inclusive" sheetId="323" r:id="rId268"/>
    <sheet name="Kibish" sheetId="324" r:id="rId269"/>
    <sheet name="Kibish _Prive VAT Inclusive" sheetId="325" r:id="rId270"/>
    <sheet name="Nakalale" sheetId="326" r:id="rId271"/>
    <sheet name="Nakalale_Price VAT Inclusive" sheetId="327" r:id="rId272"/>
    <sheet name="Loima" sheetId="328" r:id="rId273"/>
    <sheet name="Loima_Price VAT Inclusive" sheetId="329" r:id="rId274"/>
    <sheet name="Lokiriama" sheetId="330" r:id="rId275"/>
    <sheet name="Lokiriama_Price VAT Inclusive" sheetId="331" r:id="rId276"/>
    <sheet name="Kainuk" sheetId="332" r:id="rId277"/>
    <sheet name="Kainuk_Price VAT Inclusive" sheetId="333" r:id="rId278"/>
    <sheet name="Kacheliba" sheetId="334" r:id="rId279"/>
    <sheet name="Kacheliba_Price VAT Inclusive" sheetId="335" r:id="rId280"/>
    <sheet name="Kiwawa" sheetId="336" r:id="rId281"/>
    <sheet name="Kiwawa_Price VAT Inclusive" sheetId="337" r:id="rId282"/>
    <sheet name="Ortum" sheetId="338" r:id="rId283"/>
    <sheet name="Ortum_Price VAT Inclusive" sheetId="339" r:id="rId284"/>
    <sheet name="Kachibora" sheetId="340" r:id="rId285"/>
    <sheet name="Kachibora_Price VAT Inclusive" sheetId="341" r:id="rId286"/>
    <sheet name="Kwanza" sheetId="342" r:id="rId287"/>
    <sheet name="Kwanza_Price VAT Inclusive" sheetId="343" r:id="rId288"/>
    <sheet name="Kaplamai" sheetId="344" r:id="rId289"/>
    <sheet name="Kaplamai_Price VAT Inclusive" sheetId="345" r:id="rId290"/>
    <sheet name="Eldama Ravine" sheetId="346" r:id="rId291"/>
    <sheet name="Eldama Ravine_Price VAT Inclusi" sheetId="347" r:id="rId292"/>
    <sheet name="Tenges" sheetId="348" r:id="rId293"/>
    <sheet name="Tenges_Price VAT Inclusive" sheetId="349" r:id="rId294"/>
    <sheet name="Barwessa" sheetId="350" r:id="rId295"/>
    <sheet name="Barwessa_Price VAT Inclusive" sheetId="351" r:id="rId296"/>
    <sheet name="Kipsaraman" sheetId="352" r:id="rId297"/>
    <sheet name="Kipsaraman_Price VAT Inclusive" sheetId="353" r:id="rId298"/>
    <sheet name="Loruk" sheetId="354" r:id="rId299"/>
    <sheet name="Loruk_Price VAT Inclusive" sheetId="355" r:id="rId300"/>
    <sheet name="Kabartonjo" sheetId="356" r:id="rId301"/>
    <sheet name="Kabartonjo_Price VAT Inclusive" sheetId="357" r:id="rId302"/>
    <sheet name="Tindiret" sheetId="358" r:id="rId303"/>
    <sheet name="Tindiret_Price VAT Inclusive" sheetId="359" r:id="rId304"/>
    <sheet name="Olessos" sheetId="360" r:id="rId305"/>
    <sheet name="Olessos_Price VAT Inclusive" sheetId="361" r:id="rId306"/>
    <sheet name="Kobujoi" sheetId="362" r:id="rId307"/>
    <sheet name="Kobujoi_Price VAT Inclusive" sheetId="363" r:id="rId308"/>
    <sheet name="Serem" sheetId="364" r:id="rId309"/>
    <sheet name="Serem_Price VAT Inclusive" sheetId="365" r:id="rId310"/>
    <sheet name="Kabiyet" sheetId="366" r:id="rId311"/>
    <sheet name="Kabiyet_Price VAT Inclusive" sheetId="367" r:id="rId312"/>
    <sheet name="Cheptulu" sheetId="368" r:id="rId313"/>
    <sheet name="Cheptulu_Price VAT Inclusive" sheetId="369" r:id="rId314"/>
    <sheet name="Songor" sheetId="370" r:id="rId315"/>
    <sheet name="Songor_Price VAT Inclusive" sheetId="371" r:id="rId316"/>
    <sheet name="Kapcherop" sheetId="372" r:id="rId317"/>
    <sheet name="Kapcherop_Price VAT Inclusive" sheetId="373" r:id="rId318"/>
    <sheet name="Sambalat" sheetId="374" r:id="rId319"/>
    <sheet name="Sambalat_Price VAT Inclusive" sheetId="376" r:id="rId320"/>
    <sheet name="Arror" sheetId="377" r:id="rId321"/>
    <sheet name="Arror_Price VAT Inclusive" sheetId="378" r:id="rId322"/>
    <sheet name="Tot" sheetId="379" r:id="rId323"/>
    <sheet name="Tot_Price VAT Inclusive" sheetId="380" r:id="rId324"/>
    <sheet name="Kaptarakwa" sheetId="381" r:id="rId325"/>
    <sheet name="Kaptarakwa_Price VAT Inclusive" sheetId="382" r:id="rId326"/>
    <sheet name="Kapese" sheetId="457" r:id="rId327"/>
    <sheet name="Kapese_Price VAT Inclusive" sheetId="454" r:id="rId328"/>
    <sheet name="Kalemngorok" sheetId="455" r:id="rId329"/>
    <sheet name="Kalemngorok_Price VAT Inclusive" sheetId="456" r:id="rId330"/>
    <sheet name="Marich" sheetId="459" r:id="rId331"/>
    <sheet name="Marich_Price VAT Inclusive" sheetId="460" r:id="rId332"/>
    <sheet name="Alale" sheetId="461" r:id="rId333"/>
    <sheet name="Alale_Price VAT Inclusive" sheetId="462" r:id="rId334"/>
    <sheet name="Kunyao" sheetId="463" r:id="rId335"/>
    <sheet name="Kunyao_Price VAT Inclusive" sheetId="464" r:id="rId336"/>
    <sheet name="Asilong" sheetId="465" r:id="rId337"/>
    <sheet name="Asilong_Price VAT Inclusive" sheetId="466" r:id="rId338"/>
    <sheet name="Orolwo" sheetId="467" r:id="rId339"/>
    <sheet name="Orolwo_Price VAT Inclusive" sheetId="468" r:id="rId340"/>
    <sheet name="Serbit" sheetId="469" r:id="rId341"/>
    <sheet name="Serbit_Price VAT Inclusive" sheetId="470" r:id="rId342"/>
    <sheet name="Morpus" sheetId="471" r:id="rId343"/>
    <sheet name="Morpus_Price VAT Inclusive" sheetId="472" r:id="rId344"/>
    <sheet name="Chepkorniswo" sheetId="473" r:id="rId345"/>
    <sheet name="Chepkorniswo_Price VAT Inclusiv" sheetId="474" r:id="rId346"/>
    <sheet name="Kaibichbich" sheetId="475" r:id="rId347"/>
    <sheet name="Kaibishbish_Prive VAT Inclusive" sheetId="476" r:id="rId348"/>
    <sheet name="Keringet" sheetId="477" r:id="rId349"/>
    <sheet name="Keringet_Price VAT Inclusive" sheetId="478" r:id="rId350"/>
    <sheet name="Kisumu" sheetId="10" r:id="rId351"/>
    <sheet name="Kisumu_Price VAT Inclusive" sheetId="147" r:id="rId352"/>
    <sheet name="Kakamega" sheetId="44" r:id="rId353"/>
    <sheet name="Kakamega_Price VAT Inclusive" sheetId="148" r:id="rId354"/>
    <sheet name="Mumias" sheetId="385" r:id="rId355"/>
    <sheet name="Mumias_Price VAT Inclusive" sheetId="386" r:id="rId356"/>
    <sheet name="Siaya" sheetId="68" r:id="rId357"/>
    <sheet name="Siaya_Price VAT Inclusive" sheetId="149" r:id="rId358"/>
    <sheet name="Kericho" sheetId="48" r:id="rId359"/>
    <sheet name="Kericho_Price VAT Inclusive" sheetId="150" r:id="rId360"/>
    <sheet name="Nyamira" sheetId="69" r:id="rId361"/>
    <sheet name="Nyamira_Price VAT Inclusive" sheetId="151" r:id="rId362"/>
    <sheet name="Sondu" sheetId="103" r:id="rId363"/>
    <sheet name="Sondu_Price VAT Inclusive" sheetId="152" r:id="rId364"/>
    <sheet name="Oyugis" sheetId="104" r:id="rId365"/>
    <sheet name="Oyugis_Price VAT Inclusive" sheetId="153" r:id="rId366"/>
    <sheet name="Kisii" sheetId="36" r:id="rId367"/>
    <sheet name="Kisii_Price VAT Inclusive" sheetId="154" r:id="rId368"/>
    <sheet name="Keroka" sheetId="106" r:id="rId369"/>
    <sheet name="Keroka_Price VAT Inclusive" sheetId="155" r:id="rId370"/>
    <sheet name="Isebania" sheetId="102" r:id="rId371"/>
    <sheet name="Isebania_Price VAT Inclusive" sheetId="156" r:id="rId372"/>
    <sheet name="Sotik" sheetId="62" r:id="rId373"/>
    <sheet name="Sotik_Price VAT Inclusive" sheetId="157" r:id="rId374"/>
    <sheet name="Busia" sheetId="74" r:id="rId375"/>
    <sheet name="Busia_Price VAT Inclusive" sheetId="158" r:id="rId376"/>
    <sheet name="Homabay" sheetId="45" r:id="rId377"/>
    <sheet name="Homabay_Price VAT Inclusive" sheetId="159" r:id="rId378"/>
    <sheet name="Bondo" sheetId="105" r:id="rId379"/>
    <sheet name="Bondo_Price VAT Inclusive" sheetId="160" r:id="rId380"/>
    <sheet name="Migori" sheetId="72" r:id="rId381"/>
    <sheet name="Migori_Price VAT Inclusive" sheetId="161" r:id="rId382"/>
    <sheet name="Bomet" sheetId="294" r:id="rId383"/>
    <sheet name="Bomet_Price VAT Inclusive" sheetId="295" r:id="rId384"/>
    <sheet name="Muhoroni" sheetId="296" r:id="rId385"/>
    <sheet name="Muhoroni_Price VAT Inclusive" sheetId="297" r:id="rId386"/>
    <sheet name="Mbita" sheetId="298" r:id="rId387"/>
    <sheet name="Mbita_Price VAT Inclusive" sheetId="299" r:id="rId388"/>
    <sheet name="Mbale" sheetId="300" r:id="rId389"/>
    <sheet name="Mbale_Price VAT Inclusive" sheetId="301" r:id="rId390"/>
    <sheet name="Etago" sheetId="302" r:id="rId391"/>
    <sheet name="Etago_Price VAT Inclusive" sheetId="303" r:id="rId392"/>
    <sheet name="Magenche" sheetId="304" r:id="rId393"/>
    <sheet name="Magenche_Price VAT Inclusive" sheetId="305" r:id="rId394"/>
    <sheet name="Kilgoris" sheetId="306" r:id="rId395"/>
    <sheet name="Kilgoris_Price VAT Inclusive" sheetId="307" r:id="rId396"/>
    <sheet name="Malava" sheetId="498" r:id="rId397"/>
    <sheet name="Malava_VAT Price Inclusive" sheetId="499" r:id="rId398"/>
    <sheet name="Lugari" sheetId="500" r:id="rId399"/>
    <sheet name="Lugari_VAT Price VAT Inclusive" sheetId="501" r:id="rId400"/>
    <sheet name="Rodi Kopany" sheetId="502" r:id="rId401"/>
    <sheet name="Rodi Kopany_Price VAT Inclusive" sheetId="503" r:id="rId402"/>
    <sheet name="Ndhiwa" sheetId="504" r:id="rId403"/>
    <sheet name="Ndhiwa_Price VAT Inclusive" sheetId="505" r:id="rId404"/>
    <sheet name="Rangwe" sheetId="506" r:id="rId405"/>
    <sheet name="Rangwe_Price VAT Inclusive" sheetId="507" r:id="rId406"/>
    <sheet name="Sindo" sheetId="508" r:id="rId407"/>
    <sheet name="Sindo_Price VAT Inclusive" sheetId="509" r:id="rId408"/>
    <sheet name="Awasi" sheetId="510" r:id="rId409"/>
    <sheet name="Awasi_Price VAT Inclusive" sheetId="511" r:id="rId410"/>
    <sheet name="Ahero" sheetId="512" r:id="rId411"/>
    <sheet name="Ahero_Price VAT Inclusive" sheetId="513" r:id="rId412"/>
    <sheet name="Ugunja" sheetId="514" r:id="rId413"/>
    <sheet name="Ugunja_Price VAT Inclusive" sheetId="515" r:id="rId414"/>
    <sheet name="Asembo" sheetId="516" r:id="rId415"/>
    <sheet name="Asembo_Price VAT Inclusive" sheetId="517" r:id="rId416"/>
    <sheet name="Usenge" sheetId="518" r:id="rId417"/>
    <sheet name="Usenge_Price VAT Inclusive" sheetId="519" r:id="rId418"/>
    <sheet name="Harambee" sheetId="520" r:id="rId419"/>
    <sheet name="Harambee_Price VAT Inclusive" sheetId="521" r:id="rId420"/>
    <sheet name="Muhuru Bay" sheetId="522" r:id="rId421"/>
    <sheet name="Muhuru Bay_ Price VAT Inclusive" sheetId="523" r:id="rId422"/>
    <sheet name="Kehancha" sheetId="524" r:id="rId423"/>
    <sheet name="Kehancha_Price VAT Inclusive" sheetId="525" r:id="rId424"/>
    <sheet name="Ntimaru" sheetId="526" r:id="rId425"/>
    <sheet name="Ntimaru_Price VAT Inclusive" sheetId="527" r:id="rId426"/>
    <sheet name="Rongo" sheetId="528" r:id="rId427"/>
    <sheet name="Rongo_Price VAT Inclusive" sheetId="529" r:id="rId428"/>
    <sheet name="Kaspokwony" sheetId="530" r:id="rId429"/>
    <sheet name="Kaspokwony_Price VAT Inclusive" sheetId="531" r:id="rId430"/>
    <sheet name="Chwele" sheetId="532" r:id="rId431"/>
    <sheet name="Chwele_Price VAT Inclusive" sheetId="533" r:id="rId432"/>
    <sheet name="Kimilili" sheetId="534" r:id="rId433"/>
    <sheet name="Kimilili_Price VAT Inclusive" sheetId="535" r:id="rId434"/>
    <sheet name="Nambale" sheetId="536" r:id="rId435"/>
    <sheet name="Nambale_Price VAT Inclusive" sheetId="537" r:id="rId436"/>
    <sheet name="Sio Port" sheetId="538" r:id="rId437"/>
    <sheet name="Sio Port_Price VAT Inclusive" sheetId="539" r:id="rId438"/>
    <sheet name="Port Bunyala" sheetId="540" r:id="rId439"/>
    <sheet name="Port Bunyala_Price VAT Inclusiv" sheetId="541" r:id="rId440"/>
    <sheet name="Funyala" sheetId="542" r:id="rId441"/>
    <sheet name="Funyala_Price VAT Inclusive" sheetId="543" r:id="rId442"/>
    <sheet name="Ogembo" sheetId="544" r:id="rId443"/>
    <sheet name="Ogembe_Price VAT Inclusive" sheetId="545" r:id="rId444"/>
    <sheet name="Nyagusu" sheetId="546" r:id="rId445"/>
    <sheet name="Nyagusu_Price VAT Inclusive" sheetId="547" r:id="rId446"/>
    <sheet name="Sengera" sheetId="548" r:id="rId447"/>
    <sheet name="Sengera_Price VAT Inclusive" sheetId="549" r:id="rId448"/>
    <sheet name="Keumbu" sheetId="550" r:id="rId449"/>
    <sheet name="Keimbu_Price VAT Inclusive" sheetId="551" r:id="rId450"/>
    <sheet name="Marani" sheetId="552" r:id="rId451"/>
    <sheet name="Marani_Price NAT Inclusive" sheetId="560" r:id="rId452"/>
    <sheet name="Kerina" sheetId="554" r:id="rId453"/>
    <sheet name="Kerina_Price VAT Inclusive" sheetId="555" r:id="rId454"/>
    <sheet name="Ikonge" sheetId="556" r:id="rId455"/>
    <sheet name="Ikonge_Price VAT Inclusive" sheetId="557" r:id="rId456"/>
    <sheet name="Nyansiongo" sheetId="558" r:id="rId457"/>
    <sheet name="Nyansiongo_Price VAT Inclusive" sheetId="559" r:id="rId458"/>
    <sheet name="PUMP PRICES RETAIL ex VAT" sheetId="2" state="hidden" r:id="rId459"/>
    <sheet name="W_S PUMP PRICES Exc VAT " sheetId="289" r:id="rId460"/>
    <sheet name="PUMP PRICES RETAIL VAT Incl" sheetId="209" r:id="rId461"/>
    <sheet name="W_S PRICES VAT Inc Publication" sheetId="291" r:id="rId462"/>
    <sheet name="VAT Breakdown Retail VAT Inc" sheetId="388" r:id="rId463"/>
    <sheet name="VAT BREAKDOWN WHOLESALE" sheetId="290" r:id="rId464"/>
    <sheet name="Bridging - Sept 2013" sheetId="120" r:id="rId465"/>
    <sheet name="Delivery =&lt;40km-Sept 2013" sheetId="121" r:id="rId466"/>
    <sheet name="Delivery &gt;40km-Sept 2013" sheetId="122" r:id="rId467"/>
    <sheet name="AGO Pump Prices" sheetId="123" state="hidden" r:id="rId468"/>
    <sheet name="Kenya CPI" sheetId="124" state="hidden" r:id="rId469"/>
    <sheet name="KPC LOSSES" sheetId="210" r:id="rId470"/>
    <sheet name="BREAKDOWN" sheetId="214" state="hidden" r:id="rId471"/>
    <sheet name="Sheet3" sheetId="216" state="hidden" r:id="rId472"/>
  </sheets>
  <externalReferences>
    <externalReference r:id="rId473"/>
    <externalReference r:id="rId474"/>
    <externalReference r:id="rId475"/>
    <externalReference r:id="rId476"/>
    <externalReference r:id="rId477"/>
    <externalReference r:id="rId478"/>
    <externalReference r:id="rId479"/>
    <externalReference r:id="rId480"/>
    <externalReference r:id="rId481"/>
    <externalReference r:id="rId482"/>
    <externalReference r:id="rId483"/>
    <externalReference r:id="rId484"/>
    <externalReference r:id="rId485"/>
    <externalReference r:id="rId486"/>
    <externalReference r:id="rId487"/>
    <externalReference r:id="rId488"/>
    <externalReference r:id="rId489"/>
    <externalReference r:id="rId490"/>
  </externalReferences>
  <definedNames>
    <definedName name="a" localSheetId="7">#REF!</definedName>
    <definedName name="A">'DPK Import'!$C:$C</definedName>
    <definedName name="AA" localSheetId="7">#REF!</definedName>
    <definedName name="AA" localSheetId="11">#REF!</definedName>
    <definedName name="AA" localSheetId="8">#REF!</definedName>
    <definedName name="AA" localSheetId="30">#REF!</definedName>
    <definedName name="AA" localSheetId="31">#REF!</definedName>
    <definedName name="AA" localSheetId="326">#REF!</definedName>
    <definedName name="AA" localSheetId="15">#REF!</definedName>
    <definedName name="AA" localSheetId="469">#REF!</definedName>
    <definedName name="AA" localSheetId="21">#REF!</definedName>
    <definedName name="AA" localSheetId="17">#REF!</definedName>
    <definedName name="AA" localSheetId="19">#REF!</definedName>
    <definedName name="AA" localSheetId="23">#REF!</definedName>
    <definedName name="AA" localSheetId="13">#REF!</definedName>
    <definedName name="AA" localSheetId="172">#REF!</definedName>
    <definedName name="AA" localSheetId="6">#REF!</definedName>
    <definedName name="AA" localSheetId="460">#REF!</definedName>
    <definedName name="AA" localSheetId="9">#REF!</definedName>
    <definedName name="AA">#REF!</definedName>
    <definedName name="AGO" localSheetId="7">#REF!</definedName>
    <definedName name="AGO" localSheetId="11">#REF!</definedName>
    <definedName name="AGO" localSheetId="8">#REF!</definedName>
    <definedName name="AGO" localSheetId="30">#REF!</definedName>
    <definedName name="AGO" localSheetId="31">#REF!</definedName>
    <definedName name="AGO" localSheetId="326">#REF!</definedName>
    <definedName name="AGO" localSheetId="15">#REF!</definedName>
    <definedName name="AGO" localSheetId="469">#REF!</definedName>
    <definedName name="AGO" localSheetId="21">#REF!</definedName>
    <definedName name="AGO" localSheetId="17">#REF!</definedName>
    <definedName name="AGO" localSheetId="19">#REF!</definedName>
    <definedName name="AGO" localSheetId="23">#REF!</definedName>
    <definedName name="AGO" localSheetId="13">#REF!</definedName>
    <definedName name="AGO" localSheetId="172">#REF!</definedName>
    <definedName name="AGO" localSheetId="6">#REF!</definedName>
    <definedName name="AGO" localSheetId="460">#REF!</definedName>
    <definedName name="AGO" localSheetId="9">#REF!</definedName>
    <definedName name="AGO">#REF!</definedName>
    <definedName name="AP_END">'[1]Client Data'!$D$6</definedName>
    <definedName name="b" localSheetId="30">#REF!</definedName>
    <definedName name="b" localSheetId="31">#REF!</definedName>
    <definedName name="b" localSheetId="326">#REF!</definedName>
    <definedName name="b" localSheetId="15">#REF!</definedName>
    <definedName name="b" localSheetId="469">#REF!</definedName>
    <definedName name="b" localSheetId="21">#REF!</definedName>
    <definedName name="b" localSheetId="17">#REF!</definedName>
    <definedName name="b" localSheetId="19">#REF!</definedName>
    <definedName name="b" localSheetId="23">#REF!</definedName>
    <definedName name="b" localSheetId="13">#REF!</definedName>
    <definedName name="b" localSheetId="172">#REF!</definedName>
    <definedName name="b" localSheetId="460">#REF!</definedName>
    <definedName name="b" localSheetId="9">#REF!</definedName>
    <definedName name="b">#REF!</definedName>
    <definedName name="bsnotes" localSheetId="7">#REF!</definedName>
    <definedName name="D" localSheetId="7">#REF!</definedName>
    <definedName name="Data">[2]Sheet1!$C$5:$V$185</definedName>
    <definedName name="DDD" localSheetId="30">#REF!</definedName>
    <definedName name="DDD" localSheetId="31">#REF!</definedName>
    <definedName name="DDD" localSheetId="326">#REF!</definedName>
    <definedName name="DDD" localSheetId="469">#REF!</definedName>
    <definedName name="DDD" localSheetId="21">#REF!</definedName>
    <definedName name="DDD" localSheetId="17">#REF!</definedName>
    <definedName name="DDD" localSheetId="19">#REF!</definedName>
    <definedName name="DDD" localSheetId="23">#REF!</definedName>
    <definedName name="DDD" localSheetId="460">#REF!</definedName>
    <definedName name="DDD" localSheetId="9">#REF!</definedName>
    <definedName name="DDD">#REF!</definedName>
    <definedName name="DS">'[3]Lookup Tables'!$H$3:$I$1194</definedName>
    <definedName name="DUTYREC" localSheetId="7">#REF!</definedName>
    <definedName name="DUTYVAT" localSheetId="7">#REF!</definedName>
    <definedName name="ex_rate" localSheetId="7">#REF!</definedName>
    <definedName name="ex_rate" localSheetId="6">#REF!</definedName>
    <definedName name="FF" localSheetId="30">#REF!</definedName>
    <definedName name="FF" localSheetId="31">#REF!</definedName>
    <definedName name="FF" localSheetId="326">#REF!</definedName>
    <definedName name="FF" localSheetId="15">#REF!</definedName>
    <definedName name="FF" localSheetId="469">#REF!</definedName>
    <definedName name="FF" localSheetId="21">#REF!</definedName>
    <definedName name="FF" localSheetId="17">#REF!</definedName>
    <definedName name="FF" localSheetId="19">#REF!</definedName>
    <definedName name="FF" localSheetId="23">#REF!</definedName>
    <definedName name="FF" localSheetId="13">#REF!</definedName>
    <definedName name="FF" localSheetId="172">#REF!</definedName>
    <definedName name="FF" localSheetId="460">#REF!</definedName>
    <definedName name="FF" localSheetId="9">#REF!</definedName>
    <definedName name="FF">#REF!</definedName>
    <definedName name="glk" localSheetId="7">#REF!</definedName>
    <definedName name="GLOBALSTK" localSheetId="7">#REF!</definedName>
    <definedName name="GOTBSNOTES" localSheetId="7">#REF!</definedName>
    <definedName name="GOTBSTSH" localSheetId="7">#REF!</definedName>
    <definedName name="GOTBSUSD" localSheetId="7">#REF!</definedName>
    <definedName name="GOTCAPEX" localSheetId="7">#REF!</definedName>
    <definedName name="GOTFAS" localSheetId="7">#REF!</definedName>
    <definedName name="GOTFS" localSheetId="7">#REF!</definedName>
    <definedName name="GOTPLTSH" localSheetId="7">#REF!</definedName>
    <definedName name="GOTPLUSD" localSheetId="7">#REF!</definedName>
    <definedName name="GOTSALES" localSheetId="7">#REF!</definedName>
    <definedName name="GRPPURQTY" localSheetId="7">#REF!</definedName>
    <definedName name="ITEM" localSheetId="7">#REF!</definedName>
    <definedName name="ITEM" localSheetId="6">#REF!</definedName>
    <definedName name="Items">'[4]Lookup Tables'!$H$3:$I$1176</definedName>
    <definedName name="Locations">'[3]Lookup Tables'!$B$3:$C$151</definedName>
    <definedName name="LOCTN" localSheetId="7">#REF!</definedName>
    <definedName name="LOCTN" localSheetId="6">#REF!</definedName>
    <definedName name="MARIE" localSheetId="30">#REF!</definedName>
    <definedName name="MARIE" localSheetId="31">#REF!</definedName>
    <definedName name="MARIE" localSheetId="326">#REF!</definedName>
    <definedName name="MARIE" localSheetId="15">#REF!</definedName>
    <definedName name="MARIE" localSheetId="469">#REF!</definedName>
    <definedName name="MARIE" localSheetId="21">#REF!</definedName>
    <definedName name="MARIE" localSheetId="17">#REF!</definedName>
    <definedName name="MARIE" localSheetId="19">#REF!</definedName>
    <definedName name="MARIE" localSheetId="23">#REF!</definedName>
    <definedName name="MARIE" localSheetId="13">#REF!</definedName>
    <definedName name="MARIE" localSheetId="172">#REF!</definedName>
    <definedName name="MARIE" localSheetId="460">#REF!</definedName>
    <definedName name="MARIE" localSheetId="9">#REF!</definedName>
    <definedName name="MARIE">#REF!</definedName>
    <definedName name="MISENO" localSheetId="30">#REF!</definedName>
    <definedName name="MISENO" localSheetId="31">#REF!</definedName>
    <definedName name="MISENO" localSheetId="326">#REF!</definedName>
    <definedName name="MISENO" localSheetId="15">#REF!</definedName>
    <definedName name="MISENO" localSheetId="469">#REF!</definedName>
    <definedName name="MISENO" localSheetId="21">#REF!</definedName>
    <definedName name="MISENO" localSheetId="17">#REF!</definedName>
    <definedName name="MISENO" localSheetId="19">#REF!</definedName>
    <definedName name="MISENO" localSheetId="23">#REF!</definedName>
    <definedName name="MISENO" localSheetId="13">#REF!</definedName>
    <definedName name="MISENO" localSheetId="172">#REF!</definedName>
    <definedName name="MISENO" localSheetId="460">#REF!</definedName>
    <definedName name="MISENO" localSheetId="9">#REF!</definedName>
    <definedName name="MISENO">#REF!</definedName>
    <definedName name="month" localSheetId="7">#REF!</definedName>
    <definedName name="month" localSheetId="6">#REF!</definedName>
    <definedName name="P" localSheetId="30">#REF!</definedName>
    <definedName name="P" localSheetId="31">#REF!</definedName>
    <definedName name="P" localSheetId="326">#REF!</definedName>
    <definedName name="P" localSheetId="15">#REF!</definedName>
    <definedName name="P" localSheetId="469">#REF!</definedName>
    <definedName name="P" localSheetId="21">#REF!</definedName>
    <definedName name="P" localSheetId="17">#REF!</definedName>
    <definedName name="P" localSheetId="19">#REF!</definedName>
    <definedName name="P" localSheetId="23">#REF!</definedName>
    <definedName name="P" localSheetId="13">#REF!</definedName>
    <definedName name="P" localSheetId="172">#REF!</definedName>
    <definedName name="P" localSheetId="460">#REF!</definedName>
    <definedName name="P" localSheetId="9">#REF!</definedName>
    <definedName name="P">#REF!</definedName>
    <definedName name="pms_2" localSheetId="7">'[5]Trading Forecast'!#REF!</definedName>
    <definedName name="_xlnm.Print_Area" localSheetId="7">#REF!</definedName>
    <definedName name="_xlnm.Print_Area" localSheetId="30">#REF!</definedName>
    <definedName name="_xlnm.Print_Area" localSheetId="31">#REF!</definedName>
    <definedName name="_xlnm.Print_Area" localSheetId="326">#REF!</definedName>
    <definedName name="_xlnm.Print_Area" localSheetId="15">#REF!</definedName>
    <definedName name="_xlnm.Print_Area" localSheetId="469">#REF!</definedName>
    <definedName name="_xlnm.Print_Area" localSheetId="21">#REF!</definedName>
    <definedName name="_xlnm.Print_Area" localSheetId="17">#REF!</definedName>
    <definedName name="_xlnm.Print_Area" localSheetId="19">#REF!</definedName>
    <definedName name="_xlnm.Print_Area" localSheetId="23">#REF!</definedName>
    <definedName name="_xlnm.Print_Area" localSheetId="13">#REF!</definedName>
    <definedName name="_xlnm.Print_Area" localSheetId="172">#REF!</definedName>
    <definedName name="_xlnm.Print_Area" localSheetId="6">#REF!</definedName>
    <definedName name="_xlnm.Print_Area" localSheetId="9">#REF!</definedName>
    <definedName name="_xlnm.Print_Area">#REF!</definedName>
    <definedName name="PRINT_AREA_MI" localSheetId="7">#REF!</definedName>
    <definedName name="PRINT_AREA_MI" localSheetId="6">#REF!</definedName>
    <definedName name="print_area1" localSheetId="7">'[5]Trading Forecast'!#REF!</definedName>
    <definedName name="PROCSHT0402">'[6]Lookup Tables'!$H$3:$I$1185</definedName>
    <definedName name="products">'[2]Lookup Tables'!$C$3:$E$8</definedName>
    <definedName name="PURALL" localSheetId="7">[7]Purchases!#REF!</definedName>
    <definedName name="PURDGO" localSheetId="7">[7]Purchases!#REF!</definedName>
    <definedName name="PURFO" localSheetId="7">[7]Purchases!#REF!</definedName>
    <definedName name="PURFO150" localSheetId="7">[7]Purchases!#REF!</definedName>
    <definedName name="PURFO180" localSheetId="7">[7]Purchases!#REF!</definedName>
    <definedName name="PURIDO" localSheetId="7">[7]Purchases!#REF!</definedName>
    <definedName name="PURIK" localSheetId="7">[7]Purchases!#REF!</definedName>
    <definedName name="PURJET" localSheetId="7">[7]Purchases!#REF!</definedName>
    <definedName name="PURPMS" localSheetId="7">[7]Purchases!#REF!</definedName>
    <definedName name="PYTCMAINCEXP" localSheetId="7">#REF!</definedName>
    <definedName name="qq" localSheetId="326">#REF!</definedName>
    <definedName name="qq">#REF!</definedName>
    <definedName name="RRR">[8]buildup!$A$1:$I$87</definedName>
    <definedName name="s" localSheetId="7">'[9]Trading Forecast'!#REF!</definedName>
    <definedName name="SALGOTALL" localSheetId="7">'[7]Sales Qty'!#REF!</definedName>
    <definedName name="SALGTLALL" localSheetId="7">'[7]Sales Qty'!#REF!</definedName>
    <definedName name="SFDV">[10]buildup!$A$1:$I$87</definedName>
    <definedName name="SSS" localSheetId="30">#REF!</definedName>
    <definedName name="SSS" localSheetId="31">#REF!</definedName>
    <definedName name="SSS" localSheetId="326">#REF!</definedName>
    <definedName name="SSS" localSheetId="15">#REF!</definedName>
    <definedName name="SSS" localSheetId="469">#REF!</definedName>
    <definedName name="SSS" localSheetId="21">#REF!</definedName>
    <definedName name="SSS" localSheetId="17">#REF!</definedName>
    <definedName name="SSS" localSheetId="19">#REF!</definedName>
    <definedName name="SSS" localSheetId="23">#REF!</definedName>
    <definedName name="SSS" localSheetId="13">#REF!</definedName>
    <definedName name="SSS" localSheetId="172">#REF!</definedName>
    <definedName name="SSS" localSheetId="460">#REF!</definedName>
    <definedName name="SSS" localSheetId="9">#REF!</definedName>
    <definedName name="SSS">#REF!</definedName>
    <definedName name="SSSS" localSheetId="30">#REF!</definedName>
    <definedName name="SSSS" localSheetId="31">#REF!</definedName>
    <definedName name="SSSS" localSheetId="326">#REF!</definedName>
    <definedName name="SSSS" localSheetId="15">#REF!</definedName>
    <definedName name="SSSS" localSheetId="469">#REF!</definedName>
    <definedName name="SSSS" localSheetId="21">#REF!</definedName>
    <definedName name="SSSS" localSheetId="17">#REF!</definedName>
    <definedName name="SSSS" localSheetId="19">#REF!</definedName>
    <definedName name="SSSS" localSheetId="23">#REF!</definedName>
    <definedName name="SSSS" localSheetId="13">#REF!</definedName>
    <definedName name="SSSS" localSheetId="172">#REF!</definedName>
    <definedName name="SSSS" localSheetId="460">#REF!</definedName>
    <definedName name="SSSS" localSheetId="9">#REF!</definedName>
    <definedName name="SSSS">#REF!</definedName>
    <definedName name="STKGOTDGO" localSheetId="7">#REF!</definedName>
    <definedName name="STKGOTFO" localSheetId="7">#REF!</definedName>
    <definedName name="STKGOTFO180" localSheetId="7">#REF!</definedName>
    <definedName name="STKGOTIDO" localSheetId="7">#REF!</definedName>
    <definedName name="STKGOTIK" localSheetId="7">#REF!</definedName>
    <definedName name="STKGOTJET" localSheetId="7">#REF!</definedName>
    <definedName name="STKGOTPMS" localSheetId="7">#REF!</definedName>
    <definedName name="STKGTLDGO" localSheetId="7">'[11]GTL Stock'!#REF!</definedName>
    <definedName name="STKGTLFO" localSheetId="7">'[11]GTL Stock'!#REF!</definedName>
    <definedName name="STKGTLFO150" localSheetId="7">'[11]GTL Stock'!#REF!</definedName>
    <definedName name="STKGTLFO180" localSheetId="7">'[11]GTL Stock'!#REF!</definedName>
    <definedName name="STKGTLIK" localSheetId="7">'[11]GTL Stock'!#REF!</definedName>
    <definedName name="STKGTLJET" localSheetId="7">'[11]GTL Stock'!#REF!</definedName>
    <definedName name="STKGTLPMS" localSheetId="7">'[11]GTL Stock'!#REF!</definedName>
    <definedName name="ten">'[12]Lookup Tables'!$B$3:$C$153</definedName>
    <definedName name="u" localSheetId="30">#REF!</definedName>
    <definedName name="u" localSheetId="31">#REF!</definedName>
    <definedName name="u" localSheetId="326">#REF!</definedName>
    <definedName name="u" localSheetId="15">#REF!</definedName>
    <definedName name="u" localSheetId="469">#REF!</definedName>
    <definedName name="u" localSheetId="21">#REF!</definedName>
    <definedName name="u" localSheetId="17">#REF!</definedName>
    <definedName name="u" localSheetId="19">#REF!</definedName>
    <definedName name="u" localSheetId="23">#REF!</definedName>
    <definedName name="u" localSheetId="13">#REF!</definedName>
    <definedName name="u" localSheetId="172">#REF!</definedName>
    <definedName name="u" localSheetId="460">#REF!</definedName>
    <definedName name="u" localSheetId="9">#REF!</definedName>
    <definedName name="u">#REF!</definedName>
    <definedName name="XX" localSheetId="30">#REF!</definedName>
    <definedName name="XX" localSheetId="31">#REF!</definedName>
    <definedName name="XX" localSheetId="326">#REF!</definedName>
    <definedName name="XX" localSheetId="15">#REF!</definedName>
    <definedName name="XX" localSheetId="469">#REF!</definedName>
    <definedName name="XX" localSheetId="21">#REF!</definedName>
    <definedName name="XX" localSheetId="17">#REF!</definedName>
    <definedName name="XX" localSheetId="19">#REF!</definedName>
    <definedName name="XX" localSheetId="23">#REF!</definedName>
    <definedName name="XX" localSheetId="13">#REF!</definedName>
    <definedName name="XX" localSheetId="172">#REF!</definedName>
    <definedName name="XX" localSheetId="460">#REF!</definedName>
    <definedName name="XX" localSheetId="9">#REF!</definedName>
    <definedName name="XX">#REF!</definedName>
    <definedName name="XXX" localSheetId="7">#REF!</definedName>
    <definedName name="XXX" localSheetId="6">#REF!</definedName>
    <definedName name="xxxx" localSheetId="30">#REF!</definedName>
    <definedName name="xxxx" localSheetId="31">#REF!</definedName>
    <definedName name="xxxx" localSheetId="326">#REF!</definedName>
    <definedName name="xxxx" localSheetId="469">#REF!</definedName>
    <definedName name="xxxx" localSheetId="21">#REF!</definedName>
    <definedName name="xxxx" localSheetId="19">#REF!</definedName>
    <definedName name="xxxx" localSheetId="23">#REF!</definedName>
    <definedName name="xxxx" localSheetId="460">#REF!</definedName>
    <definedName name="xxxx" localSheetId="9">#REF!</definedName>
    <definedName name="xxxx">#REF!</definedName>
    <definedName name="xxxxx" localSheetId="30">#REF!</definedName>
    <definedName name="xxxxx" localSheetId="31">#REF!</definedName>
    <definedName name="xxxxx" localSheetId="326">#REF!</definedName>
    <definedName name="xxxxx" localSheetId="469">#REF!</definedName>
    <definedName name="xxxxx" localSheetId="21">#REF!</definedName>
    <definedName name="xxxxx" localSheetId="19">#REF!</definedName>
    <definedName name="xxxxx" localSheetId="23">#REF!</definedName>
    <definedName name="xxxxx" localSheetId="460">#REF!</definedName>
    <definedName name="xxxxx" localSheetId="9">#REF!</definedName>
    <definedName name="xxxxx">#REF!</definedName>
    <definedName name="xxxxxx" localSheetId="30">#REF!</definedName>
    <definedName name="xxxxxx" localSheetId="31">#REF!</definedName>
    <definedName name="xxxxxx" localSheetId="326">#REF!</definedName>
    <definedName name="xxxxxx" localSheetId="469">#REF!</definedName>
    <definedName name="xxxxxx" localSheetId="21">#REF!</definedName>
    <definedName name="xxxxxx" localSheetId="19">#REF!</definedName>
    <definedName name="xxxxxx" localSheetId="23">#REF!</definedName>
    <definedName name="xxxxxx" localSheetId="460">#REF!</definedName>
    <definedName name="xxxxxx" localSheetId="9">#REF!</definedName>
    <definedName name="xxxxxx">#REF!</definedName>
    <definedName name="xxxxxxxxxxx" localSheetId="30">#REF!</definedName>
    <definedName name="xxxxxxxxxxx" localSheetId="31">#REF!</definedName>
    <definedName name="xxxxxxxxxxx" localSheetId="326">#REF!</definedName>
    <definedName name="xxxxxxxxxxx" localSheetId="469">#REF!</definedName>
    <definedName name="xxxxxxxxxxx" localSheetId="21">#REF!</definedName>
    <definedName name="xxxxxxxxxxx" localSheetId="19">#REF!</definedName>
    <definedName name="xxxxxxxxxxx" localSheetId="23">#REF!</definedName>
    <definedName name="xxxxxxxxxxx" localSheetId="460">#REF!</definedName>
    <definedName name="xxxxxxxxxxx" localSheetId="9">#REF!</definedName>
    <definedName name="xxxxxxxxxxx">#REF!</definedName>
    <definedName name="xxxxxxxxxxxxx" localSheetId="30">#REF!</definedName>
    <definedName name="xxxxxxxxxxxxx" localSheetId="31">#REF!</definedName>
    <definedName name="xxxxxxxxxxxxx" localSheetId="326">#REF!</definedName>
    <definedName name="xxxxxxxxxxxxx" localSheetId="469">#REF!</definedName>
    <definedName name="xxxxxxxxxxxxx" localSheetId="21">#REF!</definedName>
    <definedName name="xxxxxxxxxxxxx" localSheetId="19">#REF!</definedName>
    <definedName name="xxxxxxxxxxxxx" localSheetId="23">#REF!</definedName>
    <definedName name="xxxxxxxxxxxxx" localSheetId="460">#REF!</definedName>
    <definedName name="xxxxxxxxxxxxx" localSheetId="9">#REF!</definedName>
    <definedName name="xxxxxxxxxxxxx">#REF!</definedName>
    <definedName name="xxxxxxxxxxxxxxxxx" localSheetId="30">#REF!</definedName>
    <definedName name="xxxxxxxxxxxxxxxxx" localSheetId="31">#REF!</definedName>
    <definedName name="xxxxxxxxxxxxxxxxx" localSheetId="326">#REF!</definedName>
    <definedName name="xxxxxxxxxxxxxxxxx" localSheetId="469">#REF!</definedName>
    <definedName name="xxxxxxxxxxxxxxxxx" localSheetId="21">#REF!</definedName>
    <definedName name="xxxxxxxxxxxxxxxxx" localSheetId="19">#REF!</definedName>
    <definedName name="xxxxxxxxxxxxxxxxx" localSheetId="23">#REF!</definedName>
    <definedName name="xxxxxxxxxxxxxxxxx" localSheetId="460">#REF!</definedName>
    <definedName name="xxxxxxxxxxxxxxxxx" localSheetId="9">#REF!</definedName>
    <definedName name="xxxxxxxxxxxxxxxxx">#REF!</definedName>
    <definedName name="xxxxxxxxxxxxxxxxxxxx" localSheetId="30">#REF!</definedName>
    <definedName name="xxxxxxxxxxxxxxxxxxxx" localSheetId="31">#REF!</definedName>
    <definedName name="xxxxxxxxxxxxxxxxxxxx" localSheetId="326">#REF!</definedName>
    <definedName name="xxxxxxxxxxxxxxxxxxxx" localSheetId="469">#REF!</definedName>
    <definedName name="xxxxxxxxxxxxxxxxxxxx" localSheetId="21">#REF!</definedName>
    <definedName name="xxxxxxxxxxxxxxxxxxxx" localSheetId="19">#REF!</definedName>
    <definedName name="xxxxxxxxxxxxxxxxxxxx" localSheetId="23">#REF!</definedName>
    <definedName name="xxxxxxxxxxxxxxxxxxxx" localSheetId="460">#REF!</definedName>
    <definedName name="xxxxxxxxxxxxxxxxxxxx" localSheetId="9">#REF!</definedName>
    <definedName name="xxxxxxxxxxxxxxxxxxxx">#REF!</definedName>
  </definedNames>
  <calcPr calcId="191029"/>
</workbook>
</file>

<file path=xl/calcChain.xml><?xml version="1.0" encoding="utf-8"?>
<calcChain xmlns="http://schemas.openxmlformats.org/spreadsheetml/2006/main">
  <c r="E17" i="215" l="1"/>
  <c r="H33" i="215" l="1"/>
  <c r="H32" i="215"/>
  <c r="H16" i="133" l="1"/>
  <c r="H16" i="20"/>
  <c r="G16" i="133" l="1"/>
  <c r="G16" i="20"/>
  <c r="J19" i="563"/>
  <c r="L19" i="563" s="1"/>
  <c r="J18" i="563"/>
  <c r="L18" i="563" s="1"/>
  <c r="J17" i="563"/>
  <c r="L17" i="563" s="1"/>
  <c r="J16" i="563"/>
  <c r="L16" i="563" s="1"/>
  <c r="J15" i="563"/>
  <c r="L15" i="563" s="1"/>
  <c r="J14" i="563"/>
  <c r="L14" i="563" s="1"/>
  <c r="J13" i="563"/>
  <c r="L13" i="563" s="1"/>
  <c r="J12" i="563"/>
  <c r="L12" i="563" s="1"/>
  <c r="J11" i="563"/>
  <c r="L11" i="563" s="1"/>
  <c r="J10" i="563"/>
  <c r="L10" i="563" s="1"/>
  <c r="J9" i="563"/>
  <c r="L9" i="563" s="1"/>
  <c r="J8" i="563"/>
  <c r="L8" i="563" s="1"/>
  <c r="J7" i="563"/>
  <c r="L7" i="563" s="1"/>
  <c r="J6" i="563"/>
  <c r="L6" i="563" s="1"/>
  <c r="J5" i="563"/>
  <c r="L5" i="563" s="1"/>
  <c r="H12" i="22" l="1"/>
  <c r="F54" i="130" l="1"/>
  <c r="G54" i="130"/>
  <c r="H54" i="130"/>
  <c r="I54" i="130"/>
  <c r="J54" i="130"/>
  <c r="E54" i="130"/>
  <c r="L64" i="11"/>
  <c r="L63" i="11" l="1"/>
  <c r="L91" i="11" l="1"/>
  <c r="L26" i="11" l="1"/>
  <c r="L90" i="11" l="1"/>
  <c r="L89" i="11"/>
  <c r="L62" i="11"/>
  <c r="L61" i="11"/>
  <c r="L21" i="11"/>
  <c r="L22" i="11"/>
  <c r="L23" i="11"/>
  <c r="L27" i="11"/>
  <c r="L28" i="11"/>
  <c r="L20" i="11"/>
  <c r="M15" i="20" l="1"/>
  <c r="M10" i="20"/>
  <c r="M14" i="133"/>
  <c r="M11" i="20"/>
  <c r="J37" i="130" l="1"/>
  <c r="J23" i="130"/>
  <c r="J4" i="130"/>
  <c r="J3" i="130"/>
  <c r="I52" i="130" l="1"/>
  <c r="J52" i="130"/>
  <c r="I53" i="130"/>
  <c r="J53" i="130"/>
  <c r="I64" i="130"/>
  <c r="J64" i="130"/>
  <c r="I65" i="130"/>
  <c r="J65" i="130"/>
  <c r="I66" i="130"/>
  <c r="J66" i="130"/>
  <c r="I67" i="130"/>
  <c r="J67" i="130"/>
  <c r="I68" i="130"/>
  <c r="J68" i="130"/>
  <c r="I70" i="130"/>
  <c r="J70" i="130"/>
  <c r="I71" i="130"/>
  <c r="J71" i="130"/>
  <c r="I72" i="130"/>
  <c r="J72" i="130"/>
  <c r="J43" i="130"/>
  <c r="J75" i="130" s="1"/>
  <c r="J44" i="130"/>
  <c r="I37" i="130"/>
  <c r="I35" i="130" s="1"/>
  <c r="I44" i="130" s="1"/>
  <c r="H37" i="130"/>
  <c r="J35" i="130"/>
  <c r="I23" i="130"/>
  <c r="I43" i="130" s="1"/>
  <c r="I75" i="130" s="1"/>
  <c r="H23" i="130"/>
  <c r="I21" i="130"/>
  <c r="J21" i="130"/>
  <c r="J25" i="130" s="1"/>
  <c r="I10" i="130"/>
  <c r="J10" i="130"/>
  <c r="I4" i="130"/>
  <c r="H4" i="130"/>
  <c r="I3" i="130"/>
  <c r="H3" i="130"/>
  <c r="D54" i="11"/>
  <c r="F54" i="11"/>
  <c r="D55" i="11"/>
  <c r="F55" i="11"/>
  <c r="B54" i="11"/>
  <c r="C54" i="11"/>
  <c r="B55" i="11"/>
  <c r="C55" i="11"/>
  <c r="J14" i="133"/>
  <c r="K14" i="133"/>
  <c r="J15" i="133"/>
  <c r="K15" i="133"/>
  <c r="I63" i="130" l="1"/>
  <c r="I25" i="130"/>
  <c r="J55" i="130"/>
  <c r="J56" i="130" s="1"/>
  <c r="I55" i="130"/>
  <c r="I56" i="130" s="1"/>
  <c r="J63" i="130"/>
  <c r="I36" i="129" l="1"/>
  <c r="H36" i="129"/>
  <c r="I23" i="129"/>
  <c r="I4" i="129"/>
  <c r="I3" i="129"/>
  <c r="H3" i="129"/>
  <c r="D13" i="11"/>
  <c r="F13" i="11"/>
  <c r="D14" i="11"/>
  <c r="F14" i="11"/>
  <c r="B13" i="11"/>
  <c r="C13" i="11"/>
  <c r="B14" i="11"/>
  <c r="C14" i="11"/>
  <c r="H51" i="129" l="1"/>
  <c r="I51" i="129"/>
  <c r="H52" i="129"/>
  <c r="I52" i="129"/>
  <c r="H53" i="129"/>
  <c r="I53" i="129"/>
  <c r="H63" i="129"/>
  <c r="I63" i="129"/>
  <c r="H64" i="129"/>
  <c r="I64" i="129"/>
  <c r="H65" i="129"/>
  <c r="I65" i="129"/>
  <c r="H66" i="129"/>
  <c r="I66" i="129"/>
  <c r="H67" i="129"/>
  <c r="I67" i="129"/>
  <c r="H69" i="129"/>
  <c r="I69" i="129"/>
  <c r="H70" i="129"/>
  <c r="I70" i="129"/>
  <c r="H71" i="129"/>
  <c r="I71" i="129"/>
  <c r="I41" i="129"/>
  <c r="I74" i="129" s="1"/>
  <c r="H34" i="129"/>
  <c r="I34" i="129"/>
  <c r="H23" i="129"/>
  <c r="H41" i="129" s="1"/>
  <c r="H74" i="129" s="1"/>
  <c r="H21" i="129"/>
  <c r="H25" i="129" s="1"/>
  <c r="I21" i="129"/>
  <c r="I25" i="129" s="1"/>
  <c r="H10" i="129"/>
  <c r="I10" i="129"/>
  <c r="H4" i="129"/>
  <c r="J14" i="20"/>
  <c r="K14" i="20"/>
  <c r="J15" i="20"/>
  <c r="K15" i="20"/>
  <c r="H62" i="129" l="1"/>
  <c r="H54" i="129"/>
  <c r="H55" i="129" s="1"/>
  <c r="I42" i="129"/>
  <c r="H42" i="129"/>
  <c r="I54" i="129"/>
  <c r="I55" i="129" s="1"/>
  <c r="I62" i="129"/>
  <c r="D21" i="129" l="1"/>
  <c r="F8" i="131" l="1"/>
  <c r="F9" i="131"/>
  <c r="F7" i="131"/>
  <c r="K7" i="130"/>
  <c r="K8" i="130"/>
  <c r="K6" i="130"/>
  <c r="J8" i="129"/>
  <c r="J7" i="129"/>
  <c r="J6" i="129"/>
  <c r="K8" i="129" l="1"/>
  <c r="K9" i="129" s="1"/>
  <c r="B87" i="11"/>
  <c r="C87" i="11"/>
  <c r="D87" i="11"/>
  <c r="F87" i="11"/>
  <c r="B11" i="11"/>
  <c r="C11" i="11"/>
  <c r="D11" i="11"/>
  <c r="F11" i="11"/>
  <c r="B12" i="11"/>
  <c r="C12" i="11"/>
  <c r="D12" i="11"/>
  <c r="F12" i="11"/>
  <c r="G36" i="129" l="1"/>
  <c r="G34" i="129" s="1"/>
  <c r="G23" i="129"/>
  <c r="G4" i="129"/>
  <c r="G3" i="129"/>
  <c r="J13" i="20"/>
  <c r="K13" i="20"/>
  <c r="G42" i="129" l="1"/>
  <c r="G41" i="129"/>
  <c r="G74" i="129" s="1"/>
  <c r="F51" i="129"/>
  <c r="G51" i="129"/>
  <c r="F52" i="129"/>
  <c r="G52" i="129"/>
  <c r="F53" i="129"/>
  <c r="G53" i="129"/>
  <c r="F63" i="129"/>
  <c r="G63" i="129"/>
  <c r="F64" i="129"/>
  <c r="G64" i="129"/>
  <c r="F65" i="129"/>
  <c r="G65" i="129"/>
  <c r="F66" i="129"/>
  <c r="G66" i="129"/>
  <c r="F67" i="129"/>
  <c r="G67" i="129"/>
  <c r="F69" i="129"/>
  <c r="G69" i="129"/>
  <c r="F70" i="129"/>
  <c r="G70" i="129"/>
  <c r="F71" i="129"/>
  <c r="G71" i="129"/>
  <c r="F36" i="129"/>
  <c r="F34" i="129" s="1"/>
  <c r="F23" i="129"/>
  <c r="F41" i="129" s="1"/>
  <c r="F74" i="129" s="1"/>
  <c r="F21" i="129"/>
  <c r="G21" i="129"/>
  <c r="G25" i="129" s="1"/>
  <c r="F10" i="129"/>
  <c r="G10" i="129"/>
  <c r="F4" i="129"/>
  <c r="F3" i="129"/>
  <c r="J12" i="20"/>
  <c r="K12" i="20"/>
  <c r="G54" i="129" l="1"/>
  <c r="G55" i="129" s="1"/>
  <c r="F54" i="129"/>
  <c r="F55" i="129" s="1"/>
  <c r="F25" i="129"/>
  <c r="F62" i="129"/>
  <c r="F42" i="129"/>
  <c r="G62" i="129"/>
  <c r="M12" i="20" l="1"/>
  <c r="M15" i="133"/>
  <c r="E49" i="131"/>
  <c r="E50" i="131"/>
  <c r="E52" i="131" s="1"/>
  <c r="E51" i="131"/>
  <c r="E61" i="131"/>
  <c r="E62" i="131"/>
  <c r="E63" i="131"/>
  <c r="E64" i="131"/>
  <c r="E65" i="131"/>
  <c r="E67" i="131"/>
  <c r="E35" i="131"/>
  <c r="E33" i="131" s="1"/>
  <c r="E41" i="131" s="1"/>
  <c r="E24" i="131"/>
  <c r="E40" i="131" s="1"/>
  <c r="E22" i="131"/>
  <c r="E11" i="131"/>
  <c r="E5" i="131"/>
  <c r="D5" i="131"/>
  <c r="E4" i="131"/>
  <c r="J11" i="22"/>
  <c r="K11" i="22"/>
  <c r="G12" i="22"/>
  <c r="E70" i="131" l="1"/>
  <c r="E60" i="131"/>
  <c r="E53" i="131"/>
  <c r="E26" i="131"/>
  <c r="M14" i="20"/>
  <c r="M11" i="11" l="1"/>
  <c r="N12" i="20"/>
  <c r="P12" i="20" s="1"/>
  <c r="F22" i="129"/>
  <c r="S12" i="20"/>
  <c r="R12" i="20"/>
  <c r="I11" i="11" s="1"/>
  <c r="J22" i="130"/>
  <c r="N15" i="133"/>
  <c r="P15" i="133" s="1"/>
  <c r="S15" i="133"/>
  <c r="M55" i="11"/>
  <c r="L59" i="11" s="1"/>
  <c r="R15" i="133"/>
  <c r="I55" i="11" s="1"/>
  <c r="M54" i="11"/>
  <c r="L56" i="11" s="1"/>
  <c r="I22" i="130"/>
  <c r="N14" i="133"/>
  <c r="P14" i="133" s="1"/>
  <c r="S14" i="133"/>
  <c r="R14" i="133"/>
  <c r="I54" i="11" s="1"/>
  <c r="G13" i="19"/>
  <c r="E100" i="210"/>
  <c r="J11" i="11" l="1"/>
  <c r="F32" i="129"/>
  <c r="F75" i="129" s="1"/>
  <c r="I33" i="130"/>
  <c r="I76" i="130" s="1"/>
  <c r="J54" i="11"/>
  <c r="J42" i="130"/>
  <c r="J28" i="130"/>
  <c r="J73" i="130" s="1"/>
  <c r="J69" i="130" s="1"/>
  <c r="J24" i="130"/>
  <c r="J27" i="130"/>
  <c r="J59" i="130" s="1"/>
  <c r="J26" i="130"/>
  <c r="J58" i="130" s="1"/>
  <c r="F26" i="129"/>
  <c r="F57" i="129" s="1"/>
  <c r="F24" i="129"/>
  <c r="F40" i="129"/>
  <c r="F27" i="129"/>
  <c r="F58" i="129" s="1"/>
  <c r="F28" i="129"/>
  <c r="F72" i="129" s="1"/>
  <c r="F68" i="129" s="1"/>
  <c r="J33" i="130"/>
  <c r="J76" i="130" s="1"/>
  <c r="J55" i="11"/>
  <c r="Q14" i="133"/>
  <c r="E54" i="11" s="1"/>
  <c r="T14" i="133"/>
  <c r="U14" i="133" s="1"/>
  <c r="Q12" i="20"/>
  <c r="E11" i="11" s="1"/>
  <c r="K11" i="11" s="1"/>
  <c r="L11" i="11" s="1"/>
  <c r="T12" i="20"/>
  <c r="U12" i="20" s="1"/>
  <c r="T15" i="133"/>
  <c r="U15" i="133" s="1"/>
  <c r="Q15" i="133"/>
  <c r="E55" i="11" s="1"/>
  <c r="K55" i="11" s="1"/>
  <c r="L55" i="11" s="1"/>
  <c r="I28" i="130"/>
  <c r="I73" i="130" s="1"/>
  <c r="I69" i="130" s="1"/>
  <c r="I26" i="130"/>
  <c r="I58" i="130" s="1"/>
  <c r="I42" i="130"/>
  <c r="I27" i="130"/>
  <c r="I59" i="130" s="1"/>
  <c r="I24" i="130"/>
  <c r="G52" i="130"/>
  <c r="H52" i="130"/>
  <c r="G53" i="130"/>
  <c r="H53" i="130"/>
  <c r="G64" i="130"/>
  <c r="H64" i="130"/>
  <c r="G65" i="130"/>
  <c r="H65" i="130"/>
  <c r="G66" i="130"/>
  <c r="H66" i="130"/>
  <c r="G67" i="130"/>
  <c r="H67" i="130"/>
  <c r="G68" i="130"/>
  <c r="H68" i="130"/>
  <c r="G70" i="130"/>
  <c r="H70" i="130"/>
  <c r="G71" i="130"/>
  <c r="H71" i="130"/>
  <c r="G72" i="130"/>
  <c r="H72" i="130"/>
  <c r="H35" i="130"/>
  <c r="H43" i="130"/>
  <c r="H75" i="130" s="1"/>
  <c r="H21" i="130"/>
  <c r="H10" i="130"/>
  <c r="J13" i="133"/>
  <c r="K13" i="133"/>
  <c r="D52" i="11"/>
  <c r="F52" i="11"/>
  <c r="D53" i="11"/>
  <c r="F53" i="11"/>
  <c r="B52" i="11"/>
  <c r="C52" i="11"/>
  <c r="B53" i="11"/>
  <c r="C53" i="11"/>
  <c r="G37" i="130"/>
  <c r="G35" i="130" s="1"/>
  <c r="G23" i="130"/>
  <c r="G43" i="130" s="1"/>
  <c r="G75" i="130" s="1"/>
  <c r="G21" i="130"/>
  <c r="G10" i="130"/>
  <c r="G4" i="130"/>
  <c r="G3" i="130"/>
  <c r="J12" i="133"/>
  <c r="K12" i="133"/>
  <c r="H55" i="130" l="1"/>
  <c r="G55" i="130"/>
  <c r="F56" i="129"/>
  <c r="F50" i="129" s="1"/>
  <c r="J57" i="130"/>
  <c r="J51" i="130" s="1"/>
  <c r="F61" i="129"/>
  <c r="F60" i="129" s="1"/>
  <c r="F33" i="129"/>
  <c r="J62" i="130"/>
  <c r="J61" i="130" s="1"/>
  <c r="J34" i="130"/>
  <c r="I62" i="130"/>
  <c r="I61" i="130" s="1"/>
  <c r="I34" i="130"/>
  <c r="I57" i="130"/>
  <c r="I51" i="130" s="1"/>
  <c r="K54" i="11"/>
  <c r="L54" i="11" s="1"/>
  <c r="H44" i="130"/>
  <c r="G44" i="130"/>
  <c r="H25" i="130"/>
  <c r="H63" i="130"/>
  <c r="H56" i="130"/>
  <c r="G56" i="130"/>
  <c r="G25" i="130"/>
  <c r="G63" i="130"/>
  <c r="M11" i="22"/>
  <c r="M13" i="20" l="1"/>
  <c r="C5" i="20"/>
  <c r="D5" i="22"/>
  <c r="N13" i="20" l="1"/>
  <c r="P13" i="20" s="1"/>
  <c r="R13" i="20"/>
  <c r="I12" i="11" s="1"/>
  <c r="S13" i="20"/>
  <c r="M12" i="11"/>
  <c r="L18" i="11" s="1"/>
  <c r="G22" i="129"/>
  <c r="M87" i="11"/>
  <c r="H22" i="129"/>
  <c r="H28" i="129" s="1"/>
  <c r="H72" i="129" s="1"/>
  <c r="H68" i="129" s="1"/>
  <c r="R14" i="20"/>
  <c r="I13" i="11" s="1"/>
  <c r="S14" i="20"/>
  <c r="J13" i="11" s="1"/>
  <c r="N14" i="20"/>
  <c r="P14" i="20" s="1"/>
  <c r="Q14" i="20" s="1"/>
  <c r="E13" i="11" s="1"/>
  <c r="M13" i="11"/>
  <c r="N11" i="22"/>
  <c r="P11" i="22" s="1"/>
  <c r="S11" i="22"/>
  <c r="R11" i="22"/>
  <c r="I87" i="11" s="1"/>
  <c r="E23" i="131"/>
  <c r="M11" i="133"/>
  <c r="H24" i="129" l="1"/>
  <c r="H27" i="129"/>
  <c r="H58" i="129" s="1"/>
  <c r="H40" i="129"/>
  <c r="H32" i="129"/>
  <c r="H75" i="129" s="1"/>
  <c r="G32" i="129"/>
  <c r="G75" i="129" s="1"/>
  <c r="J12" i="11"/>
  <c r="G28" i="129"/>
  <c r="G72" i="129" s="1"/>
  <c r="G68" i="129" s="1"/>
  <c r="G27" i="129"/>
  <c r="G58" i="129" s="1"/>
  <c r="G26" i="129"/>
  <c r="G57" i="129" s="1"/>
  <c r="G40" i="129"/>
  <c r="G24" i="129"/>
  <c r="Q13" i="20"/>
  <c r="E12" i="11" s="1"/>
  <c r="T13" i="20"/>
  <c r="U13" i="20" s="1"/>
  <c r="H26" i="129"/>
  <c r="H57" i="129" s="1"/>
  <c r="H56" i="129" s="1"/>
  <c r="H50" i="129" s="1"/>
  <c r="L16" i="11"/>
  <c r="M24" i="11"/>
  <c r="L24" i="11" s="1"/>
  <c r="K13" i="11"/>
  <c r="L13" i="11" s="1"/>
  <c r="T14" i="20"/>
  <c r="M12" i="133"/>
  <c r="M52" i="11" s="1"/>
  <c r="L58" i="11" s="1"/>
  <c r="M10" i="22"/>
  <c r="H61" i="129"/>
  <c r="H60" i="129" s="1"/>
  <c r="R15" i="20"/>
  <c r="I14" i="11" s="1"/>
  <c r="S15" i="20"/>
  <c r="I22" i="129"/>
  <c r="M14" i="11"/>
  <c r="N15" i="20"/>
  <c r="P15" i="20" s="1"/>
  <c r="E31" i="131"/>
  <c r="E71" i="131" s="1"/>
  <c r="J87" i="11"/>
  <c r="E28" i="131"/>
  <c r="E56" i="131" s="1"/>
  <c r="E27" i="131"/>
  <c r="E55" i="131" s="1"/>
  <c r="E25" i="131"/>
  <c r="E59" i="131" s="1"/>
  <c r="E39" i="131"/>
  <c r="E29" i="131"/>
  <c r="T11" i="22"/>
  <c r="U11" i="22" s="1"/>
  <c r="Q11" i="22"/>
  <c r="E87" i="11" s="1"/>
  <c r="H33" i="129" l="1"/>
  <c r="G56" i="129"/>
  <c r="G50" i="129" s="1"/>
  <c r="K12" i="11"/>
  <c r="L12" i="11" s="1"/>
  <c r="G33" i="129"/>
  <c r="G61" i="129"/>
  <c r="G60" i="129" s="1"/>
  <c r="U14" i="20"/>
  <c r="M10" i="11"/>
  <c r="L15" i="11" s="1"/>
  <c r="M13" i="133"/>
  <c r="R12" i="133"/>
  <c r="I52" i="11" s="1"/>
  <c r="N12" i="133"/>
  <c r="P12" i="133" s="1"/>
  <c r="Q12" i="133" s="1"/>
  <c r="E52" i="11" s="1"/>
  <c r="G22" i="130"/>
  <c r="G27" i="130" s="1"/>
  <c r="G59" i="130" s="1"/>
  <c r="S12" i="133"/>
  <c r="G33" i="130" s="1"/>
  <c r="G76" i="130" s="1"/>
  <c r="L17" i="11"/>
  <c r="M25" i="11"/>
  <c r="L25" i="11" s="1"/>
  <c r="T15" i="20"/>
  <c r="U15" i="20" s="1"/>
  <c r="Q15" i="20"/>
  <c r="E14" i="11" s="1"/>
  <c r="I28" i="129"/>
  <c r="I72" i="129" s="1"/>
  <c r="I68" i="129" s="1"/>
  <c r="I24" i="129"/>
  <c r="I27" i="129"/>
  <c r="I58" i="129" s="1"/>
  <c r="I26" i="129"/>
  <c r="I57" i="129" s="1"/>
  <c r="I40" i="129"/>
  <c r="J14" i="11"/>
  <c r="I32" i="129"/>
  <c r="I75" i="129" s="1"/>
  <c r="K87" i="11"/>
  <c r="L87" i="11" s="1"/>
  <c r="E54" i="131"/>
  <c r="E48" i="131" s="1"/>
  <c r="E32" i="131"/>
  <c r="E68" i="131"/>
  <c r="E66" i="131" s="1"/>
  <c r="E58" i="131" s="1"/>
  <c r="M10" i="133"/>
  <c r="E96" i="210"/>
  <c r="T12" i="133" l="1"/>
  <c r="U12" i="133" s="1"/>
  <c r="J52" i="11"/>
  <c r="G28" i="130"/>
  <c r="G73" i="130" s="1"/>
  <c r="G69" i="130" s="1"/>
  <c r="G26" i="130"/>
  <c r="G58" i="130" s="1"/>
  <c r="G57" i="130" s="1"/>
  <c r="G51" i="130" s="1"/>
  <c r="G24" i="130"/>
  <c r="G62" i="130" s="1"/>
  <c r="G42" i="130"/>
  <c r="H22" i="130"/>
  <c r="M53" i="11"/>
  <c r="S13" i="133"/>
  <c r="R13" i="133"/>
  <c r="I53" i="11" s="1"/>
  <c r="N13" i="133"/>
  <c r="P13" i="133" s="1"/>
  <c r="I56" i="129"/>
  <c r="I50" i="129" s="1"/>
  <c r="I33" i="129"/>
  <c r="I61" i="129"/>
  <c r="I60" i="129" s="1"/>
  <c r="K14" i="11"/>
  <c r="L14" i="11" s="1"/>
  <c r="K52" i="11"/>
  <c r="L52" i="11" s="1"/>
  <c r="G34" i="130" l="1"/>
  <c r="G61" i="130"/>
  <c r="T13" i="133"/>
  <c r="U13" i="133" s="1"/>
  <c r="Q13" i="133"/>
  <c r="E53" i="11" s="1"/>
  <c r="J53" i="11"/>
  <c r="H33" i="130"/>
  <c r="H76" i="130" s="1"/>
  <c r="H42" i="130"/>
  <c r="H26" i="130"/>
  <c r="H58" i="130" s="1"/>
  <c r="H57" i="130" s="1"/>
  <c r="H51" i="130" s="1"/>
  <c r="H24" i="130"/>
  <c r="H28" i="130"/>
  <c r="H73" i="130" s="1"/>
  <c r="H69" i="130" s="1"/>
  <c r="H27" i="130"/>
  <c r="H59" i="130" s="1"/>
  <c r="L92" i="11"/>
  <c r="K53" i="11" l="1"/>
  <c r="L53" i="11" s="1"/>
  <c r="H62" i="130"/>
  <c r="H61" i="130" s="1"/>
  <c r="H34" i="130"/>
  <c r="B51" i="11"/>
  <c r="C51" i="11"/>
  <c r="D51" i="11"/>
  <c r="F51" i="11"/>
  <c r="F23" i="130" l="1"/>
  <c r="D10" i="11" l="1"/>
  <c r="F10" i="11"/>
  <c r="F43" i="130" l="1"/>
  <c r="F75" i="130" s="1"/>
  <c r="F37" i="130"/>
  <c r="F72" i="130"/>
  <c r="F71" i="130"/>
  <c r="F70" i="130"/>
  <c r="F68" i="130"/>
  <c r="F67" i="130"/>
  <c r="F66" i="130"/>
  <c r="F65" i="130"/>
  <c r="F64" i="130"/>
  <c r="F53" i="130"/>
  <c r="F52" i="130"/>
  <c r="F21" i="130"/>
  <c r="F25" i="130" s="1"/>
  <c r="F10" i="130"/>
  <c r="K11" i="133"/>
  <c r="J11" i="133"/>
  <c r="F35" i="130" l="1"/>
  <c r="F3" i="130"/>
  <c r="F4" i="130"/>
  <c r="F55" i="130"/>
  <c r="F56" i="130" s="1"/>
  <c r="F63" i="130"/>
  <c r="F44" i="130" l="1"/>
  <c r="C10" i="11"/>
  <c r="B10" i="11"/>
  <c r="E92" i="210" l="1"/>
  <c r="G25" i="562" l="1"/>
  <c r="G36" i="562"/>
  <c r="E36" i="562"/>
  <c r="C36" i="562"/>
  <c r="G18" i="562"/>
  <c r="E18" i="562"/>
  <c r="C18" i="562"/>
  <c r="G17" i="562"/>
  <c r="E17" i="562"/>
  <c r="C17" i="562"/>
  <c r="G16" i="562"/>
  <c r="G15" i="562"/>
  <c r="E15" i="562"/>
  <c r="C15" i="562"/>
  <c r="G12" i="562"/>
  <c r="E12" i="562"/>
  <c r="C12" i="562"/>
  <c r="B4" i="562"/>
  <c r="G12" i="561"/>
  <c r="H8" i="561"/>
  <c r="G8" i="561"/>
  <c r="C4" i="561"/>
  <c r="M7" i="209" l="1"/>
  <c r="N7" i="209"/>
  <c r="O7" i="209"/>
  <c r="M8" i="209"/>
  <c r="N8" i="209"/>
  <c r="O8" i="209"/>
  <c r="M9" i="209"/>
  <c r="N9" i="209"/>
  <c r="O9" i="209"/>
  <c r="M10" i="209"/>
  <c r="N10" i="209"/>
  <c r="O10" i="209"/>
  <c r="M11" i="209"/>
  <c r="N11" i="209"/>
  <c r="O11" i="209"/>
  <c r="M12" i="209"/>
  <c r="N12" i="209"/>
  <c r="O12" i="209"/>
  <c r="M13" i="209"/>
  <c r="N13" i="209"/>
  <c r="O13" i="209"/>
  <c r="M14" i="209"/>
  <c r="N14" i="209"/>
  <c r="O14" i="209"/>
  <c r="M15" i="209"/>
  <c r="N15" i="209"/>
  <c r="O15" i="209"/>
  <c r="M16" i="209"/>
  <c r="N16" i="209"/>
  <c r="O16" i="209"/>
  <c r="M17" i="209"/>
  <c r="N17" i="209"/>
  <c r="O17" i="209"/>
  <c r="M18" i="209"/>
  <c r="N18" i="209"/>
  <c r="O18" i="209"/>
  <c r="M19" i="209"/>
  <c r="N19" i="209"/>
  <c r="O19" i="209"/>
  <c r="M20" i="209"/>
  <c r="N20" i="209"/>
  <c r="O20" i="209"/>
  <c r="M21" i="209"/>
  <c r="N21" i="209"/>
  <c r="O21" i="209"/>
  <c r="M22" i="209"/>
  <c r="N22" i="209"/>
  <c r="O22" i="209"/>
  <c r="M23" i="209"/>
  <c r="N23" i="209"/>
  <c r="O23" i="209"/>
  <c r="M24" i="209"/>
  <c r="N24" i="209"/>
  <c r="O24" i="209"/>
  <c r="M25" i="209"/>
  <c r="N25" i="209"/>
  <c r="O25" i="209"/>
  <c r="M26" i="209"/>
  <c r="N26" i="209"/>
  <c r="O26" i="209"/>
  <c r="M27" i="209"/>
  <c r="N27" i="209"/>
  <c r="O27" i="209"/>
  <c r="M28" i="209"/>
  <c r="N28" i="209"/>
  <c r="O28" i="209"/>
  <c r="M29" i="209"/>
  <c r="N29" i="209"/>
  <c r="O29" i="209"/>
  <c r="M30" i="209"/>
  <c r="N30" i="209"/>
  <c r="O30" i="209"/>
  <c r="M31" i="209"/>
  <c r="N31" i="209"/>
  <c r="O31" i="209"/>
  <c r="M32" i="209"/>
  <c r="N32" i="209"/>
  <c r="O32" i="209"/>
  <c r="M33" i="209"/>
  <c r="N33" i="209"/>
  <c r="O33" i="209"/>
  <c r="M34" i="209"/>
  <c r="N34" i="209"/>
  <c r="O34" i="209"/>
  <c r="M35" i="209"/>
  <c r="N35" i="209"/>
  <c r="O35" i="209"/>
  <c r="M36" i="209"/>
  <c r="N36" i="209"/>
  <c r="O36" i="209"/>
  <c r="M37" i="209"/>
  <c r="N37" i="209"/>
  <c r="O37" i="209"/>
  <c r="M38" i="209"/>
  <c r="N38" i="209"/>
  <c r="O38" i="209"/>
  <c r="M39" i="209"/>
  <c r="N39" i="209"/>
  <c r="O39" i="209"/>
  <c r="M40" i="209"/>
  <c r="N40" i="209"/>
  <c r="O40" i="209"/>
  <c r="M41" i="209"/>
  <c r="N41" i="209"/>
  <c r="O41" i="209"/>
  <c r="M42" i="209"/>
  <c r="N42" i="209"/>
  <c r="O42" i="209"/>
  <c r="M43" i="209"/>
  <c r="N43" i="209"/>
  <c r="O43" i="209"/>
  <c r="M44" i="209"/>
  <c r="N44" i="209"/>
  <c r="O44" i="209"/>
  <c r="M45" i="209"/>
  <c r="N45" i="209"/>
  <c r="O45" i="209"/>
  <c r="M46" i="209"/>
  <c r="N46" i="209"/>
  <c r="O46" i="209"/>
  <c r="M47" i="209"/>
  <c r="N47" i="209"/>
  <c r="O47" i="209"/>
  <c r="M48" i="209"/>
  <c r="N48" i="209"/>
  <c r="O48" i="209"/>
  <c r="M49" i="209"/>
  <c r="N49" i="209"/>
  <c r="O49" i="209"/>
  <c r="M50" i="209"/>
  <c r="N50" i="209"/>
  <c r="O50" i="209"/>
  <c r="M51" i="209"/>
  <c r="N51" i="209"/>
  <c r="O51" i="209"/>
  <c r="M52" i="209"/>
  <c r="N52" i="209"/>
  <c r="O52" i="209"/>
  <c r="M53" i="209"/>
  <c r="N53" i="209"/>
  <c r="O53" i="209"/>
  <c r="M54" i="209"/>
  <c r="N54" i="209"/>
  <c r="O54" i="209"/>
  <c r="M55" i="209"/>
  <c r="N55" i="209"/>
  <c r="O55" i="209"/>
  <c r="M56" i="209"/>
  <c r="N56" i="209"/>
  <c r="O56" i="209"/>
  <c r="M57" i="209"/>
  <c r="N57" i="209"/>
  <c r="O57" i="209"/>
  <c r="M58" i="209"/>
  <c r="N58" i="209"/>
  <c r="O58" i="209"/>
  <c r="M59" i="209"/>
  <c r="N59" i="209"/>
  <c r="O59" i="209"/>
  <c r="M60" i="209"/>
  <c r="N60" i="209"/>
  <c r="O60" i="209"/>
  <c r="M61" i="209"/>
  <c r="N61" i="209"/>
  <c r="O61" i="209"/>
  <c r="M62" i="209"/>
  <c r="N62" i="209"/>
  <c r="O62" i="209"/>
  <c r="M63" i="209"/>
  <c r="N63" i="209"/>
  <c r="O63" i="209"/>
  <c r="M64" i="209"/>
  <c r="N64" i="209"/>
  <c r="O64" i="209"/>
  <c r="M65" i="209"/>
  <c r="N65" i="209"/>
  <c r="O65" i="209"/>
  <c r="M66" i="209"/>
  <c r="N66" i="209"/>
  <c r="O66" i="209"/>
  <c r="M67" i="209"/>
  <c r="N67" i="209"/>
  <c r="O67" i="209"/>
  <c r="M68" i="209"/>
  <c r="N68" i="209"/>
  <c r="O68" i="209"/>
  <c r="M69" i="209"/>
  <c r="N69" i="209"/>
  <c r="O69" i="209"/>
  <c r="M70" i="209"/>
  <c r="N70" i="209"/>
  <c r="O70" i="209"/>
  <c r="M71" i="209"/>
  <c r="N71" i="209"/>
  <c r="O71" i="209"/>
  <c r="M72" i="209"/>
  <c r="N72" i="209"/>
  <c r="O72" i="209"/>
  <c r="M73" i="209"/>
  <c r="N73" i="209"/>
  <c r="O73" i="209"/>
  <c r="M74" i="209"/>
  <c r="N74" i="209"/>
  <c r="O74" i="209"/>
  <c r="M75" i="209"/>
  <c r="N75" i="209"/>
  <c r="O75" i="209"/>
  <c r="M76" i="209"/>
  <c r="N76" i="209"/>
  <c r="O76" i="209"/>
  <c r="M77" i="209"/>
  <c r="N77" i="209"/>
  <c r="O77" i="209"/>
  <c r="M78" i="209"/>
  <c r="N78" i="209"/>
  <c r="O78" i="209"/>
  <c r="M79" i="209"/>
  <c r="N79" i="209"/>
  <c r="O79" i="209"/>
  <c r="M80" i="209"/>
  <c r="N80" i="209"/>
  <c r="O80" i="209"/>
  <c r="M81" i="209"/>
  <c r="N81" i="209"/>
  <c r="O81" i="209"/>
  <c r="M82" i="209"/>
  <c r="N82" i="209"/>
  <c r="O82" i="209"/>
  <c r="M83" i="209"/>
  <c r="N83" i="209"/>
  <c r="O83" i="209"/>
  <c r="M84" i="209"/>
  <c r="N84" i="209"/>
  <c r="O84" i="209"/>
  <c r="M85" i="209"/>
  <c r="N85" i="209"/>
  <c r="O85" i="209"/>
  <c r="M86" i="209"/>
  <c r="N86" i="209"/>
  <c r="O86" i="209"/>
  <c r="M87" i="209"/>
  <c r="N87" i="209"/>
  <c r="O87" i="209"/>
  <c r="M88" i="209"/>
  <c r="N88" i="209"/>
  <c r="O88" i="209"/>
  <c r="M89" i="209"/>
  <c r="N89" i="209"/>
  <c r="O89" i="209"/>
  <c r="M90" i="209"/>
  <c r="N90" i="209"/>
  <c r="O90" i="209"/>
  <c r="M91" i="209"/>
  <c r="N91" i="209"/>
  <c r="O91" i="209"/>
  <c r="M92" i="209"/>
  <c r="N92" i="209"/>
  <c r="O92" i="209"/>
  <c r="M94" i="209"/>
  <c r="N94" i="209"/>
  <c r="O94" i="209"/>
  <c r="M95" i="209"/>
  <c r="N95" i="209"/>
  <c r="O95" i="209"/>
  <c r="M96" i="209"/>
  <c r="N96" i="209"/>
  <c r="O96" i="209"/>
  <c r="M97" i="209"/>
  <c r="N97" i="209"/>
  <c r="O97" i="209"/>
  <c r="M98" i="209"/>
  <c r="N98" i="209"/>
  <c r="O98" i="209"/>
  <c r="M99" i="209"/>
  <c r="N99" i="209"/>
  <c r="O99" i="209"/>
  <c r="M100" i="209"/>
  <c r="N100" i="209"/>
  <c r="O100" i="209"/>
  <c r="M101" i="209"/>
  <c r="N101" i="209"/>
  <c r="O101" i="209"/>
  <c r="M102" i="209"/>
  <c r="N102" i="209"/>
  <c r="O102" i="209"/>
  <c r="M103" i="209"/>
  <c r="N103" i="209"/>
  <c r="O103" i="209"/>
  <c r="M104" i="209"/>
  <c r="N104" i="209"/>
  <c r="O104" i="209"/>
  <c r="M105" i="209"/>
  <c r="N105" i="209"/>
  <c r="O105" i="209"/>
  <c r="M106" i="209"/>
  <c r="N106" i="209"/>
  <c r="O106" i="209"/>
  <c r="M107" i="209"/>
  <c r="N107" i="209"/>
  <c r="O107" i="209"/>
  <c r="M108" i="209"/>
  <c r="N108" i="209"/>
  <c r="O108" i="209"/>
  <c r="M109" i="209"/>
  <c r="N109" i="209"/>
  <c r="O109" i="209"/>
  <c r="M110" i="209"/>
  <c r="N110" i="209"/>
  <c r="O110" i="209"/>
  <c r="M111" i="209"/>
  <c r="N111" i="209"/>
  <c r="O111" i="209"/>
  <c r="M112" i="209"/>
  <c r="N112" i="209"/>
  <c r="O112" i="209"/>
  <c r="M113" i="209"/>
  <c r="N113" i="209"/>
  <c r="O113" i="209"/>
  <c r="M114" i="209"/>
  <c r="N114" i="209"/>
  <c r="O114" i="209"/>
  <c r="M115" i="209"/>
  <c r="N115" i="209"/>
  <c r="O115" i="209"/>
  <c r="M116" i="209"/>
  <c r="N116" i="209"/>
  <c r="O116" i="209"/>
  <c r="M117" i="209"/>
  <c r="N117" i="209"/>
  <c r="O117" i="209"/>
  <c r="M118" i="209"/>
  <c r="N118" i="209"/>
  <c r="O118" i="209"/>
  <c r="M119" i="209"/>
  <c r="N119" i="209"/>
  <c r="O119" i="209"/>
  <c r="M120" i="209"/>
  <c r="N120" i="209"/>
  <c r="O120" i="209"/>
  <c r="M121" i="209"/>
  <c r="N121" i="209"/>
  <c r="O121" i="209"/>
  <c r="M122" i="209"/>
  <c r="N122" i="209"/>
  <c r="O122" i="209"/>
  <c r="M123" i="209"/>
  <c r="N123" i="209"/>
  <c r="O123" i="209"/>
  <c r="M124" i="209"/>
  <c r="N124" i="209"/>
  <c r="O124" i="209"/>
  <c r="M125" i="209"/>
  <c r="N125" i="209"/>
  <c r="O125" i="209"/>
  <c r="M126" i="209"/>
  <c r="N126" i="209"/>
  <c r="O126" i="209"/>
  <c r="M127" i="209"/>
  <c r="N127" i="209"/>
  <c r="O127" i="209"/>
  <c r="M128" i="209"/>
  <c r="N128" i="209"/>
  <c r="O128" i="209"/>
  <c r="M129" i="209"/>
  <c r="N129" i="209"/>
  <c r="O129" i="209"/>
  <c r="M130" i="209"/>
  <c r="N130" i="209"/>
  <c r="O130" i="209"/>
  <c r="M131" i="209"/>
  <c r="N131" i="209"/>
  <c r="O131" i="209"/>
  <c r="M132" i="209"/>
  <c r="N132" i="209"/>
  <c r="O132" i="209"/>
  <c r="M133" i="209"/>
  <c r="N133" i="209"/>
  <c r="O133" i="209"/>
  <c r="M134" i="209"/>
  <c r="N134" i="209"/>
  <c r="O134" i="209"/>
  <c r="M135" i="209"/>
  <c r="N135" i="209"/>
  <c r="O135" i="209"/>
  <c r="M136" i="209"/>
  <c r="N136" i="209"/>
  <c r="O136" i="209"/>
  <c r="M137" i="209"/>
  <c r="N137" i="209"/>
  <c r="O137" i="209"/>
  <c r="M138" i="209"/>
  <c r="N138" i="209"/>
  <c r="O138" i="209"/>
  <c r="M139" i="209"/>
  <c r="N139" i="209"/>
  <c r="O139" i="209"/>
  <c r="M140" i="209"/>
  <c r="N140" i="209"/>
  <c r="O140" i="209"/>
  <c r="M141" i="209"/>
  <c r="N141" i="209"/>
  <c r="O141" i="209"/>
  <c r="M142" i="209"/>
  <c r="N142" i="209"/>
  <c r="O142" i="209"/>
  <c r="M143" i="209"/>
  <c r="N143" i="209"/>
  <c r="O143" i="209"/>
  <c r="M144" i="209"/>
  <c r="N144" i="209"/>
  <c r="O144" i="209"/>
  <c r="M145" i="209"/>
  <c r="N145" i="209"/>
  <c r="O145" i="209"/>
  <c r="M146" i="209"/>
  <c r="N146" i="209"/>
  <c r="O146" i="209"/>
  <c r="M147" i="209"/>
  <c r="N147" i="209"/>
  <c r="O147" i="209"/>
  <c r="M148" i="209"/>
  <c r="N148" i="209"/>
  <c r="O148" i="209"/>
  <c r="M149" i="209"/>
  <c r="N149" i="209"/>
  <c r="O149" i="209"/>
  <c r="M150" i="209"/>
  <c r="N150" i="209"/>
  <c r="O150" i="209"/>
  <c r="M151" i="209"/>
  <c r="N151" i="209"/>
  <c r="O151" i="209"/>
  <c r="M152" i="209"/>
  <c r="N152" i="209"/>
  <c r="O152" i="209"/>
  <c r="M153" i="209"/>
  <c r="N153" i="209"/>
  <c r="O153" i="209"/>
  <c r="M154" i="209"/>
  <c r="N154" i="209"/>
  <c r="O154" i="209"/>
  <c r="M155" i="209"/>
  <c r="N155" i="209"/>
  <c r="O155" i="209"/>
  <c r="M156" i="209"/>
  <c r="N156" i="209"/>
  <c r="O156" i="209"/>
  <c r="M157" i="209"/>
  <c r="N157" i="209"/>
  <c r="O157" i="209"/>
  <c r="M158" i="209"/>
  <c r="N158" i="209"/>
  <c r="O158" i="209"/>
  <c r="M159" i="209"/>
  <c r="N159" i="209"/>
  <c r="O159" i="209"/>
  <c r="M160" i="209"/>
  <c r="N160" i="209"/>
  <c r="O160" i="209"/>
  <c r="M161" i="209"/>
  <c r="N161" i="209"/>
  <c r="O161" i="209"/>
  <c r="M162" i="209"/>
  <c r="N162" i="209"/>
  <c r="O162" i="209"/>
  <c r="M163" i="209"/>
  <c r="N163" i="209"/>
  <c r="O163" i="209"/>
  <c r="M164" i="209"/>
  <c r="N164" i="209"/>
  <c r="O164" i="209"/>
  <c r="M165" i="209"/>
  <c r="N165" i="209"/>
  <c r="O165" i="209"/>
  <c r="M166" i="209"/>
  <c r="N166" i="209"/>
  <c r="O166" i="209"/>
  <c r="M167" i="209"/>
  <c r="N167" i="209"/>
  <c r="O167" i="209"/>
  <c r="M168" i="209"/>
  <c r="N168" i="209"/>
  <c r="O168" i="209"/>
  <c r="M169" i="209"/>
  <c r="N169" i="209"/>
  <c r="O169" i="209"/>
  <c r="M170" i="209"/>
  <c r="N170" i="209"/>
  <c r="O170" i="209"/>
  <c r="M171" i="209"/>
  <c r="N171" i="209"/>
  <c r="O171" i="209"/>
  <c r="M172" i="209"/>
  <c r="N172" i="209"/>
  <c r="O172" i="209"/>
  <c r="M173" i="209"/>
  <c r="N173" i="209"/>
  <c r="O173" i="209"/>
  <c r="M174" i="209"/>
  <c r="N174" i="209"/>
  <c r="O174" i="209"/>
  <c r="M175" i="209"/>
  <c r="N175" i="209"/>
  <c r="O175" i="209"/>
  <c r="M176" i="209"/>
  <c r="N176" i="209"/>
  <c r="O176" i="209"/>
  <c r="M177" i="209"/>
  <c r="N177" i="209"/>
  <c r="O177" i="209"/>
  <c r="M178" i="209"/>
  <c r="N178" i="209"/>
  <c r="O178" i="209"/>
  <c r="M179" i="209"/>
  <c r="N179" i="209"/>
  <c r="O179" i="209"/>
  <c r="M180" i="209"/>
  <c r="N180" i="209"/>
  <c r="O180" i="209"/>
  <c r="M181" i="209"/>
  <c r="N181" i="209"/>
  <c r="O181" i="209"/>
  <c r="M182" i="209"/>
  <c r="N182" i="209"/>
  <c r="O182" i="209"/>
  <c r="M183" i="209"/>
  <c r="N183" i="209"/>
  <c r="O183" i="209"/>
  <c r="M184" i="209"/>
  <c r="N184" i="209"/>
  <c r="O184" i="209"/>
  <c r="M185" i="209"/>
  <c r="N185" i="209"/>
  <c r="O185" i="209"/>
  <c r="M186" i="209"/>
  <c r="N186" i="209"/>
  <c r="O186" i="209"/>
  <c r="M187" i="209"/>
  <c r="N187" i="209"/>
  <c r="O187" i="209"/>
  <c r="M188" i="209"/>
  <c r="N188" i="209"/>
  <c r="O188" i="209"/>
  <c r="M189" i="209"/>
  <c r="N189" i="209"/>
  <c r="O189" i="209"/>
  <c r="M190" i="209"/>
  <c r="N190" i="209"/>
  <c r="O190" i="209"/>
  <c r="M191" i="209"/>
  <c r="N191" i="209"/>
  <c r="O191" i="209"/>
  <c r="M192" i="209"/>
  <c r="N192" i="209"/>
  <c r="O192" i="209"/>
  <c r="M193" i="209"/>
  <c r="N193" i="209"/>
  <c r="O193" i="209"/>
  <c r="M194" i="209"/>
  <c r="N194" i="209"/>
  <c r="O194" i="209"/>
  <c r="M195" i="209"/>
  <c r="N195" i="209"/>
  <c r="O195" i="209"/>
  <c r="M196" i="209"/>
  <c r="N196" i="209"/>
  <c r="O196" i="209"/>
  <c r="M197" i="209"/>
  <c r="N197" i="209"/>
  <c r="O197" i="209"/>
  <c r="M198" i="209"/>
  <c r="N198" i="209"/>
  <c r="O198" i="209"/>
  <c r="M199" i="209"/>
  <c r="N199" i="209"/>
  <c r="O199" i="209"/>
  <c r="M200" i="209"/>
  <c r="N200" i="209"/>
  <c r="O200" i="209"/>
  <c r="M201" i="209"/>
  <c r="N201" i="209"/>
  <c r="O201" i="209"/>
  <c r="M202" i="209"/>
  <c r="N202" i="209"/>
  <c r="O202" i="209"/>
  <c r="M203" i="209"/>
  <c r="N203" i="209"/>
  <c r="O203" i="209"/>
  <c r="M204" i="209"/>
  <c r="N204" i="209"/>
  <c r="O204" i="209"/>
  <c r="M205" i="209"/>
  <c r="N205" i="209"/>
  <c r="O205" i="209"/>
  <c r="M206" i="209"/>
  <c r="N206" i="209"/>
  <c r="O206" i="209"/>
  <c r="M207" i="209"/>
  <c r="N207" i="209"/>
  <c r="O207" i="209"/>
  <c r="M208" i="209"/>
  <c r="N208" i="209"/>
  <c r="O208" i="209"/>
  <c r="M209" i="209"/>
  <c r="N209" i="209"/>
  <c r="O209" i="209"/>
  <c r="M210" i="209"/>
  <c r="N210" i="209"/>
  <c r="O210" i="209"/>
  <c r="M211" i="209"/>
  <c r="N211" i="209"/>
  <c r="O211" i="209"/>
  <c r="M212" i="209"/>
  <c r="N212" i="209"/>
  <c r="O212" i="209"/>
  <c r="M213" i="209"/>
  <c r="N213" i="209"/>
  <c r="O213" i="209"/>
  <c r="M214" i="209"/>
  <c r="N214" i="209"/>
  <c r="O214" i="209"/>
  <c r="M215" i="209"/>
  <c r="N215" i="209"/>
  <c r="O215" i="209"/>
  <c r="M216" i="209"/>
  <c r="N216" i="209"/>
  <c r="O216" i="209"/>
  <c r="M217" i="209"/>
  <c r="N217" i="209"/>
  <c r="O217" i="209"/>
  <c r="M218" i="209"/>
  <c r="N218" i="209"/>
  <c r="O218" i="209"/>
  <c r="M219" i="209"/>
  <c r="N219" i="209"/>
  <c r="O219" i="209"/>
  <c r="M220" i="209"/>
  <c r="N220" i="209"/>
  <c r="O220" i="209"/>
  <c r="M221" i="209"/>
  <c r="N221" i="209"/>
  <c r="O221" i="209"/>
  <c r="M222" i="209"/>
  <c r="N222" i="209"/>
  <c r="O222" i="209"/>
  <c r="M223" i="209"/>
  <c r="N223" i="209"/>
  <c r="O223" i="209"/>
  <c r="M224" i="209"/>
  <c r="N224" i="209"/>
  <c r="O224" i="209"/>
  <c r="M225" i="209"/>
  <c r="N225" i="209"/>
  <c r="O225" i="209"/>
  <c r="M226" i="209"/>
  <c r="N226" i="209"/>
  <c r="O226" i="209"/>
  <c r="M227" i="209"/>
  <c r="N227" i="209"/>
  <c r="O227" i="209"/>
  <c r="M228" i="209"/>
  <c r="N228" i="209"/>
  <c r="O228" i="209"/>
  <c r="N6" i="209"/>
  <c r="O6" i="209"/>
  <c r="M6" i="209"/>
  <c r="F9" i="11" l="1"/>
  <c r="M51" i="11" l="1"/>
  <c r="L60" i="11" s="1"/>
  <c r="F22" i="130"/>
  <c r="S11" i="133"/>
  <c r="N11" i="133"/>
  <c r="P11" i="133" s="1"/>
  <c r="R11" i="133"/>
  <c r="I51" i="11" s="1"/>
  <c r="E3" i="129"/>
  <c r="F27" i="130" l="1"/>
  <c r="F59" i="130" s="1"/>
  <c r="F28" i="130"/>
  <c r="F73" i="130" s="1"/>
  <c r="F69" i="130" s="1"/>
  <c r="F26" i="130"/>
  <c r="F58" i="130" s="1"/>
  <c r="Q11" i="133"/>
  <c r="E51" i="11" s="1"/>
  <c r="T11" i="133"/>
  <c r="U11" i="133" s="1"/>
  <c r="J51" i="11"/>
  <c r="F33" i="130"/>
  <c r="F76" i="130" s="1"/>
  <c r="F42" i="130"/>
  <c r="F24" i="130"/>
  <c r="E88" i="210"/>
  <c r="G13" i="561" s="1"/>
  <c r="F62" i="130" l="1"/>
  <c r="F61" i="130" s="1"/>
  <c r="F34" i="130"/>
  <c r="F57" i="130"/>
  <c r="F51" i="130" s="1"/>
  <c r="K51" i="11"/>
  <c r="L51" i="11" s="1"/>
  <c r="E36" i="129" l="1"/>
  <c r="E23" i="129"/>
  <c r="K11" i="20"/>
  <c r="J11" i="20"/>
  <c r="N11" i="20" l="1"/>
  <c r="P11" i="20" s="1"/>
  <c r="T11" i="20" s="1"/>
  <c r="E4" i="129"/>
  <c r="E22" i="129"/>
  <c r="S11" i="20"/>
  <c r="R11" i="20"/>
  <c r="I10" i="11" l="1"/>
  <c r="U11" i="20"/>
  <c r="E26" i="129"/>
  <c r="E27" i="129"/>
  <c r="J10" i="11"/>
  <c r="Q11" i="20"/>
  <c r="E10" i="11" s="1"/>
  <c r="E32" i="129"/>
  <c r="K10" i="11" l="1"/>
  <c r="L10" i="11" s="1"/>
  <c r="C8" i="388"/>
  <c r="C9" i="388"/>
  <c r="C10" i="388"/>
  <c r="C11" i="388"/>
  <c r="C12" i="388"/>
  <c r="C13" i="388"/>
  <c r="C14" i="388"/>
  <c r="C15" i="388"/>
  <c r="C16" i="388"/>
  <c r="C17" i="388"/>
  <c r="C18" i="388"/>
  <c r="C19" i="388"/>
  <c r="C20" i="388"/>
  <c r="C21" i="388"/>
  <c r="C22" i="388"/>
  <c r="C23" i="388"/>
  <c r="C24" i="388"/>
  <c r="C25" i="388"/>
  <c r="C26" i="388"/>
  <c r="C27" i="388"/>
  <c r="C28" i="388"/>
  <c r="C29" i="388"/>
  <c r="C30" i="388"/>
  <c r="C31" i="388"/>
  <c r="C32" i="388"/>
  <c r="C33" i="388"/>
  <c r="C34" i="388"/>
  <c r="C35" i="388"/>
  <c r="C36" i="388"/>
  <c r="C37" i="388"/>
  <c r="C38" i="388"/>
  <c r="C39" i="388"/>
  <c r="C40" i="388"/>
  <c r="C41" i="388"/>
  <c r="C42" i="388"/>
  <c r="C43" i="388"/>
  <c r="C44" i="388"/>
  <c r="C45" i="388"/>
  <c r="C46" i="388"/>
  <c r="C47" i="388"/>
  <c r="C48" i="388"/>
  <c r="C49" i="388"/>
  <c r="C50" i="388"/>
  <c r="C51" i="388"/>
  <c r="C52" i="388"/>
  <c r="C53" i="388"/>
  <c r="C54" i="388"/>
  <c r="C55" i="388"/>
  <c r="C56" i="388"/>
  <c r="C57" i="388"/>
  <c r="C58" i="388"/>
  <c r="C59" i="388"/>
  <c r="C60" i="388"/>
  <c r="C61" i="388"/>
  <c r="C62" i="388"/>
  <c r="C63" i="388"/>
  <c r="C64" i="388"/>
  <c r="C65" i="388"/>
  <c r="C66" i="388"/>
  <c r="C67" i="388"/>
  <c r="C68" i="388"/>
  <c r="C69" i="388"/>
  <c r="C70" i="388"/>
  <c r="C71" i="388"/>
  <c r="C72" i="388"/>
  <c r="C73" i="388"/>
  <c r="C74" i="388"/>
  <c r="C75" i="388"/>
  <c r="C76" i="388"/>
  <c r="C77" i="388"/>
  <c r="C78" i="388"/>
  <c r="C79" i="388"/>
  <c r="C80" i="388"/>
  <c r="C81" i="388"/>
  <c r="C82" i="388"/>
  <c r="C83" i="388"/>
  <c r="C84" i="388"/>
  <c r="C85" i="388"/>
  <c r="C86" i="388"/>
  <c r="C87" i="388"/>
  <c r="C88" i="388"/>
  <c r="C89" i="388"/>
  <c r="C90" i="388"/>
  <c r="C91" i="388"/>
  <c r="C92" i="388"/>
  <c r="C93" i="388"/>
  <c r="C94" i="388"/>
  <c r="C95" i="388"/>
  <c r="C96" i="388"/>
  <c r="C97" i="388"/>
  <c r="C98" i="388"/>
  <c r="C99" i="388"/>
  <c r="C100" i="388"/>
  <c r="C101" i="388"/>
  <c r="C102" i="388"/>
  <c r="C103" i="388"/>
  <c r="C104" i="388"/>
  <c r="C105" i="388"/>
  <c r="C106" i="388"/>
  <c r="C107" i="388"/>
  <c r="C108" i="388"/>
  <c r="C109" i="388"/>
  <c r="C110" i="388"/>
  <c r="C111" i="388"/>
  <c r="C112" i="388"/>
  <c r="C113" i="388"/>
  <c r="C114" i="388"/>
  <c r="C115" i="388"/>
  <c r="C116" i="388"/>
  <c r="C117" i="388"/>
  <c r="C118" i="388"/>
  <c r="C119" i="388"/>
  <c r="C120" i="388"/>
  <c r="C121" i="388"/>
  <c r="C122" i="388"/>
  <c r="C123" i="388"/>
  <c r="C124" i="388"/>
  <c r="C125" i="388"/>
  <c r="C126" i="388"/>
  <c r="C127" i="388"/>
  <c r="C128" i="388"/>
  <c r="C129" i="388"/>
  <c r="C130" i="388"/>
  <c r="C131" i="388"/>
  <c r="C132" i="388"/>
  <c r="C133" i="388"/>
  <c r="C134" i="388"/>
  <c r="C135" i="388"/>
  <c r="C136" i="388"/>
  <c r="C137" i="388"/>
  <c r="C138" i="388"/>
  <c r="C139" i="388"/>
  <c r="C140" i="388"/>
  <c r="C141" i="388"/>
  <c r="C142" i="388"/>
  <c r="C143" i="388"/>
  <c r="C144" i="388"/>
  <c r="C145" i="388"/>
  <c r="C146" i="388"/>
  <c r="C147" i="388"/>
  <c r="C148" i="388"/>
  <c r="C149" i="388"/>
  <c r="C150" i="388"/>
  <c r="C151" i="388"/>
  <c r="C152" i="388"/>
  <c r="C153" i="388"/>
  <c r="C154" i="388"/>
  <c r="C155" i="388"/>
  <c r="C156" i="388"/>
  <c r="C157" i="388"/>
  <c r="C158" i="388"/>
  <c r="C159" i="388"/>
  <c r="C160" i="388"/>
  <c r="C161" i="388"/>
  <c r="C162" i="388"/>
  <c r="C163" i="388"/>
  <c r="C164" i="388"/>
  <c r="C165" i="388"/>
  <c r="C166" i="388"/>
  <c r="C167" i="388"/>
  <c r="C168" i="388"/>
  <c r="C169" i="388"/>
  <c r="C170" i="388"/>
  <c r="C171" i="388"/>
  <c r="C172" i="388"/>
  <c r="C173" i="388"/>
  <c r="C174" i="388"/>
  <c r="C175" i="388"/>
  <c r="C176" i="388"/>
  <c r="C177" i="388"/>
  <c r="C178" i="388"/>
  <c r="C179" i="388"/>
  <c r="C180" i="388"/>
  <c r="C181" i="388"/>
  <c r="C182" i="388"/>
  <c r="C183" i="388"/>
  <c r="C184" i="388"/>
  <c r="C185" i="388"/>
  <c r="C186" i="388"/>
  <c r="C187" i="388"/>
  <c r="C188" i="388"/>
  <c r="C189" i="388"/>
  <c r="C190" i="388"/>
  <c r="C191" i="388"/>
  <c r="C192" i="388"/>
  <c r="C193" i="388"/>
  <c r="C194" i="388"/>
  <c r="C195" i="388"/>
  <c r="C196" i="388"/>
  <c r="C197" i="388"/>
  <c r="C198" i="388"/>
  <c r="C199" i="388"/>
  <c r="C200" i="388"/>
  <c r="C201" i="388"/>
  <c r="C202" i="388"/>
  <c r="C203" i="388"/>
  <c r="C204" i="388"/>
  <c r="C205" i="388"/>
  <c r="C206" i="388"/>
  <c r="C207" i="388"/>
  <c r="C208" i="388"/>
  <c r="C209" i="388"/>
  <c r="C210" i="388"/>
  <c r="C211" i="388"/>
  <c r="C212" i="388"/>
  <c r="C213" i="388"/>
  <c r="C214" i="388"/>
  <c r="C215" i="388"/>
  <c r="C216" i="388"/>
  <c r="C217" i="388"/>
  <c r="C218" i="388"/>
  <c r="C219" i="388"/>
  <c r="C220" i="388"/>
  <c r="C221" i="388"/>
  <c r="C222" i="388"/>
  <c r="C223" i="388"/>
  <c r="C224" i="388"/>
  <c r="C225" i="388"/>
  <c r="C226" i="388"/>
  <c r="C227" i="388"/>
  <c r="C228" i="388"/>
  <c r="C229" i="388"/>
  <c r="C7" i="388"/>
  <c r="G8" i="556"/>
  <c r="G8" i="554"/>
  <c r="G8" i="552"/>
  <c r="G8" i="550"/>
  <c r="G8" i="548"/>
  <c r="G8" i="546"/>
  <c r="G8" i="544"/>
  <c r="G8" i="542"/>
  <c r="G8" i="540"/>
  <c r="G8" i="538"/>
  <c r="G8" i="536"/>
  <c r="G8" i="534"/>
  <c r="G8" i="532"/>
  <c r="G8" i="530"/>
  <c r="G8" i="528"/>
  <c r="G8" i="526"/>
  <c r="G8" i="524"/>
  <c r="G8" i="522"/>
  <c r="G8" i="520"/>
  <c r="G8" i="518"/>
  <c r="G8" i="516"/>
  <c r="G8" i="514"/>
  <c r="G8" i="512"/>
  <c r="G8" i="510"/>
  <c r="G8" i="508"/>
  <c r="G8" i="506"/>
  <c r="G8" i="504"/>
  <c r="G8" i="502"/>
  <c r="G8" i="500"/>
  <c r="G8" i="498"/>
  <c r="G8" i="306"/>
  <c r="G8" i="304"/>
  <c r="G8" i="302"/>
  <c r="G8" i="300"/>
  <c r="G8" i="298"/>
  <c r="G8" i="296"/>
  <c r="G8" i="294"/>
  <c r="G8" i="72"/>
  <c r="G8" i="105"/>
  <c r="G8" i="45"/>
  <c r="G8" i="74"/>
  <c r="G8" i="62"/>
  <c r="G8" i="102"/>
  <c r="G8" i="106"/>
  <c r="G8" i="36"/>
  <c r="G8" i="104"/>
  <c r="G8" i="103"/>
  <c r="G8" i="69"/>
  <c r="G8" i="48"/>
  <c r="G8" i="68"/>
  <c r="G8" i="385"/>
  <c r="G8" i="44"/>
  <c r="G25" i="454"/>
  <c r="G8" i="383"/>
  <c r="G8" i="477"/>
  <c r="G8" i="475"/>
  <c r="G8" i="473"/>
  <c r="G8" i="471"/>
  <c r="G8" i="469"/>
  <c r="G8" i="467"/>
  <c r="G8" i="465"/>
  <c r="G8" i="463"/>
  <c r="G8" i="461"/>
  <c r="G8" i="459"/>
  <c r="G8" i="455"/>
  <c r="G8" i="457"/>
  <c r="G8" i="381"/>
  <c r="G8" i="379"/>
  <c r="G8" i="377"/>
  <c r="G8" i="374"/>
  <c r="G8" i="372"/>
  <c r="G8" i="370"/>
  <c r="G8" i="368"/>
  <c r="G8" i="366"/>
  <c r="G8" i="364"/>
  <c r="G8" i="362"/>
  <c r="G8" i="360"/>
  <c r="G8" i="358"/>
  <c r="G8" i="356"/>
  <c r="G8" i="354"/>
  <c r="G8" i="352"/>
  <c r="G8" i="350"/>
  <c r="G8" i="348"/>
  <c r="G8" i="346"/>
  <c r="G8" i="344"/>
  <c r="G8" i="342"/>
  <c r="G8" i="340"/>
  <c r="G8" i="338"/>
  <c r="G8" i="336"/>
  <c r="G8" i="334"/>
  <c r="G8" i="332"/>
  <c r="G8" i="330"/>
  <c r="G8" i="328"/>
  <c r="G8" i="326"/>
  <c r="G8" i="324"/>
  <c r="G8" i="322"/>
  <c r="G8" i="320"/>
  <c r="G8" i="318"/>
  <c r="G8" i="316"/>
  <c r="G8" i="42"/>
  <c r="G8" i="82"/>
  <c r="G8" i="101"/>
  <c r="G8" i="280"/>
  <c r="G8" i="278"/>
  <c r="G8" i="276"/>
  <c r="G8" i="274"/>
  <c r="G8" i="272"/>
  <c r="G8" i="269"/>
  <c r="G8" i="267"/>
  <c r="G8" i="265"/>
  <c r="G8" i="263"/>
  <c r="G8" i="261"/>
  <c r="G8" i="259"/>
  <c r="G8" i="257"/>
  <c r="G8" i="255"/>
  <c r="G8" i="253"/>
  <c r="G8" i="251"/>
  <c r="G8" i="285"/>
  <c r="G8" i="248"/>
  <c r="G8" i="247"/>
  <c r="G8" i="245"/>
  <c r="G8" i="243"/>
  <c r="G8" i="241"/>
  <c r="G8" i="239"/>
  <c r="G8" i="237"/>
  <c r="G8" i="235"/>
  <c r="G8" i="34"/>
  <c r="G8" i="73"/>
  <c r="G8" i="43"/>
  <c r="G8" i="59"/>
  <c r="G8" i="314"/>
  <c r="G8" i="312"/>
  <c r="G8" i="310"/>
  <c r="G25" i="453"/>
  <c r="G8" i="452"/>
  <c r="G8" i="63"/>
  <c r="G8" i="98"/>
  <c r="G8" i="100"/>
  <c r="G8" i="75"/>
  <c r="G8" i="97"/>
  <c r="G8" i="135"/>
  <c r="G8" i="96"/>
  <c r="G8" i="95"/>
  <c r="G8" i="41"/>
  <c r="G8" i="232"/>
  <c r="G8" i="234"/>
  <c r="G8" i="32"/>
  <c r="G8" i="449"/>
  <c r="G8" i="447"/>
  <c r="G8" i="445"/>
  <c r="G8" i="443"/>
  <c r="G8" i="441"/>
  <c r="G8" i="439"/>
  <c r="G8" i="437"/>
  <c r="G8" i="435"/>
  <c r="G8" i="433"/>
  <c r="G8" i="431"/>
  <c r="G8" i="429"/>
  <c r="G8" i="425"/>
  <c r="G8" i="423"/>
  <c r="G8" i="421"/>
  <c r="G8" i="419"/>
  <c r="G8" i="417"/>
  <c r="G8" i="415"/>
  <c r="G8" i="413"/>
  <c r="G8" i="411"/>
  <c r="G8" i="409"/>
  <c r="G8" i="308"/>
  <c r="G8" i="51"/>
  <c r="G8" i="50"/>
  <c r="G8" i="230"/>
  <c r="G8" i="228"/>
  <c r="G8" i="226"/>
  <c r="G8" i="224"/>
  <c r="G8" i="222"/>
  <c r="G8" i="217"/>
  <c r="G8" i="93"/>
  <c r="G8" i="47"/>
  <c r="G8" i="39"/>
  <c r="G8" i="83"/>
  <c r="G8" i="53"/>
  <c r="G8" i="29"/>
  <c r="G8" i="91"/>
  <c r="G8" i="92"/>
  <c r="G8" i="77"/>
  <c r="G8" i="52"/>
  <c r="G8" i="81"/>
  <c r="G8" i="55"/>
  <c r="G8" i="38"/>
  <c r="G8" i="66"/>
  <c r="G8" i="89"/>
  <c r="G8" i="88"/>
  <c r="G8" i="87"/>
  <c r="G8" i="80"/>
  <c r="G8" i="54"/>
  <c r="G8" i="57"/>
  <c r="G8" i="61"/>
  <c r="G8" i="86"/>
  <c r="G8" i="56"/>
  <c r="G8" i="71"/>
  <c r="G8" i="398"/>
  <c r="G8" i="403"/>
  <c r="G8" i="401"/>
  <c r="G8" i="399"/>
  <c r="G8" i="392"/>
  <c r="G8" i="408"/>
  <c r="G8" i="396"/>
  <c r="G8" i="394"/>
  <c r="G8" i="390"/>
  <c r="G8" i="211"/>
  <c r="G8" i="40"/>
  <c r="G8" i="49"/>
  <c r="G8" i="37"/>
  <c r="G8" i="27"/>
  <c r="G8" i="65"/>
  <c r="G8" i="85"/>
  <c r="G8" i="70"/>
  <c r="G8" i="64"/>
  <c r="G36" i="560" l="1"/>
  <c r="E36" i="560"/>
  <c r="C36" i="560"/>
  <c r="G18" i="560"/>
  <c r="E18" i="560"/>
  <c r="C18" i="560"/>
  <c r="G17" i="560"/>
  <c r="E17" i="560"/>
  <c r="C17" i="560"/>
  <c r="G16" i="560"/>
  <c r="G15" i="560"/>
  <c r="E15" i="560"/>
  <c r="C15" i="560"/>
  <c r="G12" i="560"/>
  <c r="E12" i="560"/>
  <c r="C12" i="560"/>
  <c r="B4" i="560"/>
  <c r="D22" i="129" l="1"/>
  <c r="E22" i="130"/>
  <c r="E18" i="182"/>
  <c r="E17" i="182"/>
  <c r="E15" i="182"/>
  <c r="E12" i="182"/>
  <c r="K22" i="130" l="1"/>
  <c r="J22" i="129"/>
  <c r="E27" i="130"/>
  <c r="E59" i="130" s="1"/>
  <c r="E26" i="130"/>
  <c r="D27" i="129"/>
  <c r="D26" i="129"/>
  <c r="D57" i="129" s="1"/>
  <c r="M50" i="11"/>
  <c r="L57" i="11" s="1"/>
  <c r="M9" i="11"/>
  <c r="L19" i="11" s="1"/>
  <c r="E23" i="130"/>
  <c r="K23" i="130" s="1"/>
  <c r="D23" i="129"/>
  <c r="J23" i="129" s="1"/>
  <c r="L23" i="130" l="1"/>
  <c r="K11" i="129"/>
  <c r="K23" i="129"/>
  <c r="E84" i="210"/>
  <c r="E80" i="210"/>
  <c r="G13" i="10" l="1"/>
  <c r="G13" i="16"/>
  <c r="G13" i="18"/>
  <c r="D9" i="11" l="1"/>
  <c r="D86" i="11"/>
  <c r="D29" i="11" l="1"/>
  <c r="D93" i="11"/>
  <c r="N96" i="11" s="1"/>
  <c r="D35" i="131"/>
  <c r="D24" i="131"/>
  <c r="F24" i="131" s="1"/>
  <c r="M31" i="11" l="1"/>
  <c r="N31" i="11"/>
  <c r="E37" i="130"/>
  <c r="E3" i="130" l="1"/>
  <c r="G36" i="559" l="1"/>
  <c r="E36" i="559"/>
  <c r="C36" i="559"/>
  <c r="G18" i="559"/>
  <c r="E18" i="559"/>
  <c r="C18" i="559"/>
  <c r="G17" i="559"/>
  <c r="E17" i="559"/>
  <c r="C17" i="559"/>
  <c r="G16" i="559"/>
  <c r="G15" i="559"/>
  <c r="E15" i="559"/>
  <c r="C15" i="559"/>
  <c r="G12" i="559"/>
  <c r="E12" i="559"/>
  <c r="C12" i="559"/>
  <c r="B4" i="559"/>
  <c r="G36" i="557"/>
  <c r="E36" i="557"/>
  <c r="C36" i="557"/>
  <c r="G18" i="557"/>
  <c r="E18" i="557"/>
  <c r="C18" i="557"/>
  <c r="G17" i="557"/>
  <c r="E17" i="557"/>
  <c r="C17" i="557"/>
  <c r="G16" i="557"/>
  <c r="G15" i="557"/>
  <c r="E15" i="557"/>
  <c r="C15" i="557"/>
  <c r="G12" i="557"/>
  <c r="E12" i="557"/>
  <c r="C12" i="557"/>
  <c r="B4" i="557"/>
  <c r="G36" i="555"/>
  <c r="E36" i="555"/>
  <c r="C36" i="555"/>
  <c r="G18" i="555"/>
  <c r="E18" i="555"/>
  <c r="C18" i="555"/>
  <c r="G17" i="555"/>
  <c r="E17" i="555"/>
  <c r="C17" i="555"/>
  <c r="G16" i="555"/>
  <c r="G15" i="555"/>
  <c r="E15" i="555"/>
  <c r="C15" i="555"/>
  <c r="G12" i="555"/>
  <c r="E12" i="555"/>
  <c r="C12" i="555"/>
  <c r="B4" i="555"/>
  <c r="G36" i="551"/>
  <c r="E36" i="551"/>
  <c r="C36" i="551"/>
  <c r="G18" i="551"/>
  <c r="E18" i="551"/>
  <c r="C18" i="551"/>
  <c r="G17" i="551"/>
  <c r="E17" i="551"/>
  <c r="C17" i="551"/>
  <c r="G16" i="551"/>
  <c r="G15" i="551"/>
  <c r="E15" i="551"/>
  <c r="C15" i="551"/>
  <c r="G12" i="551"/>
  <c r="E12" i="551"/>
  <c r="C12" i="551"/>
  <c r="B4" i="551"/>
  <c r="G36" i="549"/>
  <c r="E36" i="549"/>
  <c r="C36" i="549"/>
  <c r="G18" i="549"/>
  <c r="E18" i="549"/>
  <c r="C18" i="549"/>
  <c r="G17" i="549"/>
  <c r="E17" i="549"/>
  <c r="C17" i="549"/>
  <c r="G16" i="549"/>
  <c r="G15" i="549"/>
  <c r="E15" i="549"/>
  <c r="C15" i="549"/>
  <c r="G12" i="549"/>
  <c r="E12" i="549"/>
  <c r="C12" i="549"/>
  <c r="B4" i="549"/>
  <c r="G36" i="547"/>
  <c r="E36" i="547"/>
  <c r="C36" i="547"/>
  <c r="G18" i="547"/>
  <c r="E18" i="547"/>
  <c r="C18" i="547"/>
  <c r="G17" i="547"/>
  <c r="E17" i="547"/>
  <c r="C17" i="547"/>
  <c r="G16" i="547"/>
  <c r="G15" i="547"/>
  <c r="E15" i="547"/>
  <c r="C15" i="547"/>
  <c r="G12" i="547"/>
  <c r="E12" i="547"/>
  <c r="C12" i="547"/>
  <c r="B4" i="547"/>
  <c r="G36" i="545"/>
  <c r="E36" i="545"/>
  <c r="C36" i="545"/>
  <c r="G18" i="545"/>
  <c r="E18" i="545"/>
  <c r="C18" i="545"/>
  <c r="G17" i="545"/>
  <c r="E17" i="545"/>
  <c r="C17" i="545"/>
  <c r="G16" i="545"/>
  <c r="G15" i="545"/>
  <c r="E15" i="545"/>
  <c r="C15" i="545"/>
  <c r="G12" i="545"/>
  <c r="E12" i="545"/>
  <c r="C12" i="545"/>
  <c r="B4" i="545"/>
  <c r="G36" i="543"/>
  <c r="E36" i="543"/>
  <c r="C36" i="543"/>
  <c r="G18" i="543"/>
  <c r="E18" i="543"/>
  <c r="C18" i="543"/>
  <c r="G17" i="543"/>
  <c r="E17" i="543"/>
  <c r="C17" i="543"/>
  <c r="G16" i="543"/>
  <c r="G15" i="543"/>
  <c r="E15" i="543"/>
  <c r="C15" i="543"/>
  <c r="G12" i="543"/>
  <c r="E12" i="543"/>
  <c r="C12" i="543"/>
  <c r="B4" i="543"/>
  <c r="G36" i="541"/>
  <c r="E36" i="541"/>
  <c r="C36" i="541"/>
  <c r="G18" i="541"/>
  <c r="E18" i="541"/>
  <c r="C18" i="541"/>
  <c r="G17" i="541"/>
  <c r="E17" i="541"/>
  <c r="C17" i="541"/>
  <c r="G16" i="541"/>
  <c r="G15" i="541"/>
  <c r="E15" i="541"/>
  <c r="C15" i="541"/>
  <c r="G12" i="541"/>
  <c r="E12" i="541"/>
  <c r="C12" i="541"/>
  <c r="B4" i="541"/>
  <c r="G36" i="539"/>
  <c r="E36" i="539"/>
  <c r="C36" i="539"/>
  <c r="G18" i="539"/>
  <c r="E18" i="539"/>
  <c r="C18" i="539"/>
  <c r="G17" i="539"/>
  <c r="E17" i="539"/>
  <c r="C17" i="539"/>
  <c r="G16" i="539"/>
  <c r="G15" i="539"/>
  <c r="E15" i="539"/>
  <c r="C15" i="539"/>
  <c r="G12" i="539"/>
  <c r="E12" i="539"/>
  <c r="C12" i="539"/>
  <c r="B4" i="539"/>
  <c r="G36" i="537"/>
  <c r="E36" i="537"/>
  <c r="C36" i="537"/>
  <c r="G18" i="537"/>
  <c r="E18" i="537"/>
  <c r="C18" i="537"/>
  <c r="G17" i="537"/>
  <c r="E17" i="537"/>
  <c r="C17" i="537"/>
  <c r="G16" i="537"/>
  <c r="G15" i="537"/>
  <c r="E15" i="537"/>
  <c r="C15" i="537"/>
  <c r="G12" i="537"/>
  <c r="E12" i="537"/>
  <c r="C12" i="537"/>
  <c r="B4" i="537"/>
  <c r="G36" i="535"/>
  <c r="E36" i="535"/>
  <c r="C36" i="535"/>
  <c r="G18" i="535"/>
  <c r="E18" i="535"/>
  <c r="C18" i="535"/>
  <c r="G17" i="535"/>
  <c r="E17" i="535"/>
  <c r="C17" i="535"/>
  <c r="G16" i="535"/>
  <c r="G15" i="535"/>
  <c r="E15" i="535"/>
  <c r="C15" i="535"/>
  <c r="G12" i="535"/>
  <c r="E12" i="535"/>
  <c r="C12" i="535"/>
  <c r="B4" i="535"/>
  <c r="G36" i="533"/>
  <c r="E36" i="533"/>
  <c r="C36" i="533"/>
  <c r="G18" i="533"/>
  <c r="E18" i="533"/>
  <c r="C18" i="533"/>
  <c r="G17" i="533"/>
  <c r="E17" i="533"/>
  <c r="C17" i="533"/>
  <c r="G16" i="533"/>
  <c r="G15" i="533"/>
  <c r="E15" i="533"/>
  <c r="C15" i="533"/>
  <c r="G12" i="533"/>
  <c r="E12" i="533"/>
  <c r="C12" i="533"/>
  <c r="B4" i="533"/>
  <c r="G36" i="531"/>
  <c r="E36" i="531"/>
  <c r="C36" i="531"/>
  <c r="G18" i="531"/>
  <c r="E18" i="531"/>
  <c r="C18" i="531"/>
  <c r="G17" i="531"/>
  <c r="E17" i="531"/>
  <c r="C17" i="531"/>
  <c r="G16" i="531"/>
  <c r="G15" i="531"/>
  <c r="E15" i="531"/>
  <c r="C15" i="531"/>
  <c r="G12" i="531"/>
  <c r="E12" i="531"/>
  <c r="C12" i="531"/>
  <c r="B4" i="531"/>
  <c r="G36" i="529"/>
  <c r="E36" i="529"/>
  <c r="C36" i="529"/>
  <c r="G18" i="529"/>
  <c r="E18" i="529"/>
  <c r="C18" i="529"/>
  <c r="G17" i="529"/>
  <c r="E17" i="529"/>
  <c r="C17" i="529"/>
  <c r="G16" i="529"/>
  <c r="G15" i="529"/>
  <c r="E15" i="529"/>
  <c r="C15" i="529"/>
  <c r="G12" i="529"/>
  <c r="E12" i="529"/>
  <c r="C12" i="529"/>
  <c r="B4" i="529"/>
  <c r="G36" i="527"/>
  <c r="E36" i="527"/>
  <c r="C36" i="527"/>
  <c r="G18" i="527"/>
  <c r="E18" i="527"/>
  <c r="C18" i="527"/>
  <c r="G17" i="527"/>
  <c r="E17" i="527"/>
  <c r="C17" i="527"/>
  <c r="G16" i="527"/>
  <c r="G15" i="527"/>
  <c r="E15" i="527"/>
  <c r="C15" i="527"/>
  <c r="G12" i="527"/>
  <c r="E12" i="527"/>
  <c r="C12" i="527"/>
  <c r="B4" i="527"/>
  <c r="G36" i="525"/>
  <c r="E36" i="525"/>
  <c r="C36" i="525"/>
  <c r="G18" i="525"/>
  <c r="E18" i="525"/>
  <c r="C18" i="525"/>
  <c r="G17" i="525"/>
  <c r="E17" i="525"/>
  <c r="C17" i="525"/>
  <c r="G16" i="525"/>
  <c r="G15" i="525"/>
  <c r="E15" i="525"/>
  <c r="C15" i="525"/>
  <c r="G12" i="525"/>
  <c r="E12" i="525"/>
  <c r="C12" i="525"/>
  <c r="B4" i="525"/>
  <c r="G36" i="523"/>
  <c r="E36" i="523"/>
  <c r="C36" i="523"/>
  <c r="G18" i="523"/>
  <c r="E18" i="523"/>
  <c r="C18" i="523"/>
  <c r="G17" i="523"/>
  <c r="E17" i="523"/>
  <c r="C17" i="523"/>
  <c r="G16" i="523"/>
  <c r="G15" i="523"/>
  <c r="E15" i="523"/>
  <c r="C15" i="523"/>
  <c r="G12" i="523"/>
  <c r="E12" i="523"/>
  <c r="C12" i="523"/>
  <c r="B4" i="523"/>
  <c r="G36" i="521"/>
  <c r="E36" i="521"/>
  <c r="C36" i="521"/>
  <c r="G18" i="521"/>
  <c r="E18" i="521"/>
  <c r="C18" i="521"/>
  <c r="G17" i="521"/>
  <c r="E17" i="521"/>
  <c r="C17" i="521"/>
  <c r="G16" i="521"/>
  <c r="G15" i="521"/>
  <c r="E15" i="521"/>
  <c r="C15" i="521"/>
  <c r="G12" i="521"/>
  <c r="E12" i="521"/>
  <c r="C12" i="521"/>
  <c r="B4" i="521"/>
  <c r="G36" i="519"/>
  <c r="E36" i="519"/>
  <c r="C36" i="519"/>
  <c r="G18" i="519"/>
  <c r="E18" i="519"/>
  <c r="C18" i="519"/>
  <c r="G17" i="519"/>
  <c r="E17" i="519"/>
  <c r="C17" i="519"/>
  <c r="G16" i="519"/>
  <c r="G15" i="519"/>
  <c r="E15" i="519"/>
  <c r="C15" i="519"/>
  <c r="G12" i="519"/>
  <c r="E12" i="519"/>
  <c r="C12" i="519"/>
  <c r="B4" i="519"/>
  <c r="G36" i="517"/>
  <c r="E36" i="517"/>
  <c r="C36" i="517"/>
  <c r="G18" i="517"/>
  <c r="E18" i="517"/>
  <c r="C18" i="517"/>
  <c r="G17" i="517"/>
  <c r="E17" i="517"/>
  <c r="C17" i="517"/>
  <c r="G16" i="517"/>
  <c r="G15" i="517"/>
  <c r="E15" i="517"/>
  <c r="C15" i="517"/>
  <c r="G12" i="517"/>
  <c r="E12" i="517"/>
  <c r="C12" i="517"/>
  <c r="B4" i="517"/>
  <c r="G36" i="515"/>
  <c r="E36" i="515"/>
  <c r="C36" i="515"/>
  <c r="G18" i="515"/>
  <c r="E18" i="515"/>
  <c r="C18" i="515"/>
  <c r="G17" i="515"/>
  <c r="E17" i="515"/>
  <c r="C17" i="515"/>
  <c r="G16" i="515"/>
  <c r="G15" i="515"/>
  <c r="E15" i="515"/>
  <c r="C15" i="515"/>
  <c r="G12" i="515"/>
  <c r="E12" i="515"/>
  <c r="C12" i="515"/>
  <c r="B4" i="515"/>
  <c r="G36" i="513"/>
  <c r="E36" i="513"/>
  <c r="C36" i="513"/>
  <c r="G18" i="513"/>
  <c r="E18" i="513"/>
  <c r="C18" i="513"/>
  <c r="G17" i="513"/>
  <c r="E17" i="513"/>
  <c r="C17" i="513"/>
  <c r="G16" i="513"/>
  <c r="G15" i="513"/>
  <c r="E15" i="513"/>
  <c r="C15" i="513"/>
  <c r="G12" i="513"/>
  <c r="E12" i="513"/>
  <c r="C12" i="513"/>
  <c r="B4" i="513"/>
  <c r="G36" i="511"/>
  <c r="E36" i="511"/>
  <c r="C36" i="511"/>
  <c r="G18" i="511"/>
  <c r="E18" i="511"/>
  <c r="C18" i="511"/>
  <c r="G17" i="511"/>
  <c r="E17" i="511"/>
  <c r="C17" i="511"/>
  <c r="G16" i="511"/>
  <c r="G15" i="511"/>
  <c r="E15" i="511"/>
  <c r="C15" i="511"/>
  <c r="G12" i="511"/>
  <c r="E12" i="511"/>
  <c r="C12" i="511"/>
  <c r="B4" i="511"/>
  <c r="G36" i="509"/>
  <c r="E36" i="509"/>
  <c r="C36" i="509"/>
  <c r="G18" i="509"/>
  <c r="E18" i="509"/>
  <c r="C18" i="509"/>
  <c r="G17" i="509"/>
  <c r="E17" i="509"/>
  <c r="C17" i="509"/>
  <c r="G16" i="509"/>
  <c r="G15" i="509"/>
  <c r="E15" i="509"/>
  <c r="C15" i="509"/>
  <c r="G12" i="509"/>
  <c r="E12" i="509"/>
  <c r="C12" i="509"/>
  <c r="B4" i="509"/>
  <c r="G36" i="507"/>
  <c r="E36" i="507"/>
  <c r="C36" i="507"/>
  <c r="G18" i="507"/>
  <c r="E18" i="507"/>
  <c r="C18" i="507"/>
  <c r="G17" i="507"/>
  <c r="E17" i="507"/>
  <c r="C17" i="507"/>
  <c r="G16" i="507"/>
  <c r="G15" i="507"/>
  <c r="E15" i="507"/>
  <c r="C15" i="507"/>
  <c r="G12" i="507"/>
  <c r="E12" i="507"/>
  <c r="C12" i="507"/>
  <c r="B4" i="507"/>
  <c r="G36" i="505"/>
  <c r="E36" i="505"/>
  <c r="C36" i="505"/>
  <c r="G18" i="505"/>
  <c r="E18" i="505"/>
  <c r="C18" i="505"/>
  <c r="G17" i="505"/>
  <c r="E17" i="505"/>
  <c r="C17" i="505"/>
  <c r="G16" i="505"/>
  <c r="G15" i="505"/>
  <c r="E15" i="505"/>
  <c r="C15" i="505"/>
  <c r="G12" i="505"/>
  <c r="E12" i="505"/>
  <c r="C12" i="505"/>
  <c r="B4" i="505"/>
  <c r="G36" i="503"/>
  <c r="E36" i="503"/>
  <c r="C36" i="503"/>
  <c r="G18" i="503"/>
  <c r="E18" i="503"/>
  <c r="C18" i="503"/>
  <c r="G17" i="503"/>
  <c r="E17" i="503"/>
  <c r="C17" i="503"/>
  <c r="G16" i="503"/>
  <c r="G15" i="503"/>
  <c r="E15" i="503"/>
  <c r="C15" i="503"/>
  <c r="G12" i="503"/>
  <c r="E12" i="503"/>
  <c r="C12" i="503"/>
  <c r="B4" i="503"/>
  <c r="G36" i="501"/>
  <c r="E36" i="501"/>
  <c r="C36" i="501"/>
  <c r="G18" i="501"/>
  <c r="E18" i="501"/>
  <c r="C18" i="501"/>
  <c r="G17" i="501"/>
  <c r="E17" i="501"/>
  <c r="C17" i="501"/>
  <c r="G16" i="501"/>
  <c r="G15" i="501"/>
  <c r="E15" i="501"/>
  <c r="C15" i="501"/>
  <c r="G12" i="501"/>
  <c r="E12" i="501"/>
  <c r="C12" i="501"/>
  <c r="B4" i="501"/>
  <c r="G36" i="499"/>
  <c r="E36" i="499"/>
  <c r="C36" i="499"/>
  <c r="G18" i="499"/>
  <c r="E18" i="499"/>
  <c r="C18" i="499"/>
  <c r="G17" i="499"/>
  <c r="E17" i="499"/>
  <c r="C17" i="499"/>
  <c r="G16" i="499"/>
  <c r="G15" i="499"/>
  <c r="E15" i="499"/>
  <c r="C15" i="499"/>
  <c r="G12" i="499"/>
  <c r="E12" i="499"/>
  <c r="C12" i="499"/>
  <c r="B4" i="499"/>
  <c r="G13" i="558"/>
  <c r="G12" i="558"/>
  <c r="F11" i="558"/>
  <c r="G13" i="556"/>
  <c r="G12" i="556"/>
  <c r="F11" i="556"/>
  <c r="G13" i="554"/>
  <c r="G12" i="554"/>
  <c r="F11" i="554"/>
  <c r="G13" i="552"/>
  <c r="G12" i="552"/>
  <c r="F11" i="552"/>
  <c r="G13" i="550"/>
  <c r="G12" i="550"/>
  <c r="F11" i="550"/>
  <c r="G13" i="548"/>
  <c r="G12" i="548"/>
  <c r="F11" i="548"/>
  <c r="G13" i="546"/>
  <c r="G12" i="546"/>
  <c r="F11" i="546"/>
  <c r="G13" i="544"/>
  <c r="G12" i="544"/>
  <c r="F11" i="544"/>
  <c r="G13" i="542"/>
  <c r="G12" i="542"/>
  <c r="F11" i="542"/>
  <c r="G13" i="540"/>
  <c r="G12" i="540"/>
  <c r="F11" i="540"/>
  <c r="G13" i="538"/>
  <c r="G12" i="538"/>
  <c r="F11" i="538"/>
  <c r="G13" i="536"/>
  <c r="G12" i="536"/>
  <c r="F11" i="536"/>
  <c r="G13" i="534"/>
  <c r="G12" i="534"/>
  <c r="F11" i="534"/>
  <c r="G13" i="532"/>
  <c r="G12" i="532"/>
  <c r="F11" i="532"/>
  <c r="G13" i="530"/>
  <c r="G12" i="530"/>
  <c r="F11" i="530"/>
  <c r="G13" i="528"/>
  <c r="G12" i="528"/>
  <c r="F11" i="528"/>
  <c r="G13" i="526"/>
  <c r="G12" i="526"/>
  <c r="F11" i="526"/>
  <c r="G13" i="524"/>
  <c r="G12" i="524"/>
  <c r="F11" i="524"/>
  <c r="G13" i="522"/>
  <c r="G12" i="522"/>
  <c r="F11" i="522"/>
  <c r="G13" i="520"/>
  <c r="G12" i="520"/>
  <c r="F11" i="520"/>
  <c r="G13" i="518"/>
  <c r="G12" i="518"/>
  <c r="F11" i="518"/>
  <c r="G13" i="516"/>
  <c r="G12" i="516"/>
  <c r="F11" i="516"/>
  <c r="G13" i="514"/>
  <c r="G12" i="514"/>
  <c r="F11" i="514"/>
  <c r="G13" i="512"/>
  <c r="G12" i="512"/>
  <c r="F11" i="512"/>
  <c r="G13" i="510"/>
  <c r="G12" i="510"/>
  <c r="F11" i="510"/>
  <c r="G13" i="508"/>
  <c r="G12" i="508"/>
  <c r="F11" i="508"/>
  <c r="G13" i="506"/>
  <c r="G12" i="506"/>
  <c r="F11" i="506"/>
  <c r="G13" i="504"/>
  <c r="G12" i="504"/>
  <c r="F11" i="504"/>
  <c r="G13" i="502"/>
  <c r="G12" i="502"/>
  <c r="F11" i="502"/>
  <c r="G13" i="500"/>
  <c r="G12" i="500"/>
  <c r="F11" i="500"/>
  <c r="G13" i="498"/>
  <c r="G12" i="498"/>
  <c r="F11" i="498"/>
  <c r="G36" i="478"/>
  <c r="E36" i="478"/>
  <c r="C36" i="478"/>
  <c r="G25" i="478"/>
  <c r="G18" i="478"/>
  <c r="E18" i="478"/>
  <c r="C18" i="478"/>
  <c r="G17" i="478"/>
  <c r="E17" i="478"/>
  <c r="C17" i="478"/>
  <c r="G16" i="478"/>
  <c r="G15" i="478"/>
  <c r="E15" i="478"/>
  <c r="C15" i="478"/>
  <c r="G12" i="478"/>
  <c r="E12" i="478"/>
  <c r="C12" i="478"/>
  <c r="B4" i="478"/>
  <c r="G36" i="476"/>
  <c r="E36" i="476"/>
  <c r="C36" i="476"/>
  <c r="G25" i="476"/>
  <c r="G18" i="476"/>
  <c r="E18" i="476"/>
  <c r="C18" i="476"/>
  <c r="G17" i="476"/>
  <c r="E17" i="476"/>
  <c r="C17" i="476"/>
  <c r="G16" i="476"/>
  <c r="G15" i="476"/>
  <c r="E15" i="476"/>
  <c r="C15" i="476"/>
  <c r="G12" i="476"/>
  <c r="E12" i="476"/>
  <c r="C12" i="476"/>
  <c r="B4" i="476"/>
  <c r="G36" i="474"/>
  <c r="E36" i="474"/>
  <c r="C36" i="474"/>
  <c r="G25" i="474"/>
  <c r="G18" i="474"/>
  <c r="E18" i="474"/>
  <c r="C18" i="474"/>
  <c r="G17" i="474"/>
  <c r="E17" i="474"/>
  <c r="C17" i="474"/>
  <c r="G16" i="474"/>
  <c r="G15" i="474"/>
  <c r="E15" i="474"/>
  <c r="C15" i="474"/>
  <c r="G12" i="474"/>
  <c r="E12" i="474"/>
  <c r="C12" i="474"/>
  <c r="B4" i="474"/>
  <c r="G12" i="477"/>
  <c r="F11" i="477"/>
  <c r="G12" i="475"/>
  <c r="F11" i="475"/>
  <c r="G12" i="473"/>
  <c r="F11" i="473"/>
  <c r="G36" i="472"/>
  <c r="E36" i="472"/>
  <c r="C36" i="472"/>
  <c r="G25" i="472"/>
  <c r="G18" i="472"/>
  <c r="E18" i="472"/>
  <c r="C18" i="472"/>
  <c r="G17" i="472"/>
  <c r="E17" i="472"/>
  <c r="C17" i="472"/>
  <c r="G16" i="472"/>
  <c r="G15" i="472"/>
  <c r="E15" i="472"/>
  <c r="C15" i="472"/>
  <c r="G12" i="472"/>
  <c r="E12" i="472"/>
  <c r="C12" i="472"/>
  <c r="B4" i="472"/>
  <c r="G36" i="470"/>
  <c r="E36" i="470"/>
  <c r="C36" i="470"/>
  <c r="G25" i="470"/>
  <c r="G18" i="470"/>
  <c r="E18" i="470"/>
  <c r="C18" i="470"/>
  <c r="G17" i="470"/>
  <c r="E17" i="470"/>
  <c r="C17" i="470"/>
  <c r="G16" i="470"/>
  <c r="G15" i="470"/>
  <c r="E15" i="470"/>
  <c r="C15" i="470"/>
  <c r="G12" i="470"/>
  <c r="E12" i="470"/>
  <c r="C12" i="470"/>
  <c r="B4" i="470"/>
  <c r="G36" i="468"/>
  <c r="E36" i="468"/>
  <c r="C36" i="468"/>
  <c r="G25" i="468"/>
  <c r="G18" i="468"/>
  <c r="E18" i="468"/>
  <c r="C18" i="468"/>
  <c r="G17" i="468"/>
  <c r="E17" i="468"/>
  <c r="C17" i="468"/>
  <c r="G16" i="468"/>
  <c r="G15" i="468"/>
  <c r="E15" i="468"/>
  <c r="C15" i="468"/>
  <c r="G12" i="468"/>
  <c r="E12" i="468"/>
  <c r="C12" i="468"/>
  <c r="B4" i="468"/>
  <c r="G36" i="466"/>
  <c r="E36" i="466"/>
  <c r="C36" i="466"/>
  <c r="G25" i="466"/>
  <c r="G18" i="466"/>
  <c r="E18" i="466"/>
  <c r="C18" i="466"/>
  <c r="G17" i="466"/>
  <c r="E17" i="466"/>
  <c r="C17" i="466"/>
  <c r="G16" i="466"/>
  <c r="G15" i="466"/>
  <c r="E15" i="466"/>
  <c r="C15" i="466"/>
  <c r="G12" i="466"/>
  <c r="E12" i="466"/>
  <c r="C12" i="466"/>
  <c r="B4" i="466"/>
  <c r="G36" i="464"/>
  <c r="E36" i="464"/>
  <c r="C36" i="464"/>
  <c r="G25" i="464"/>
  <c r="G18" i="464"/>
  <c r="E18" i="464"/>
  <c r="C18" i="464"/>
  <c r="G17" i="464"/>
  <c r="E17" i="464"/>
  <c r="C17" i="464"/>
  <c r="G16" i="464"/>
  <c r="G15" i="464"/>
  <c r="E15" i="464"/>
  <c r="C15" i="464"/>
  <c r="G12" i="464"/>
  <c r="E12" i="464"/>
  <c r="C12" i="464"/>
  <c r="B4" i="464"/>
  <c r="G36" i="462"/>
  <c r="E36" i="462"/>
  <c r="C36" i="462"/>
  <c r="G25" i="462"/>
  <c r="G18" i="462"/>
  <c r="E18" i="462"/>
  <c r="C18" i="462"/>
  <c r="G17" i="462"/>
  <c r="E17" i="462"/>
  <c r="C17" i="462"/>
  <c r="G16" i="462"/>
  <c r="G15" i="462"/>
  <c r="E15" i="462"/>
  <c r="C15" i="462"/>
  <c r="G12" i="462"/>
  <c r="E12" i="462"/>
  <c r="C12" i="462"/>
  <c r="B4" i="462"/>
  <c r="G36" i="460"/>
  <c r="E36" i="460"/>
  <c r="C36" i="460"/>
  <c r="G25" i="460"/>
  <c r="G18" i="460"/>
  <c r="E18" i="460"/>
  <c r="C18" i="460"/>
  <c r="G17" i="460"/>
  <c r="E17" i="460"/>
  <c r="C17" i="460"/>
  <c r="G16" i="460"/>
  <c r="G15" i="460"/>
  <c r="E15" i="460"/>
  <c r="C15" i="460"/>
  <c r="G12" i="460"/>
  <c r="E12" i="460"/>
  <c r="C12" i="460"/>
  <c r="B4" i="460"/>
  <c r="G36" i="456"/>
  <c r="E36" i="456"/>
  <c r="C36" i="456"/>
  <c r="G25" i="456"/>
  <c r="G18" i="456"/>
  <c r="E18" i="456"/>
  <c r="C18" i="456"/>
  <c r="G17" i="456"/>
  <c r="E17" i="456"/>
  <c r="C17" i="456"/>
  <c r="G16" i="456"/>
  <c r="G15" i="456"/>
  <c r="E15" i="456"/>
  <c r="C15" i="456"/>
  <c r="G12" i="456"/>
  <c r="E12" i="456"/>
  <c r="C12" i="456"/>
  <c r="B4" i="456"/>
  <c r="G36" i="454"/>
  <c r="E36" i="454"/>
  <c r="C36" i="454"/>
  <c r="G18" i="454"/>
  <c r="E18" i="454"/>
  <c r="C18" i="454"/>
  <c r="G17" i="454"/>
  <c r="E17" i="454"/>
  <c r="C17" i="454"/>
  <c r="G16" i="454"/>
  <c r="G15" i="454"/>
  <c r="E15" i="454"/>
  <c r="C15" i="454"/>
  <c r="G12" i="454"/>
  <c r="E12" i="454"/>
  <c r="C12" i="454"/>
  <c r="B4" i="454"/>
  <c r="G12" i="471"/>
  <c r="F11" i="471"/>
  <c r="G12" i="469"/>
  <c r="F11" i="469"/>
  <c r="G12" i="467"/>
  <c r="F11" i="467"/>
  <c r="G12" i="465"/>
  <c r="F11" i="465"/>
  <c r="G12" i="463"/>
  <c r="F11" i="463"/>
  <c r="G12" i="461"/>
  <c r="F11" i="461"/>
  <c r="G12" i="459"/>
  <c r="F11" i="459"/>
  <c r="G12" i="455"/>
  <c r="F11" i="455"/>
  <c r="G12" i="457"/>
  <c r="F11" i="457"/>
  <c r="G36" i="453"/>
  <c r="E36" i="453"/>
  <c r="C36" i="453"/>
  <c r="G18" i="453"/>
  <c r="E18" i="453"/>
  <c r="C18" i="453"/>
  <c r="G17" i="453"/>
  <c r="E17" i="453"/>
  <c r="C17" i="453"/>
  <c r="G16" i="453"/>
  <c r="G15" i="453"/>
  <c r="E15" i="453"/>
  <c r="C15" i="453"/>
  <c r="G12" i="453"/>
  <c r="E12" i="453"/>
  <c r="C12" i="453"/>
  <c r="B4" i="453"/>
  <c r="G12" i="452"/>
  <c r="H8" i="452"/>
  <c r="G36" i="450"/>
  <c r="E36" i="450"/>
  <c r="C36" i="450"/>
  <c r="G25" i="450"/>
  <c r="G18" i="450"/>
  <c r="E18" i="450"/>
  <c r="C18" i="450"/>
  <c r="G17" i="450"/>
  <c r="E17" i="450"/>
  <c r="C17" i="450"/>
  <c r="G16" i="450"/>
  <c r="G15" i="450"/>
  <c r="E15" i="450"/>
  <c r="C15" i="450"/>
  <c r="G12" i="450"/>
  <c r="E12" i="450"/>
  <c r="C12" i="450"/>
  <c r="B4" i="450"/>
  <c r="G36" i="448"/>
  <c r="E36" i="448"/>
  <c r="C36" i="448"/>
  <c r="G25" i="448"/>
  <c r="G18" i="448"/>
  <c r="E18" i="448"/>
  <c r="C18" i="448"/>
  <c r="G17" i="448"/>
  <c r="E17" i="448"/>
  <c r="C17" i="448"/>
  <c r="G16" i="448"/>
  <c r="G15" i="448"/>
  <c r="E15" i="448"/>
  <c r="C15" i="448"/>
  <c r="G12" i="448"/>
  <c r="E12" i="448"/>
  <c r="C12" i="448"/>
  <c r="B4" i="448"/>
  <c r="G36" i="446"/>
  <c r="E36" i="446"/>
  <c r="C36" i="446"/>
  <c r="G25" i="446"/>
  <c r="G18" i="446"/>
  <c r="E18" i="446"/>
  <c r="C18" i="446"/>
  <c r="G17" i="446"/>
  <c r="E17" i="446"/>
  <c r="C17" i="446"/>
  <c r="G16" i="446"/>
  <c r="G15" i="446"/>
  <c r="E15" i="446"/>
  <c r="C15" i="446"/>
  <c r="G12" i="446"/>
  <c r="E12" i="446"/>
  <c r="C12" i="446"/>
  <c r="B4" i="446"/>
  <c r="G36" i="444"/>
  <c r="E36" i="444"/>
  <c r="C36" i="444"/>
  <c r="G25" i="444"/>
  <c r="G18" i="444"/>
  <c r="E18" i="444"/>
  <c r="C18" i="444"/>
  <c r="G17" i="444"/>
  <c r="E17" i="444"/>
  <c r="C17" i="444"/>
  <c r="G16" i="444"/>
  <c r="G15" i="444"/>
  <c r="E15" i="444"/>
  <c r="C15" i="444"/>
  <c r="G12" i="444"/>
  <c r="E12" i="444"/>
  <c r="C12" i="444"/>
  <c r="B4" i="444"/>
  <c r="G36" i="442"/>
  <c r="E36" i="442"/>
  <c r="C36" i="442"/>
  <c r="G25" i="442"/>
  <c r="G18" i="442"/>
  <c r="E18" i="442"/>
  <c r="C18" i="442"/>
  <c r="G17" i="442"/>
  <c r="E17" i="442"/>
  <c r="C17" i="442"/>
  <c r="G16" i="442"/>
  <c r="G15" i="442"/>
  <c r="E15" i="442"/>
  <c r="C15" i="442"/>
  <c r="G12" i="442"/>
  <c r="E12" i="442"/>
  <c r="C12" i="442"/>
  <c r="B4" i="442"/>
  <c r="G36" i="440"/>
  <c r="E36" i="440"/>
  <c r="C36" i="440"/>
  <c r="G25" i="440"/>
  <c r="G18" i="440"/>
  <c r="E18" i="440"/>
  <c r="C18" i="440"/>
  <c r="G17" i="440"/>
  <c r="E17" i="440"/>
  <c r="C17" i="440"/>
  <c r="G16" i="440"/>
  <c r="G15" i="440"/>
  <c r="E15" i="440"/>
  <c r="C15" i="440"/>
  <c r="G12" i="440"/>
  <c r="E12" i="440"/>
  <c r="C12" i="440"/>
  <c r="B4" i="440"/>
  <c r="G36" i="438"/>
  <c r="E36" i="438"/>
  <c r="C36" i="438"/>
  <c r="G25" i="438"/>
  <c r="G18" i="438"/>
  <c r="E18" i="438"/>
  <c r="C18" i="438"/>
  <c r="G17" i="438"/>
  <c r="E17" i="438"/>
  <c r="C17" i="438"/>
  <c r="G16" i="438"/>
  <c r="G15" i="438"/>
  <c r="E15" i="438"/>
  <c r="C15" i="438"/>
  <c r="G12" i="438"/>
  <c r="E12" i="438"/>
  <c r="C12" i="438"/>
  <c r="B4" i="438"/>
  <c r="G36" i="436"/>
  <c r="E36" i="436"/>
  <c r="C36" i="436"/>
  <c r="G25" i="436"/>
  <c r="G18" i="436"/>
  <c r="E18" i="436"/>
  <c r="C18" i="436"/>
  <c r="G17" i="436"/>
  <c r="E17" i="436"/>
  <c r="C17" i="436"/>
  <c r="G16" i="436"/>
  <c r="G15" i="436"/>
  <c r="E15" i="436"/>
  <c r="C15" i="436"/>
  <c r="G12" i="436"/>
  <c r="E12" i="436"/>
  <c r="C12" i="436"/>
  <c r="B4" i="436"/>
  <c r="G36" i="434"/>
  <c r="E36" i="434"/>
  <c r="C36" i="434"/>
  <c r="G25" i="434"/>
  <c r="G18" i="434"/>
  <c r="E18" i="434"/>
  <c r="C18" i="434"/>
  <c r="G17" i="434"/>
  <c r="E17" i="434"/>
  <c r="C17" i="434"/>
  <c r="G16" i="434"/>
  <c r="G15" i="434"/>
  <c r="E15" i="434"/>
  <c r="C15" i="434"/>
  <c r="G12" i="434"/>
  <c r="E12" i="434"/>
  <c r="C12" i="434"/>
  <c r="B4" i="434"/>
  <c r="G36" i="432"/>
  <c r="E36" i="432"/>
  <c r="C36" i="432"/>
  <c r="G25" i="432"/>
  <c r="G18" i="432"/>
  <c r="E18" i="432"/>
  <c r="C18" i="432"/>
  <c r="G17" i="432"/>
  <c r="E17" i="432"/>
  <c r="C17" i="432"/>
  <c r="G16" i="432"/>
  <c r="G15" i="432"/>
  <c r="E15" i="432"/>
  <c r="C15" i="432"/>
  <c r="G12" i="432"/>
  <c r="E12" i="432"/>
  <c r="C12" i="432"/>
  <c r="B4" i="432"/>
  <c r="G36" i="430"/>
  <c r="E36" i="430"/>
  <c r="C36" i="430"/>
  <c r="G25" i="430"/>
  <c r="G18" i="430"/>
  <c r="E18" i="430"/>
  <c r="C18" i="430"/>
  <c r="G17" i="430"/>
  <c r="E17" i="430"/>
  <c r="C17" i="430"/>
  <c r="G16" i="430"/>
  <c r="G15" i="430"/>
  <c r="E15" i="430"/>
  <c r="C15" i="430"/>
  <c r="G12" i="430"/>
  <c r="E12" i="430"/>
  <c r="C12" i="430"/>
  <c r="B4" i="430"/>
  <c r="G36" i="426"/>
  <c r="E36" i="426"/>
  <c r="C36" i="426"/>
  <c r="G25" i="426"/>
  <c r="G18" i="426"/>
  <c r="E18" i="426"/>
  <c r="C18" i="426"/>
  <c r="G17" i="426"/>
  <c r="E17" i="426"/>
  <c r="C17" i="426"/>
  <c r="G16" i="426"/>
  <c r="G15" i="426"/>
  <c r="E15" i="426"/>
  <c r="C15" i="426"/>
  <c r="G12" i="426"/>
  <c r="E12" i="426"/>
  <c r="C12" i="426"/>
  <c r="B4" i="426"/>
  <c r="G36" i="424"/>
  <c r="E36" i="424"/>
  <c r="C36" i="424"/>
  <c r="G25" i="424"/>
  <c r="G18" i="424"/>
  <c r="E18" i="424"/>
  <c r="C18" i="424"/>
  <c r="G17" i="424"/>
  <c r="E17" i="424"/>
  <c r="C17" i="424"/>
  <c r="G16" i="424"/>
  <c r="G15" i="424"/>
  <c r="E15" i="424"/>
  <c r="C15" i="424"/>
  <c r="G12" i="424"/>
  <c r="E12" i="424"/>
  <c r="C12" i="424"/>
  <c r="B4" i="424"/>
  <c r="G36" i="422"/>
  <c r="E36" i="422"/>
  <c r="C36" i="422"/>
  <c r="G25" i="422"/>
  <c r="G18" i="422"/>
  <c r="E18" i="422"/>
  <c r="C18" i="422"/>
  <c r="G17" i="422"/>
  <c r="E17" i="422"/>
  <c r="C17" i="422"/>
  <c r="G16" i="422"/>
  <c r="G15" i="422"/>
  <c r="E15" i="422"/>
  <c r="C15" i="422"/>
  <c r="G12" i="422"/>
  <c r="E12" i="422"/>
  <c r="C12" i="422"/>
  <c r="B4" i="422"/>
  <c r="G36" i="420"/>
  <c r="E36" i="420"/>
  <c r="C36" i="420"/>
  <c r="G25" i="420"/>
  <c r="G18" i="420"/>
  <c r="E18" i="420"/>
  <c r="C18" i="420"/>
  <c r="G17" i="420"/>
  <c r="E17" i="420"/>
  <c r="C17" i="420"/>
  <c r="G16" i="420"/>
  <c r="G15" i="420"/>
  <c r="E15" i="420"/>
  <c r="C15" i="420"/>
  <c r="G12" i="420"/>
  <c r="E12" i="420"/>
  <c r="C12" i="420"/>
  <c r="B4" i="420"/>
  <c r="G36" i="418"/>
  <c r="E36" i="418"/>
  <c r="C36" i="418"/>
  <c r="G25" i="418"/>
  <c r="G18" i="418"/>
  <c r="E18" i="418"/>
  <c r="C18" i="418"/>
  <c r="G17" i="418"/>
  <c r="E17" i="418"/>
  <c r="C17" i="418"/>
  <c r="G16" i="418"/>
  <c r="G15" i="418"/>
  <c r="E15" i="418"/>
  <c r="C15" i="418"/>
  <c r="G12" i="418"/>
  <c r="E12" i="418"/>
  <c r="C12" i="418"/>
  <c r="B4" i="418"/>
  <c r="G36" i="416"/>
  <c r="E36" i="416"/>
  <c r="C36" i="416"/>
  <c r="G25" i="416"/>
  <c r="G18" i="416"/>
  <c r="E18" i="416"/>
  <c r="C18" i="416"/>
  <c r="G17" i="416"/>
  <c r="E17" i="416"/>
  <c r="C17" i="416"/>
  <c r="G16" i="416"/>
  <c r="G15" i="416"/>
  <c r="E15" i="416"/>
  <c r="C15" i="416"/>
  <c r="G12" i="416"/>
  <c r="E12" i="416"/>
  <c r="C12" i="416"/>
  <c r="B4" i="416"/>
  <c r="G36" i="414"/>
  <c r="E36" i="414"/>
  <c r="C36" i="414"/>
  <c r="G25" i="414"/>
  <c r="G18" i="414"/>
  <c r="E18" i="414"/>
  <c r="C18" i="414"/>
  <c r="G17" i="414"/>
  <c r="E17" i="414"/>
  <c r="C17" i="414"/>
  <c r="G16" i="414"/>
  <c r="G15" i="414"/>
  <c r="E15" i="414"/>
  <c r="C15" i="414"/>
  <c r="G12" i="414"/>
  <c r="E12" i="414"/>
  <c r="C12" i="414"/>
  <c r="B4" i="414"/>
  <c r="G36" i="412"/>
  <c r="E36" i="412"/>
  <c r="C36" i="412"/>
  <c r="G25" i="412"/>
  <c r="G18" i="412"/>
  <c r="E18" i="412"/>
  <c r="C18" i="412"/>
  <c r="G17" i="412"/>
  <c r="E17" i="412"/>
  <c r="C17" i="412"/>
  <c r="G16" i="412"/>
  <c r="G15" i="412"/>
  <c r="E15" i="412"/>
  <c r="C15" i="412"/>
  <c r="G12" i="412"/>
  <c r="E12" i="412"/>
  <c r="C12" i="412"/>
  <c r="B4" i="412"/>
  <c r="G36" i="410"/>
  <c r="E36" i="410"/>
  <c r="C36" i="410"/>
  <c r="G25" i="410"/>
  <c r="G18" i="410"/>
  <c r="E18" i="410"/>
  <c r="C18" i="410"/>
  <c r="G17" i="410"/>
  <c r="E17" i="410"/>
  <c r="C17" i="410"/>
  <c r="G16" i="410"/>
  <c r="G15" i="410"/>
  <c r="E15" i="410"/>
  <c r="C15" i="410"/>
  <c r="G12" i="410"/>
  <c r="E12" i="410"/>
  <c r="C12" i="410"/>
  <c r="B4" i="410"/>
  <c r="G12" i="449"/>
  <c r="H8" i="449"/>
  <c r="C4" i="449"/>
  <c r="G12" i="447"/>
  <c r="H8" i="447"/>
  <c r="C4" i="447"/>
  <c r="G12" i="445"/>
  <c r="H8" i="445"/>
  <c r="C4" i="445"/>
  <c r="G12" i="443"/>
  <c r="H8" i="443"/>
  <c r="C4" i="443"/>
  <c r="G12" i="441"/>
  <c r="H8" i="441"/>
  <c r="C4" i="441"/>
  <c r="G12" i="439"/>
  <c r="H8" i="439"/>
  <c r="C4" i="439"/>
  <c r="G12" i="437"/>
  <c r="H8" i="437"/>
  <c r="C4" i="437"/>
  <c r="G12" i="435"/>
  <c r="H8" i="435"/>
  <c r="C4" i="435"/>
  <c r="G12" i="433"/>
  <c r="H8" i="433"/>
  <c r="C4" i="433"/>
  <c r="G12" i="431"/>
  <c r="H8" i="431"/>
  <c r="C4" i="431"/>
  <c r="G12" i="429"/>
  <c r="H8" i="429"/>
  <c r="C4" i="429"/>
  <c r="G12" i="425"/>
  <c r="H8" i="425"/>
  <c r="C4" i="425"/>
  <c r="G12" i="423"/>
  <c r="H8" i="423"/>
  <c r="C4" i="423"/>
  <c r="G12" i="421"/>
  <c r="H8" i="421"/>
  <c r="C4" i="421"/>
  <c r="G12" i="419"/>
  <c r="H8" i="419"/>
  <c r="C4" i="419"/>
  <c r="G12" i="417"/>
  <c r="H8" i="417"/>
  <c r="C4" i="417"/>
  <c r="G12" i="415"/>
  <c r="H8" i="415"/>
  <c r="C4" i="415"/>
  <c r="G12" i="413"/>
  <c r="H8" i="413"/>
  <c r="C4" i="413"/>
  <c r="G12" i="411"/>
  <c r="H8" i="411"/>
  <c r="C4" i="411"/>
  <c r="G12" i="409"/>
  <c r="H8" i="409"/>
  <c r="C4" i="409"/>
  <c r="D55" i="405"/>
  <c r="G36" i="405"/>
  <c r="E36" i="405"/>
  <c r="C36" i="405"/>
  <c r="G18" i="405"/>
  <c r="E18" i="405"/>
  <c r="C18" i="405"/>
  <c r="G17" i="405"/>
  <c r="E17" i="405"/>
  <c r="C17" i="405"/>
  <c r="G16" i="405"/>
  <c r="E15" i="405"/>
  <c r="C15" i="405"/>
  <c r="G12" i="405"/>
  <c r="E12" i="405"/>
  <c r="C12" i="405"/>
  <c r="B4" i="405"/>
  <c r="D55" i="404"/>
  <c r="G36" i="404"/>
  <c r="E36" i="404"/>
  <c r="C36" i="404"/>
  <c r="G18" i="404"/>
  <c r="E18" i="404"/>
  <c r="C18" i="404"/>
  <c r="G17" i="404"/>
  <c r="E17" i="404"/>
  <c r="C17" i="404"/>
  <c r="G16" i="404"/>
  <c r="E15" i="404"/>
  <c r="C15" i="404"/>
  <c r="G12" i="404"/>
  <c r="E12" i="404"/>
  <c r="C12" i="404"/>
  <c r="B4" i="404"/>
  <c r="D55" i="402"/>
  <c r="G36" i="402"/>
  <c r="E36" i="402"/>
  <c r="C36" i="402"/>
  <c r="G18" i="402"/>
  <c r="E18" i="402"/>
  <c r="C18" i="402"/>
  <c r="G17" i="402"/>
  <c r="E17" i="402"/>
  <c r="C17" i="402"/>
  <c r="G16" i="402"/>
  <c r="E15" i="402"/>
  <c r="C15" i="402"/>
  <c r="G12" i="402"/>
  <c r="E12" i="402"/>
  <c r="C12" i="402"/>
  <c r="B4" i="402"/>
  <c r="D55" i="400"/>
  <c r="G36" i="400"/>
  <c r="E36" i="400"/>
  <c r="C36" i="400"/>
  <c r="G18" i="400"/>
  <c r="E18" i="400"/>
  <c r="C18" i="400"/>
  <c r="G17" i="400"/>
  <c r="E17" i="400"/>
  <c r="C17" i="400"/>
  <c r="G16" i="400"/>
  <c r="E15" i="400"/>
  <c r="C15" i="400"/>
  <c r="G12" i="400"/>
  <c r="E12" i="400"/>
  <c r="C12" i="400"/>
  <c r="B4" i="400"/>
  <c r="D55" i="393"/>
  <c r="G36" i="393"/>
  <c r="E36" i="393"/>
  <c r="C36" i="393"/>
  <c r="G18" i="393"/>
  <c r="E18" i="393"/>
  <c r="C18" i="393"/>
  <c r="G17" i="393"/>
  <c r="E17" i="393"/>
  <c r="C17" i="393"/>
  <c r="G16" i="393"/>
  <c r="E15" i="393"/>
  <c r="C15" i="393"/>
  <c r="G12" i="393"/>
  <c r="E12" i="393"/>
  <c r="C12" i="393"/>
  <c r="B4" i="393"/>
  <c r="D55" i="389"/>
  <c r="G36" i="389"/>
  <c r="E36" i="389"/>
  <c r="C36" i="389"/>
  <c r="G18" i="389"/>
  <c r="E18" i="389"/>
  <c r="C18" i="389"/>
  <c r="G17" i="389"/>
  <c r="E17" i="389"/>
  <c r="C17" i="389"/>
  <c r="G16" i="389"/>
  <c r="E15" i="389"/>
  <c r="C15" i="389"/>
  <c r="G12" i="389"/>
  <c r="E12" i="389"/>
  <c r="C12" i="389"/>
  <c r="B4" i="389"/>
  <c r="D55" i="397"/>
  <c r="G36" i="397"/>
  <c r="E36" i="397"/>
  <c r="C36" i="397"/>
  <c r="G18" i="397"/>
  <c r="E18" i="397"/>
  <c r="C18" i="397"/>
  <c r="G17" i="397"/>
  <c r="E17" i="397"/>
  <c r="C17" i="397"/>
  <c r="G16" i="397"/>
  <c r="E15" i="397"/>
  <c r="C15" i="397"/>
  <c r="G12" i="397"/>
  <c r="E12" i="397"/>
  <c r="C12" i="397"/>
  <c r="B4" i="397"/>
  <c r="D55" i="395"/>
  <c r="G36" i="395"/>
  <c r="E36" i="395"/>
  <c r="C36" i="395"/>
  <c r="G18" i="395"/>
  <c r="E18" i="395"/>
  <c r="C18" i="395"/>
  <c r="G17" i="395"/>
  <c r="E17" i="395"/>
  <c r="C17" i="395"/>
  <c r="G16" i="395"/>
  <c r="E15" i="395"/>
  <c r="C15" i="395"/>
  <c r="G12" i="395"/>
  <c r="E12" i="395"/>
  <c r="C12" i="395"/>
  <c r="B4" i="395"/>
  <c r="D55" i="391"/>
  <c r="G36" i="391"/>
  <c r="E36" i="391"/>
  <c r="C36" i="391"/>
  <c r="G18" i="391"/>
  <c r="E18" i="391"/>
  <c r="C18" i="391"/>
  <c r="G17" i="391"/>
  <c r="E17" i="391"/>
  <c r="C17" i="391"/>
  <c r="G16" i="391"/>
  <c r="E15" i="391"/>
  <c r="C15" i="391"/>
  <c r="G12" i="391"/>
  <c r="E12" i="391"/>
  <c r="C12" i="391"/>
  <c r="B4" i="391"/>
  <c r="G12" i="398"/>
  <c r="G11" i="398"/>
  <c r="F9" i="398"/>
  <c r="E9" i="398"/>
  <c r="D9" i="398"/>
  <c r="G12" i="403"/>
  <c r="G11" i="403"/>
  <c r="F9" i="403"/>
  <c r="E9" i="403"/>
  <c r="D9" i="403"/>
  <c r="G12" i="401"/>
  <c r="G11" i="401"/>
  <c r="F9" i="401"/>
  <c r="E9" i="401"/>
  <c r="D9" i="401"/>
  <c r="G12" i="399"/>
  <c r="G11" i="399"/>
  <c r="F9" i="399"/>
  <c r="E9" i="399"/>
  <c r="D9" i="399"/>
  <c r="G12" i="392"/>
  <c r="G11" i="392"/>
  <c r="F9" i="392"/>
  <c r="E9" i="392"/>
  <c r="D9" i="392"/>
  <c r="G12" i="408"/>
  <c r="G11" i="408"/>
  <c r="F9" i="408"/>
  <c r="E9" i="408"/>
  <c r="D9" i="408"/>
  <c r="G12" i="396"/>
  <c r="G11" i="396"/>
  <c r="F9" i="396"/>
  <c r="E9" i="396"/>
  <c r="D9" i="396"/>
  <c r="G12" i="394"/>
  <c r="G11" i="394"/>
  <c r="F9" i="394"/>
  <c r="E9" i="394"/>
  <c r="D9" i="394"/>
  <c r="G12" i="390"/>
  <c r="G11" i="390"/>
  <c r="F9" i="390"/>
  <c r="E9" i="390"/>
  <c r="D9" i="390"/>
  <c r="F11" i="401" l="1"/>
  <c r="F11" i="392"/>
  <c r="F11" i="403"/>
  <c r="F11" i="399"/>
  <c r="F11" i="390"/>
  <c r="F11" i="396"/>
  <c r="E11" i="392"/>
  <c r="F11" i="394"/>
  <c r="F11" i="408"/>
  <c r="E11" i="399"/>
  <c r="D11" i="392"/>
  <c r="F11" i="398"/>
  <c r="D11" i="398"/>
  <c r="E11" i="398"/>
  <c r="D11" i="403"/>
  <c r="E11" i="403"/>
  <c r="D11" i="401"/>
  <c r="E11" i="401"/>
  <c r="D11" i="399"/>
  <c r="D11" i="408"/>
  <c r="E11" i="408"/>
  <c r="D11" i="396"/>
  <c r="E11" i="396"/>
  <c r="D11" i="394"/>
  <c r="E11" i="394"/>
  <c r="D11" i="390"/>
  <c r="E11" i="390"/>
  <c r="F22" i="17" l="1"/>
  <c r="E22" i="17"/>
  <c r="D22" i="17"/>
  <c r="F18" i="17"/>
  <c r="E18" i="17"/>
  <c r="D18" i="17"/>
  <c r="E28" i="182"/>
  <c r="M86" i="11" l="1"/>
  <c r="L88" i="11" s="1"/>
  <c r="M96" i="11" s="1"/>
  <c r="D23" i="131"/>
  <c r="F23" i="131" s="1"/>
  <c r="H24" i="131" s="1"/>
  <c r="C28" i="448"/>
  <c r="C28" i="446"/>
  <c r="C28" i="432"/>
  <c r="C28" i="440"/>
  <c r="C28" i="426"/>
  <c r="C28" i="430"/>
  <c r="C28" i="424"/>
  <c r="C28" i="442"/>
  <c r="C28" i="434"/>
  <c r="C28" i="450"/>
  <c r="C28" i="444"/>
  <c r="C28" i="438"/>
  <c r="C28" i="436"/>
  <c r="C28" i="422"/>
  <c r="C28" i="420"/>
  <c r="D17" i="443"/>
  <c r="D17" i="441"/>
  <c r="D17" i="439"/>
  <c r="D17" i="431"/>
  <c r="D17" i="421"/>
  <c r="C28" i="410"/>
  <c r="C28" i="418"/>
  <c r="C28" i="416"/>
  <c r="D17" i="423"/>
  <c r="D17" i="445"/>
  <c r="D17" i="433"/>
  <c r="D17" i="425"/>
  <c r="C28" i="414"/>
  <c r="D17" i="447"/>
  <c r="D17" i="435"/>
  <c r="D17" i="413"/>
  <c r="D17" i="437"/>
  <c r="D17" i="429"/>
  <c r="D17" i="415"/>
  <c r="C28" i="412"/>
  <c r="D17" i="419"/>
  <c r="D17" i="417"/>
  <c r="D17" i="411"/>
  <c r="D17" i="449"/>
  <c r="E42" i="426"/>
  <c r="E42" i="430"/>
  <c r="E42" i="424"/>
  <c r="E42" i="438"/>
  <c r="E42" i="442"/>
  <c r="E42" i="434"/>
  <c r="E42" i="450"/>
  <c r="E42" i="446"/>
  <c r="E42" i="444"/>
  <c r="E42" i="436"/>
  <c r="E42" i="418"/>
  <c r="E42" i="448"/>
  <c r="E42" i="420"/>
  <c r="E42" i="414"/>
  <c r="E42" i="432"/>
  <c r="E42" i="416"/>
  <c r="E42" i="440"/>
  <c r="E42" i="412"/>
  <c r="E42" i="422"/>
  <c r="E42" i="410"/>
  <c r="G28" i="430"/>
  <c r="G28" i="424"/>
  <c r="G28" i="442"/>
  <c r="G28" i="434"/>
  <c r="G28" i="450"/>
  <c r="G28" i="444"/>
  <c r="G28" i="438"/>
  <c r="G28" i="436"/>
  <c r="G28" i="448"/>
  <c r="G28" i="446"/>
  <c r="G28" i="432"/>
  <c r="G28" i="420"/>
  <c r="G28" i="440"/>
  <c r="G28" i="418"/>
  <c r="G28" i="416"/>
  <c r="F17" i="423"/>
  <c r="F17" i="445"/>
  <c r="F17" i="433"/>
  <c r="G28" i="414"/>
  <c r="F17" i="447"/>
  <c r="G28" i="426"/>
  <c r="F17" i="435"/>
  <c r="G28" i="422"/>
  <c r="G28" i="412"/>
  <c r="F17" i="429"/>
  <c r="F17" i="449"/>
  <c r="F17" i="437"/>
  <c r="F17" i="417"/>
  <c r="F17" i="415"/>
  <c r="F17" i="421"/>
  <c r="F17" i="431"/>
  <c r="F17" i="439"/>
  <c r="G28" i="410"/>
  <c r="F17" i="425"/>
  <c r="F17" i="419"/>
  <c r="F17" i="413"/>
  <c r="F17" i="443"/>
  <c r="F17" i="411"/>
  <c r="F17" i="441"/>
  <c r="G42" i="430"/>
  <c r="G42" i="424"/>
  <c r="G42" i="438"/>
  <c r="G42" i="422"/>
  <c r="G42" i="442"/>
  <c r="G42" i="434"/>
  <c r="G42" i="450"/>
  <c r="G42" i="446"/>
  <c r="G42" i="444"/>
  <c r="G42" i="436"/>
  <c r="G42" i="448"/>
  <c r="G42" i="440"/>
  <c r="G42" i="432"/>
  <c r="G42" i="420"/>
  <c r="G42" i="414"/>
  <c r="G42" i="416"/>
  <c r="G42" i="412"/>
  <c r="G42" i="410"/>
  <c r="G42" i="418"/>
  <c r="G42" i="426"/>
  <c r="E28" i="440"/>
  <c r="E28" i="426"/>
  <c r="E28" i="430"/>
  <c r="E28" i="424"/>
  <c r="E28" i="442"/>
  <c r="E28" i="434"/>
  <c r="E28" i="450"/>
  <c r="E28" i="444"/>
  <c r="E28" i="438"/>
  <c r="E28" i="436"/>
  <c r="E28" i="422"/>
  <c r="E28" i="410"/>
  <c r="E17" i="419"/>
  <c r="E28" i="418"/>
  <c r="E28" i="416"/>
  <c r="E17" i="445"/>
  <c r="E17" i="433"/>
  <c r="E17" i="425"/>
  <c r="E28" i="414"/>
  <c r="E17" i="447"/>
  <c r="E17" i="435"/>
  <c r="E28" i="446"/>
  <c r="E28" i="412"/>
  <c r="E17" i="429"/>
  <c r="E28" i="420"/>
  <c r="E17" i="439"/>
  <c r="E17" i="437"/>
  <c r="E17" i="421"/>
  <c r="E17" i="415"/>
  <c r="E17" i="411"/>
  <c r="E17" i="431"/>
  <c r="E17" i="423"/>
  <c r="E17" i="413"/>
  <c r="E17" i="449"/>
  <c r="E28" i="448"/>
  <c r="E17" i="443"/>
  <c r="E17" i="441"/>
  <c r="E28" i="432"/>
  <c r="E17" i="417"/>
  <c r="C42" i="448"/>
  <c r="C42" i="440"/>
  <c r="C42" i="432"/>
  <c r="C42" i="426"/>
  <c r="C42" i="430"/>
  <c r="C42" i="424"/>
  <c r="C42" i="438"/>
  <c r="C42" i="422"/>
  <c r="C42" i="442"/>
  <c r="C42" i="434"/>
  <c r="C42" i="446"/>
  <c r="C42" i="418"/>
  <c r="C42" i="450"/>
  <c r="C42" i="420"/>
  <c r="C42" i="414"/>
  <c r="C42" i="436"/>
  <c r="C42" i="416"/>
  <c r="C42" i="412"/>
  <c r="C42" i="410"/>
  <c r="C42" i="444"/>
  <c r="D17" i="409"/>
  <c r="E17" i="409"/>
  <c r="F17" i="409"/>
  <c r="G28" i="391"/>
  <c r="F17" i="408"/>
  <c r="G28" i="402"/>
  <c r="F17" i="399"/>
  <c r="G28" i="389"/>
  <c r="G28" i="405"/>
  <c r="G28" i="397"/>
  <c r="F17" i="403"/>
  <c r="F17" i="394"/>
  <c r="F17" i="401"/>
  <c r="F17" i="398"/>
  <c r="F17" i="390"/>
  <c r="G28" i="393"/>
  <c r="G28" i="395"/>
  <c r="G28" i="400"/>
  <c r="F17" i="392"/>
  <c r="G28" i="404"/>
  <c r="F17" i="396"/>
  <c r="E28" i="404"/>
  <c r="E28" i="393"/>
  <c r="E17" i="390"/>
  <c r="E17" i="399"/>
  <c r="E28" i="391"/>
  <c r="E17" i="408"/>
  <c r="E28" i="402"/>
  <c r="E28" i="389"/>
  <c r="E17" i="398"/>
  <c r="E28" i="405"/>
  <c r="E17" i="392"/>
  <c r="E17" i="403"/>
  <c r="E17" i="396"/>
  <c r="E17" i="401"/>
  <c r="E28" i="400"/>
  <c r="E28" i="397"/>
  <c r="E17" i="394"/>
  <c r="E28" i="395"/>
  <c r="C42" i="405"/>
  <c r="D21" i="399"/>
  <c r="C42" i="404"/>
  <c r="C42" i="397"/>
  <c r="D21" i="396"/>
  <c r="C42" i="395"/>
  <c r="D21" i="398"/>
  <c r="C42" i="393"/>
  <c r="C42" i="402"/>
  <c r="C42" i="391"/>
  <c r="D21" i="403"/>
  <c r="C42" i="389"/>
  <c r="D21" i="401"/>
  <c r="D21" i="392"/>
  <c r="D21" i="408"/>
  <c r="D21" i="390"/>
  <c r="C42" i="400"/>
  <c r="D21" i="394"/>
  <c r="E42" i="404"/>
  <c r="E42" i="397"/>
  <c r="E21" i="396"/>
  <c r="E42" i="395"/>
  <c r="E21" i="398"/>
  <c r="E21" i="392"/>
  <c r="E42" i="393"/>
  <c r="E42" i="402"/>
  <c r="E42" i="389"/>
  <c r="E21" i="390"/>
  <c r="E21" i="408"/>
  <c r="E21" i="394"/>
  <c r="E21" i="401"/>
  <c r="E42" i="405"/>
  <c r="E42" i="391"/>
  <c r="E21" i="399"/>
  <c r="E21" i="403"/>
  <c r="E42" i="400"/>
  <c r="C28" i="400"/>
  <c r="C28" i="395"/>
  <c r="D17" i="401"/>
  <c r="C28" i="391"/>
  <c r="C28" i="404"/>
  <c r="C28" i="393"/>
  <c r="D17" i="390"/>
  <c r="C28" i="402"/>
  <c r="C28" i="389"/>
  <c r="D17" i="398"/>
  <c r="D17" i="392"/>
  <c r="D17" i="396"/>
  <c r="D17" i="408"/>
  <c r="D17" i="399"/>
  <c r="D17" i="394"/>
  <c r="C28" i="405"/>
  <c r="C28" i="397"/>
  <c r="D17" i="403"/>
  <c r="G42" i="395"/>
  <c r="F21" i="398"/>
  <c r="F21" i="392"/>
  <c r="G42" i="393"/>
  <c r="G42" i="391"/>
  <c r="F21" i="403"/>
  <c r="G42" i="402"/>
  <c r="G42" i="389"/>
  <c r="G42" i="400"/>
  <c r="F21" i="408"/>
  <c r="G42" i="405"/>
  <c r="F21" i="390"/>
  <c r="G42" i="397"/>
  <c r="F21" i="399"/>
  <c r="F21" i="401"/>
  <c r="F21" i="394"/>
  <c r="F21" i="396"/>
  <c r="G42" i="404"/>
  <c r="B4" i="147"/>
  <c r="B27" i="10"/>
  <c r="B63" i="147" s="1"/>
  <c r="B4" i="162"/>
  <c r="B27" i="16"/>
  <c r="B56" i="162" s="1"/>
  <c r="B4" i="170"/>
  <c r="B27" i="18"/>
  <c r="B65" i="170" s="1"/>
  <c r="B4" i="182"/>
  <c r="B60" i="182" s="1"/>
  <c r="B27" i="19"/>
  <c r="C4" i="19"/>
  <c r="B62" i="137"/>
  <c r="B62" i="182" s="1"/>
  <c r="B4" i="137"/>
  <c r="D28" i="131" l="1"/>
  <c r="D27" i="131"/>
  <c r="C4" i="18"/>
  <c r="C4" i="452"/>
  <c r="C28" i="182"/>
  <c r="C18" i="182"/>
  <c r="C17" i="182"/>
  <c r="C15" i="182"/>
  <c r="G25" i="182"/>
  <c r="G18" i="182"/>
  <c r="G17" i="182"/>
  <c r="G16" i="182"/>
  <c r="G15" i="182"/>
  <c r="C4" i="475" l="1"/>
  <c r="C4" i="473"/>
  <c r="C4" i="471"/>
  <c r="C4" i="465"/>
  <c r="C4" i="469"/>
  <c r="C4" i="459"/>
  <c r="C4" i="467"/>
  <c r="C4" i="463"/>
  <c r="C4" i="477"/>
  <c r="C4" i="461"/>
  <c r="B63" i="170"/>
  <c r="C4" i="455"/>
  <c r="C4" i="16"/>
  <c r="C4" i="457"/>
  <c r="C4" i="556" l="1"/>
  <c r="C4" i="546"/>
  <c r="C4" i="540"/>
  <c r="C4" i="530"/>
  <c r="C4" i="522"/>
  <c r="C4" i="510"/>
  <c r="C4" i="516"/>
  <c r="C4" i="558"/>
  <c r="C4" i="548"/>
  <c r="C4" i="518"/>
  <c r="C4" i="500"/>
  <c r="C4" i="554"/>
  <c r="C4" i="542"/>
  <c r="C4" i="532"/>
  <c r="C4" i="524"/>
  <c r="C4" i="512"/>
  <c r="C4" i="502"/>
  <c r="C4" i="550"/>
  <c r="C4" i="534"/>
  <c r="C4" i="536"/>
  <c r="C4" i="520"/>
  <c r="C4" i="504"/>
  <c r="C4" i="552"/>
  <c r="C4" i="544"/>
  <c r="C4" i="526"/>
  <c r="C4" i="506"/>
  <c r="C4" i="514"/>
  <c r="C4" i="528"/>
  <c r="C4" i="498"/>
  <c r="C4" i="538"/>
  <c r="C4" i="508"/>
  <c r="B54" i="162"/>
  <c r="C4" i="10"/>
  <c r="B61" i="147" s="1"/>
  <c r="E4" i="130" l="1"/>
  <c r="B86" i="11" l="1"/>
  <c r="C86" i="11"/>
  <c r="D4" i="131"/>
  <c r="D17" i="10"/>
  <c r="C28" i="560" s="1"/>
  <c r="E17" i="10"/>
  <c r="E28" i="560" s="1"/>
  <c r="F17" i="10"/>
  <c r="G28" i="560" s="1"/>
  <c r="F21" i="10"/>
  <c r="G42" i="560" s="1"/>
  <c r="E21" i="10"/>
  <c r="E42" i="560" s="1"/>
  <c r="D21" i="10"/>
  <c r="C42" i="560" s="1"/>
  <c r="F21" i="16"/>
  <c r="E21" i="16"/>
  <c r="D21" i="16"/>
  <c r="F17" i="16"/>
  <c r="E17" i="16"/>
  <c r="D17" i="16"/>
  <c r="F21" i="18"/>
  <c r="E21" i="18"/>
  <c r="D21" i="18"/>
  <c r="F17" i="18"/>
  <c r="E17" i="18"/>
  <c r="D17" i="18"/>
  <c r="G42" i="562" l="1"/>
  <c r="F21" i="561"/>
  <c r="E17" i="561"/>
  <c r="E28" i="562"/>
  <c r="G28" i="562"/>
  <c r="F17" i="561"/>
  <c r="C42" i="562"/>
  <c r="D21" i="561"/>
  <c r="C28" i="562"/>
  <c r="D17" i="561"/>
  <c r="E42" i="562"/>
  <c r="E21" i="561"/>
  <c r="E42" i="541"/>
  <c r="E42" i="539"/>
  <c r="E42" i="537"/>
  <c r="E42" i="517"/>
  <c r="E21" i="550"/>
  <c r="E21" i="542"/>
  <c r="E21" i="524"/>
  <c r="E21" i="504"/>
  <c r="E42" i="535"/>
  <c r="E42" i="515"/>
  <c r="E21" i="552"/>
  <c r="E21" i="536"/>
  <c r="E21" i="526"/>
  <c r="E21" i="512"/>
  <c r="E21" i="506"/>
  <c r="E42" i="533"/>
  <c r="E42" i="531"/>
  <c r="E42" i="529"/>
  <c r="E42" i="513"/>
  <c r="E42" i="511"/>
  <c r="E42" i="509"/>
  <c r="E21" i="554"/>
  <c r="E21" i="544"/>
  <c r="E21" i="538"/>
  <c r="E21" i="528"/>
  <c r="E21" i="520"/>
  <c r="E21" i="508"/>
  <c r="E42" i="545"/>
  <c r="E42" i="559"/>
  <c r="E21" i="514"/>
  <c r="E42" i="557"/>
  <c r="E42" i="555"/>
  <c r="E42" i="527"/>
  <c r="E42" i="507"/>
  <c r="E21" i="556"/>
  <c r="E21" i="546"/>
  <c r="E21" i="516"/>
  <c r="E21" i="498"/>
  <c r="E42" i="551"/>
  <c r="E42" i="549"/>
  <c r="E42" i="525"/>
  <c r="E42" i="523"/>
  <c r="E42" i="505"/>
  <c r="E42" i="503"/>
  <c r="E42" i="501"/>
  <c r="E21" i="540"/>
  <c r="E21" i="530"/>
  <c r="E21" i="522"/>
  <c r="E21" i="510"/>
  <c r="E21" i="500"/>
  <c r="E42" i="521"/>
  <c r="E21" i="548"/>
  <c r="E21" i="532"/>
  <c r="E42" i="547"/>
  <c r="E42" i="543"/>
  <c r="E42" i="519"/>
  <c r="E42" i="499"/>
  <c r="E21" i="558"/>
  <c r="E21" i="534"/>
  <c r="E21" i="518"/>
  <c r="E21" i="502"/>
  <c r="E28" i="533"/>
  <c r="E28" i="531"/>
  <c r="E28" i="529"/>
  <c r="E28" i="513"/>
  <c r="E28" i="511"/>
  <c r="E28" i="509"/>
  <c r="E17" i="540"/>
  <c r="E17" i="530"/>
  <c r="E17" i="522"/>
  <c r="E17" i="510"/>
  <c r="E17" i="500"/>
  <c r="E28" i="515"/>
  <c r="E17" i="556"/>
  <c r="E28" i="559"/>
  <c r="E17" i="548"/>
  <c r="E17" i="532"/>
  <c r="E28" i="557"/>
  <c r="E28" i="555"/>
  <c r="E28" i="527"/>
  <c r="E28" i="507"/>
  <c r="E17" i="558"/>
  <c r="E17" i="534"/>
  <c r="E17" i="518"/>
  <c r="E17" i="502"/>
  <c r="E28" i="535"/>
  <c r="E28" i="551"/>
  <c r="E28" i="549"/>
  <c r="E28" i="525"/>
  <c r="E28" i="523"/>
  <c r="E28" i="505"/>
  <c r="E28" i="503"/>
  <c r="E28" i="501"/>
  <c r="E17" i="550"/>
  <c r="E17" i="542"/>
  <c r="E17" i="524"/>
  <c r="E17" i="504"/>
  <c r="E28" i="521"/>
  <c r="E17" i="552"/>
  <c r="E17" i="536"/>
  <c r="E17" i="526"/>
  <c r="E17" i="512"/>
  <c r="E17" i="506"/>
  <c r="E28" i="547"/>
  <c r="E28" i="545"/>
  <c r="E28" i="543"/>
  <c r="E28" i="519"/>
  <c r="E28" i="499"/>
  <c r="E17" i="554"/>
  <c r="E17" i="544"/>
  <c r="E17" i="538"/>
  <c r="E17" i="528"/>
  <c r="E17" i="520"/>
  <c r="E17" i="508"/>
  <c r="E28" i="541"/>
  <c r="E28" i="539"/>
  <c r="E28" i="537"/>
  <c r="E28" i="517"/>
  <c r="E17" i="514"/>
  <c r="E17" i="498"/>
  <c r="E17" i="516"/>
  <c r="E17" i="546"/>
  <c r="C42" i="547"/>
  <c r="C42" i="545"/>
  <c r="C42" i="543"/>
  <c r="C42" i="519"/>
  <c r="C42" i="499"/>
  <c r="D21" i="558"/>
  <c r="D21" i="534"/>
  <c r="D21" i="518"/>
  <c r="D21" i="502"/>
  <c r="C42" i="521"/>
  <c r="C42" i="541"/>
  <c r="C42" i="539"/>
  <c r="C42" i="537"/>
  <c r="C42" i="517"/>
  <c r="D21" i="550"/>
  <c r="D21" i="542"/>
  <c r="D21" i="524"/>
  <c r="D21" i="504"/>
  <c r="C42" i="535"/>
  <c r="C42" i="515"/>
  <c r="D21" i="552"/>
  <c r="D21" i="536"/>
  <c r="D21" i="526"/>
  <c r="D21" i="512"/>
  <c r="D21" i="506"/>
  <c r="C42" i="533"/>
  <c r="C42" i="531"/>
  <c r="C42" i="529"/>
  <c r="C42" i="513"/>
  <c r="C42" i="511"/>
  <c r="C42" i="509"/>
  <c r="D21" i="554"/>
  <c r="D21" i="544"/>
  <c r="D21" i="538"/>
  <c r="D21" i="528"/>
  <c r="D21" i="520"/>
  <c r="D21" i="508"/>
  <c r="C42" i="559"/>
  <c r="D21" i="514"/>
  <c r="C42" i="557"/>
  <c r="C42" i="555"/>
  <c r="C42" i="527"/>
  <c r="C42" i="507"/>
  <c r="D21" i="556"/>
  <c r="D21" i="546"/>
  <c r="D21" i="516"/>
  <c r="D21" i="498"/>
  <c r="C42" i="551"/>
  <c r="C42" i="549"/>
  <c r="C42" i="525"/>
  <c r="C42" i="523"/>
  <c r="C42" i="505"/>
  <c r="C42" i="503"/>
  <c r="C42" i="501"/>
  <c r="D21" i="540"/>
  <c r="D21" i="530"/>
  <c r="D21" i="522"/>
  <c r="D21" i="510"/>
  <c r="D21" i="500"/>
  <c r="D21" i="548"/>
  <c r="D21" i="532"/>
  <c r="G42" i="535"/>
  <c r="G42" i="515"/>
  <c r="F21" i="552"/>
  <c r="F21" i="536"/>
  <c r="F21" i="526"/>
  <c r="F21" i="512"/>
  <c r="F21" i="506"/>
  <c r="F21" i="550"/>
  <c r="G42" i="533"/>
  <c r="G42" i="531"/>
  <c r="G42" i="529"/>
  <c r="G42" i="513"/>
  <c r="G42" i="511"/>
  <c r="G42" i="509"/>
  <c r="F21" i="554"/>
  <c r="F21" i="544"/>
  <c r="F21" i="538"/>
  <c r="F21" i="528"/>
  <c r="F21" i="520"/>
  <c r="F21" i="508"/>
  <c r="G42" i="559"/>
  <c r="F21" i="514"/>
  <c r="G42" i="539"/>
  <c r="G42" i="557"/>
  <c r="G42" i="555"/>
  <c r="G42" i="527"/>
  <c r="G42" i="507"/>
  <c r="F21" i="556"/>
  <c r="F21" i="546"/>
  <c r="F21" i="516"/>
  <c r="F21" i="498"/>
  <c r="G42" i="551"/>
  <c r="G42" i="549"/>
  <c r="G42" i="525"/>
  <c r="G42" i="523"/>
  <c r="G42" i="505"/>
  <c r="G42" i="503"/>
  <c r="G42" i="501"/>
  <c r="F21" i="540"/>
  <c r="F21" i="530"/>
  <c r="F21" i="522"/>
  <c r="F21" i="510"/>
  <c r="F21" i="500"/>
  <c r="G42" i="521"/>
  <c r="F21" i="548"/>
  <c r="F21" i="532"/>
  <c r="G42" i="547"/>
  <c r="G42" i="545"/>
  <c r="G42" i="543"/>
  <c r="G42" i="519"/>
  <c r="G42" i="499"/>
  <c r="F21" i="558"/>
  <c r="F21" i="534"/>
  <c r="F21" i="518"/>
  <c r="F21" i="502"/>
  <c r="G42" i="541"/>
  <c r="G42" i="537"/>
  <c r="G42" i="517"/>
  <c r="F21" i="524"/>
  <c r="F21" i="542"/>
  <c r="F21" i="504"/>
  <c r="G28" i="559"/>
  <c r="F17" i="548"/>
  <c r="F17" i="532"/>
  <c r="G28" i="557"/>
  <c r="G28" i="555"/>
  <c r="G28" i="527"/>
  <c r="G28" i="507"/>
  <c r="F17" i="558"/>
  <c r="F17" i="534"/>
  <c r="F17" i="518"/>
  <c r="F17" i="502"/>
  <c r="G28" i="511"/>
  <c r="G28" i="551"/>
  <c r="G28" i="549"/>
  <c r="G28" i="525"/>
  <c r="G28" i="523"/>
  <c r="G28" i="505"/>
  <c r="G28" i="503"/>
  <c r="G28" i="501"/>
  <c r="F17" i="550"/>
  <c r="F17" i="542"/>
  <c r="F17" i="524"/>
  <c r="F17" i="504"/>
  <c r="G28" i="533"/>
  <c r="G28" i="531"/>
  <c r="G28" i="521"/>
  <c r="F17" i="552"/>
  <c r="F17" i="536"/>
  <c r="F17" i="526"/>
  <c r="F17" i="512"/>
  <c r="F17" i="506"/>
  <c r="G28" i="547"/>
  <c r="G28" i="545"/>
  <c r="G28" i="543"/>
  <c r="G28" i="519"/>
  <c r="G28" i="499"/>
  <c r="F17" i="554"/>
  <c r="F17" i="544"/>
  <c r="F17" i="538"/>
  <c r="F17" i="528"/>
  <c r="F17" i="520"/>
  <c r="F17" i="508"/>
  <c r="G28" i="541"/>
  <c r="G28" i="539"/>
  <c r="G28" i="537"/>
  <c r="G28" i="517"/>
  <c r="F17" i="514"/>
  <c r="G28" i="509"/>
  <c r="G28" i="535"/>
  <c r="G28" i="515"/>
  <c r="F17" i="556"/>
  <c r="F17" i="546"/>
  <c r="F17" i="516"/>
  <c r="F17" i="498"/>
  <c r="G28" i="529"/>
  <c r="G28" i="513"/>
  <c r="F17" i="500"/>
  <c r="F17" i="530"/>
  <c r="F17" i="522"/>
  <c r="F17" i="540"/>
  <c r="F17" i="510"/>
  <c r="C28" i="535"/>
  <c r="C28" i="515"/>
  <c r="D17" i="556"/>
  <c r="D17" i="546"/>
  <c r="D17" i="516"/>
  <c r="D17" i="498"/>
  <c r="C28" i="533"/>
  <c r="C28" i="531"/>
  <c r="C28" i="529"/>
  <c r="C28" i="513"/>
  <c r="C28" i="511"/>
  <c r="C28" i="509"/>
  <c r="D17" i="540"/>
  <c r="D17" i="530"/>
  <c r="D17" i="522"/>
  <c r="D17" i="510"/>
  <c r="D17" i="500"/>
  <c r="C28" i="559"/>
  <c r="D17" i="548"/>
  <c r="D17" i="532"/>
  <c r="C28" i="541"/>
  <c r="C28" i="537"/>
  <c r="C28" i="557"/>
  <c r="C28" i="555"/>
  <c r="C28" i="527"/>
  <c r="C28" i="507"/>
  <c r="D17" i="558"/>
  <c r="D17" i="534"/>
  <c r="D17" i="518"/>
  <c r="D17" i="502"/>
  <c r="C28" i="551"/>
  <c r="C28" i="549"/>
  <c r="C28" i="525"/>
  <c r="C28" i="523"/>
  <c r="C28" i="505"/>
  <c r="C28" i="503"/>
  <c r="C28" i="501"/>
  <c r="D17" i="550"/>
  <c r="D17" i="542"/>
  <c r="D17" i="524"/>
  <c r="D17" i="504"/>
  <c r="C28" i="521"/>
  <c r="D17" i="552"/>
  <c r="D17" i="536"/>
  <c r="D17" i="526"/>
  <c r="D17" i="512"/>
  <c r="D17" i="506"/>
  <c r="C28" i="517"/>
  <c r="C28" i="547"/>
  <c r="C28" i="545"/>
  <c r="C28" i="543"/>
  <c r="C28" i="519"/>
  <c r="C28" i="499"/>
  <c r="D17" i="554"/>
  <c r="D17" i="544"/>
  <c r="D17" i="538"/>
  <c r="D17" i="528"/>
  <c r="D17" i="520"/>
  <c r="D17" i="508"/>
  <c r="C28" i="539"/>
  <c r="D17" i="514"/>
  <c r="E17" i="455"/>
  <c r="E28" i="464"/>
  <c r="E28" i="462"/>
  <c r="E28" i="460"/>
  <c r="E28" i="470"/>
  <c r="E28" i="466"/>
  <c r="E28" i="472"/>
  <c r="E28" i="456"/>
  <c r="E28" i="478"/>
  <c r="E28" i="476"/>
  <c r="E17" i="475"/>
  <c r="E17" i="469"/>
  <c r="E17" i="473"/>
  <c r="E28" i="454"/>
  <c r="E17" i="477"/>
  <c r="E17" i="471"/>
  <c r="E17" i="465"/>
  <c r="E28" i="468"/>
  <c r="E17" i="459"/>
  <c r="E28" i="474"/>
  <c r="E17" i="467"/>
  <c r="E17" i="461"/>
  <c r="E17" i="463"/>
  <c r="E21" i="455"/>
  <c r="E42" i="466"/>
  <c r="E42" i="460"/>
  <c r="E42" i="468"/>
  <c r="E42" i="464"/>
  <c r="E21" i="475"/>
  <c r="E42" i="472"/>
  <c r="E42" i="470"/>
  <c r="E42" i="462"/>
  <c r="E42" i="456"/>
  <c r="E21" i="473"/>
  <c r="E42" i="476"/>
  <c r="E21" i="477"/>
  <c r="E42" i="478"/>
  <c r="E21" i="469"/>
  <c r="E21" i="461"/>
  <c r="E21" i="467"/>
  <c r="E21" i="459"/>
  <c r="E42" i="454"/>
  <c r="E21" i="471"/>
  <c r="E21" i="463"/>
  <c r="E42" i="474"/>
  <c r="E21" i="465"/>
  <c r="F21" i="455"/>
  <c r="G42" i="468"/>
  <c r="G42" i="464"/>
  <c r="F21" i="475"/>
  <c r="G42" i="472"/>
  <c r="G42" i="470"/>
  <c r="G42" i="462"/>
  <c r="G42" i="456"/>
  <c r="F21" i="469"/>
  <c r="F21" i="473"/>
  <c r="G42" i="476"/>
  <c r="F21" i="477"/>
  <c r="G42" i="478"/>
  <c r="G42" i="454"/>
  <c r="G42" i="466"/>
  <c r="F21" i="463"/>
  <c r="F21" i="461"/>
  <c r="G42" i="474"/>
  <c r="F21" i="465"/>
  <c r="F21" i="459"/>
  <c r="G42" i="460"/>
  <c r="F21" i="467"/>
  <c r="F21" i="471"/>
  <c r="D21" i="455"/>
  <c r="C42" i="474"/>
  <c r="C42" i="466"/>
  <c r="C42" i="460"/>
  <c r="C42" i="468"/>
  <c r="C42" i="464"/>
  <c r="D21" i="475"/>
  <c r="C42" i="472"/>
  <c r="C42" i="470"/>
  <c r="C42" i="462"/>
  <c r="C42" i="456"/>
  <c r="D21" i="473"/>
  <c r="C42" i="476"/>
  <c r="D21" i="477"/>
  <c r="D21" i="471"/>
  <c r="D21" i="467"/>
  <c r="D21" i="465"/>
  <c r="D21" i="459"/>
  <c r="D21" i="469"/>
  <c r="D21" i="461"/>
  <c r="C42" i="478"/>
  <c r="C42" i="454"/>
  <c r="D21" i="463"/>
  <c r="F17" i="455"/>
  <c r="G28" i="470"/>
  <c r="G28" i="466"/>
  <c r="G28" i="472"/>
  <c r="G28" i="456"/>
  <c r="G28" i="454"/>
  <c r="G28" i="478"/>
  <c r="G28" i="476"/>
  <c r="F17" i="475"/>
  <c r="G28" i="474"/>
  <c r="F17" i="473"/>
  <c r="F17" i="465"/>
  <c r="F17" i="463"/>
  <c r="F17" i="477"/>
  <c r="G28" i="464"/>
  <c r="G28" i="460"/>
  <c r="F17" i="471"/>
  <c r="G28" i="468"/>
  <c r="F17" i="459"/>
  <c r="F17" i="467"/>
  <c r="F17" i="469"/>
  <c r="F17" i="461"/>
  <c r="G28" i="462"/>
  <c r="D17" i="455"/>
  <c r="D17" i="477"/>
  <c r="C28" i="468"/>
  <c r="C28" i="464"/>
  <c r="C28" i="462"/>
  <c r="C28" i="460"/>
  <c r="C28" i="470"/>
  <c r="C28" i="466"/>
  <c r="C28" i="472"/>
  <c r="C28" i="456"/>
  <c r="C28" i="478"/>
  <c r="C28" i="474"/>
  <c r="D17" i="475"/>
  <c r="D17" i="467"/>
  <c r="C28" i="454"/>
  <c r="C28" i="476"/>
  <c r="D17" i="473"/>
  <c r="D17" i="471"/>
  <c r="D17" i="465"/>
  <c r="D17" i="469"/>
  <c r="D17" i="459"/>
  <c r="D17" i="463"/>
  <c r="D17" i="461"/>
  <c r="D17" i="457"/>
  <c r="F21" i="457"/>
  <c r="E17" i="457"/>
  <c r="F17" i="457"/>
  <c r="D21" i="457"/>
  <c r="E21" i="457"/>
  <c r="D17" i="452"/>
  <c r="C28" i="453"/>
  <c r="E28" i="453"/>
  <c r="E17" i="452"/>
  <c r="G28" i="453"/>
  <c r="F17" i="452"/>
  <c r="C42" i="453"/>
  <c r="D21" i="452"/>
  <c r="E21" i="452"/>
  <c r="E42" i="453"/>
  <c r="F21" i="452"/>
  <c r="G42" i="453"/>
  <c r="E35" i="130" l="1"/>
  <c r="K35" i="130" s="1"/>
  <c r="E21" i="130"/>
  <c r="E28" i="130" l="1"/>
  <c r="G42" i="182"/>
  <c r="F15" i="215" s="1"/>
  <c r="E42" i="182"/>
  <c r="E15" i="215" s="1"/>
  <c r="G28" i="182"/>
  <c r="F14" i="215" s="1"/>
  <c r="E14" i="215"/>
  <c r="C42" i="182"/>
  <c r="D15" i="215" s="1"/>
  <c r="D14" i="215"/>
  <c r="D17" i="215" l="1"/>
  <c r="K10" i="20"/>
  <c r="J10" i="20"/>
  <c r="G28" i="188" l="1"/>
  <c r="E28" i="188"/>
  <c r="C28" i="188"/>
  <c r="G28" i="187"/>
  <c r="E28" i="187"/>
  <c r="C28" i="187"/>
  <c r="C42" i="187"/>
  <c r="E42" i="187"/>
  <c r="G42" i="187"/>
  <c r="G28" i="186"/>
  <c r="E28" i="186"/>
  <c r="C28" i="186"/>
  <c r="G28" i="185"/>
  <c r="E28" i="185"/>
  <c r="C28" i="185"/>
  <c r="C24" i="560" l="1"/>
  <c r="G10" i="561" l="1"/>
  <c r="C24" i="562"/>
  <c r="E24" i="560"/>
  <c r="F9" i="10"/>
  <c r="C24" i="543"/>
  <c r="E24" i="543" s="1"/>
  <c r="G24" i="543" s="1"/>
  <c r="C24" i="541"/>
  <c r="E24" i="541" s="1"/>
  <c r="G24" i="541" s="1"/>
  <c r="C24" i="539"/>
  <c r="E24" i="539" s="1"/>
  <c r="G24" i="539" s="1"/>
  <c r="C24" i="519"/>
  <c r="E24" i="519" s="1"/>
  <c r="G24" i="519" s="1"/>
  <c r="G10" i="550"/>
  <c r="G10" i="542"/>
  <c r="G10" i="524"/>
  <c r="G10" i="504"/>
  <c r="C24" i="501"/>
  <c r="E24" i="501" s="1"/>
  <c r="G24" i="501" s="1"/>
  <c r="C24" i="537"/>
  <c r="E24" i="537" s="1"/>
  <c r="G24" i="537" s="1"/>
  <c r="C24" i="517"/>
  <c r="E24" i="517" s="1"/>
  <c r="G24" i="517" s="1"/>
  <c r="G10" i="552"/>
  <c r="G10" i="536"/>
  <c r="G10" i="526"/>
  <c r="G10" i="512"/>
  <c r="G10" i="506"/>
  <c r="C24" i="535"/>
  <c r="E24" i="535" s="1"/>
  <c r="G24" i="535" s="1"/>
  <c r="C24" i="533"/>
  <c r="E24" i="533" s="1"/>
  <c r="G24" i="533" s="1"/>
  <c r="C24" i="531"/>
  <c r="E24" i="531" s="1"/>
  <c r="G24" i="531" s="1"/>
  <c r="C24" i="515"/>
  <c r="E24" i="515" s="1"/>
  <c r="G24" i="515" s="1"/>
  <c r="C24" i="513"/>
  <c r="E24" i="513" s="1"/>
  <c r="G24" i="513" s="1"/>
  <c r="C24" i="511"/>
  <c r="E24" i="511" s="1"/>
  <c r="G24" i="511" s="1"/>
  <c r="G10" i="554"/>
  <c r="G10" i="544"/>
  <c r="G10" i="538"/>
  <c r="G10" i="528"/>
  <c r="G10" i="520"/>
  <c r="G10" i="508"/>
  <c r="C24" i="549"/>
  <c r="E24" i="549" s="1"/>
  <c r="G24" i="549" s="1"/>
  <c r="C24" i="547"/>
  <c r="E24" i="547" s="1"/>
  <c r="G24" i="547" s="1"/>
  <c r="G10" i="514"/>
  <c r="C24" i="521"/>
  <c r="E24" i="521" s="1"/>
  <c r="G24" i="521" s="1"/>
  <c r="C24" i="499"/>
  <c r="E24" i="499" s="1"/>
  <c r="G24" i="499" s="1"/>
  <c r="C24" i="559"/>
  <c r="E24" i="559" s="1"/>
  <c r="G24" i="559" s="1"/>
  <c r="C24" i="557"/>
  <c r="E24" i="557" s="1"/>
  <c r="G24" i="557" s="1"/>
  <c r="C24" i="529"/>
  <c r="E24" i="529" s="1"/>
  <c r="G24" i="529" s="1"/>
  <c r="C24" i="509"/>
  <c r="E24" i="509" s="1"/>
  <c r="G24" i="509" s="1"/>
  <c r="G10" i="556"/>
  <c r="G10" i="546"/>
  <c r="G10" i="516"/>
  <c r="G10" i="498"/>
  <c r="G10" i="558"/>
  <c r="C24" i="555"/>
  <c r="E24" i="555" s="1"/>
  <c r="G24" i="555" s="1"/>
  <c r="C24" i="551"/>
  <c r="E24" i="551" s="1"/>
  <c r="G24" i="551" s="1"/>
  <c r="C24" i="527"/>
  <c r="E24" i="527" s="1"/>
  <c r="G24" i="527" s="1"/>
  <c r="C24" i="525"/>
  <c r="E24" i="525" s="1"/>
  <c r="G24" i="525" s="1"/>
  <c r="C24" i="507"/>
  <c r="E24" i="507" s="1"/>
  <c r="G24" i="507" s="1"/>
  <c r="C24" i="505"/>
  <c r="E24" i="505" s="1"/>
  <c r="G24" i="505" s="1"/>
  <c r="C24" i="503"/>
  <c r="E24" i="503" s="1"/>
  <c r="G24" i="503" s="1"/>
  <c r="G10" i="540"/>
  <c r="G10" i="530"/>
  <c r="G10" i="522"/>
  <c r="G10" i="510"/>
  <c r="G10" i="500"/>
  <c r="C24" i="523"/>
  <c r="E24" i="523" s="1"/>
  <c r="G24" i="523" s="1"/>
  <c r="G10" i="548"/>
  <c r="G10" i="532"/>
  <c r="C24" i="545"/>
  <c r="E24" i="545" s="1"/>
  <c r="G24" i="545" s="1"/>
  <c r="G10" i="518"/>
  <c r="G10" i="502"/>
  <c r="G10" i="534"/>
  <c r="G10" i="455"/>
  <c r="D9" i="455" s="1"/>
  <c r="G10" i="477"/>
  <c r="G10" i="475"/>
  <c r="G10" i="473"/>
  <c r="C24" i="476"/>
  <c r="G10" i="465"/>
  <c r="C24" i="474"/>
  <c r="C24" i="468"/>
  <c r="C24" i="462"/>
  <c r="C24" i="470"/>
  <c r="C24" i="466"/>
  <c r="C24" i="464"/>
  <c r="C24" i="460"/>
  <c r="G10" i="463"/>
  <c r="G10" i="471"/>
  <c r="G10" i="467"/>
  <c r="C24" i="472"/>
  <c r="C24" i="456"/>
  <c r="C24" i="478"/>
  <c r="G10" i="459"/>
  <c r="C24" i="454"/>
  <c r="G10" i="469"/>
  <c r="G10" i="461"/>
  <c r="F9" i="16"/>
  <c r="G10" i="457"/>
  <c r="F9" i="18"/>
  <c r="C24" i="453"/>
  <c r="G10" i="452"/>
  <c r="E9" i="10"/>
  <c r="D51" i="129"/>
  <c r="F9" i="452" l="1"/>
  <c r="F9" i="561"/>
  <c r="G24" i="560"/>
  <c r="F9" i="546"/>
  <c r="E9" i="546"/>
  <c r="D9" i="546"/>
  <c r="F9" i="514"/>
  <c r="E9" i="514"/>
  <c r="D9" i="514"/>
  <c r="F9" i="554"/>
  <c r="E9" i="554"/>
  <c r="D9" i="554"/>
  <c r="F9" i="512"/>
  <c r="D9" i="512"/>
  <c r="E9" i="512"/>
  <c r="F9" i="524"/>
  <c r="D9" i="524"/>
  <c r="E9" i="524"/>
  <c r="D9" i="500"/>
  <c r="F9" i="500"/>
  <c r="E9" i="500"/>
  <c r="E9" i="556"/>
  <c r="F9" i="556"/>
  <c r="D9" i="556"/>
  <c r="F9" i="526"/>
  <c r="E9" i="526"/>
  <c r="D9" i="526"/>
  <c r="F9" i="542"/>
  <c r="D9" i="542"/>
  <c r="E9" i="542"/>
  <c r="F9" i="534"/>
  <c r="E9" i="534"/>
  <c r="D9" i="534"/>
  <c r="E9" i="502"/>
  <c r="F9" i="502"/>
  <c r="D9" i="502"/>
  <c r="E9" i="522"/>
  <c r="F9" i="522"/>
  <c r="D9" i="522"/>
  <c r="F9" i="508"/>
  <c r="E9" i="508"/>
  <c r="D9" i="508"/>
  <c r="F9" i="552"/>
  <c r="E9" i="552"/>
  <c r="D9" i="552"/>
  <c r="F9" i="510"/>
  <c r="D9" i="510"/>
  <c r="E9" i="510"/>
  <c r="E9" i="550"/>
  <c r="F9" i="550"/>
  <c r="D9" i="550"/>
  <c r="F9" i="518"/>
  <c r="D9" i="518"/>
  <c r="E9" i="518"/>
  <c r="F9" i="520"/>
  <c r="D9" i="520"/>
  <c r="E9" i="520"/>
  <c r="F9" i="540"/>
  <c r="D9" i="540"/>
  <c r="E9" i="540"/>
  <c r="E9" i="558"/>
  <c r="F9" i="558"/>
  <c r="D9" i="558"/>
  <c r="F9" i="528"/>
  <c r="E9" i="528"/>
  <c r="D9" i="528"/>
  <c r="F9" i="536"/>
  <c r="E9" i="536"/>
  <c r="D9" i="536"/>
  <c r="F9" i="530"/>
  <c r="D9" i="530"/>
  <c r="E9" i="530"/>
  <c r="E9" i="532"/>
  <c r="D9" i="532"/>
  <c r="F9" i="532"/>
  <c r="F9" i="498"/>
  <c r="D9" i="498"/>
  <c r="E9" i="498"/>
  <c r="F9" i="538"/>
  <c r="E9" i="538"/>
  <c r="D9" i="538"/>
  <c r="F9" i="548"/>
  <c r="D9" i="548"/>
  <c r="E9" i="548"/>
  <c r="F9" i="516"/>
  <c r="E9" i="516"/>
  <c r="D9" i="516"/>
  <c r="F9" i="544"/>
  <c r="E9" i="544"/>
  <c r="D9" i="544"/>
  <c r="F9" i="506"/>
  <c r="E9" i="506"/>
  <c r="D9" i="506"/>
  <c r="F9" i="504"/>
  <c r="E9" i="504"/>
  <c r="D9" i="504"/>
  <c r="E9" i="455"/>
  <c r="F9" i="467"/>
  <c r="E9" i="467"/>
  <c r="D9" i="467"/>
  <c r="F9" i="471"/>
  <c r="D9" i="471"/>
  <c r="E9" i="471"/>
  <c r="F9" i="469"/>
  <c r="E9" i="469"/>
  <c r="D9" i="469"/>
  <c r="F9" i="473"/>
  <c r="E9" i="473"/>
  <c r="D9" i="473"/>
  <c r="E24" i="472"/>
  <c r="E24" i="468"/>
  <c r="F9" i="461"/>
  <c r="D9" i="461"/>
  <c r="E9" i="461"/>
  <c r="D9" i="463"/>
  <c r="F9" i="463"/>
  <c r="E9" i="463"/>
  <c r="F9" i="465"/>
  <c r="E9" i="465"/>
  <c r="D9" i="465"/>
  <c r="E24" i="454"/>
  <c r="E24" i="460"/>
  <c r="E24" i="464"/>
  <c r="E24" i="478"/>
  <c r="E24" i="466"/>
  <c r="F9" i="475"/>
  <c r="E9" i="475"/>
  <c r="D9" i="475"/>
  <c r="E24" i="462"/>
  <c r="F9" i="455"/>
  <c r="E24" i="474"/>
  <c r="E24" i="476"/>
  <c r="F9" i="459"/>
  <c r="D9" i="459"/>
  <c r="E9" i="459"/>
  <c r="E24" i="456"/>
  <c r="E24" i="470"/>
  <c r="F9" i="477"/>
  <c r="D9" i="477"/>
  <c r="E9" i="477"/>
  <c r="D9" i="457"/>
  <c r="E9" i="457"/>
  <c r="F9" i="457"/>
  <c r="E24" i="453"/>
  <c r="G24" i="468" l="1"/>
  <c r="G22" i="468" s="1"/>
  <c r="G24" i="476"/>
  <c r="G22" i="476" s="1"/>
  <c r="G24" i="460"/>
  <c r="G22" i="460" s="1"/>
  <c r="G24" i="466"/>
  <c r="G22" i="466" s="1"/>
  <c r="G24" i="470"/>
  <c r="G22" i="470" s="1"/>
  <c r="G24" i="456"/>
  <c r="G22" i="456" s="1"/>
  <c r="G24" i="474"/>
  <c r="G22" i="474" s="1"/>
  <c r="G24" i="454"/>
  <c r="G22" i="454" s="1"/>
  <c r="G24" i="462"/>
  <c r="G22" i="462" s="1"/>
  <c r="G24" i="464"/>
  <c r="G22" i="464" s="1"/>
  <c r="G24" i="472"/>
  <c r="G22" i="472" s="1"/>
  <c r="G24" i="478"/>
  <c r="G22" i="478" s="1"/>
  <c r="G24" i="453"/>
  <c r="G22" i="453" s="1"/>
  <c r="D3" i="129" l="1"/>
  <c r="D4" i="129"/>
  <c r="N10" i="20" l="1"/>
  <c r="G42" i="142" l="1"/>
  <c r="E42" i="142"/>
  <c r="C42" i="142"/>
  <c r="G42" i="144"/>
  <c r="E42" i="144"/>
  <c r="C42" i="144"/>
  <c r="G42" i="145"/>
  <c r="E42" i="145"/>
  <c r="C42" i="145"/>
  <c r="G42" i="146"/>
  <c r="E42" i="146"/>
  <c r="C42" i="146"/>
  <c r="G42" i="212"/>
  <c r="E42" i="212"/>
  <c r="C42" i="212"/>
  <c r="G42" i="138"/>
  <c r="E42" i="138"/>
  <c r="C42" i="138"/>
  <c r="G42" i="309" l="1"/>
  <c r="E42" i="309"/>
  <c r="C42" i="309"/>
  <c r="G42" i="227"/>
  <c r="E42" i="227"/>
  <c r="C42" i="227"/>
  <c r="G42" i="229"/>
  <c r="E42" i="229"/>
  <c r="C42" i="229"/>
  <c r="G42" i="231"/>
  <c r="E42" i="231"/>
  <c r="C42" i="231"/>
  <c r="G42" i="207"/>
  <c r="E42" i="207"/>
  <c r="C42" i="207"/>
  <c r="G42" i="208"/>
  <c r="E42" i="208"/>
  <c r="C42" i="208"/>
  <c r="G42" i="225"/>
  <c r="E42" i="225"/>
  <c r="C42" i="225"/>
  <c r="G42" i="193"/>
  <c r="E42" i="193"/>
  <c r="C42" i="193"/>
  <c r="G42" i="194"/>
  <c r="E42" i="194"/>
  <c r="C42" i="194"/>
  <c r="G42" i="195"/>
  <c r="E42" i="195"/>
  <c r="C42" i="195"/>
  <c r="G42" i="196"/>
  <c r="E42" i="196"/>
  <c r="C42" i="196"/>
  <c r="G42" i="197"/>
  <c r="E42" i="197"/>
  <c r="C42" i="197"/>
  <c r="G42" i="198"/>
  <c r="E42" i="198"/>
  <c r="C42" i="198"/>
  <c r="G42" i="199"/>
  <c r="E42" i="199"/>
  <c r="C42" i="199"/>
  <c r="G42" i="200"/>
  <c r="E42" i="200"/>
  <c r="C42" i="200"/>
  <c r="G42" i="201"/>
  <c r="E42" i="201"/>
  <c r="C42" i="201"/>
  <c r="G42" i="202"/>
  <c r="E42" i="202"/>
  <c r="C42" i="202"/>
  <c r="G42" i="203"/>
  <c r="E42" i="203"/>
  <c r="C42" i="203"/>
  <c r="G42" i="204"/>
  <c r="E42" i="204"/>
  <c r="C42" i="204"/>
  <c r="G42" i="205"/>
  <c r="E42" i="205"/>
  <c r="C42" i="205"/>
  <c r="G42" i="206"/>
  <c r="E42" i="206"/>
  <c r="C42" i="206"/>
  <c r="G42" i="218"/>
  <c r="E42" i="218"/>
  <c r="C42" i="218"/>
  <c r="G42" i="223"/>
  <c r="E42" i="223"/>
  <c r="C42" i="223"/>
  <c r="G42" i="192"/>
  <c r="E42" i="192"/>
  <c r="C42" i="192"/>
  <c r="G42" i="190"/>
  <c r="E42" i="190"/>
  <c r="C42" i="190"/>
  <c r="G42" i="191"/>
  <c r="E42" i="191"/>
  <c r="C42" i="191"/>
  <c r="G42" i="189"/>
  <c r="E42" i="189"/>
  <c r="C42" i="189"/>
  <c r="G42" i="185"/>
  <c r="E42" i="185"/>
  <c r="C42" i="185"/>
  <c r="G42" i="186"/>
  <c r="E42" i="186"/>
  <c r="C42" i="186"/>
  <c r="G42" i="188"/>
  <c r="E42" i="188"/>
  <c r="C42" i="188"/>
  <c r="G42" i="184"/>
  <c r="E42" i="184"/>
  <c r="C42" i="184"/>
  <c r="G42" i="183"/>
  <c r="E42" i="183"/>
  <c r="C42" i="183"/>
  <c r="E42" i="386" l="1"/>
  <c r="C42" i="386"/>
  <c r="E42" i="149"/>
  <c r="C42" i="149"/>
  <c r="E42" i="150"/>
  <c r="C42" i="150"/>
  <c r="E42" i="151"/>
  <c r="C42" i="151"/>
  <c r="E42" i="152"/>
  <c r="C42" i="152"/>
  <c r="E42" i="153"/>
  <c r="C42" i="153"/>
  <c r="E42" i="154"/>
  <c r="C42" i="154"/>
  <c r="E42" i="155"/>
  <c r="C42" i="155"/>
  <c r="E42" i="156"/>
  <c r="C42" i="156"/>
  <c r="E42" i="157"/>
  <c r="C42" i="157"/>
  <c r="E42" i="158"/>
  <c r="C42" i="158"/>
  <c r="E42" i="159"/>
  <c r="C42" i="159"/>
  <c r="E42" i="160"/>
  <c r="C42" i="160"/>
  <c r="E42" i="161"/>
  <c r="C42" i="161"/>
  <c r="E42" i="295"/>
  <c r="C42" i="295"/>
  <c r="E42" i="297"/>
  <c r="C42" i="297"/>
  <c r="E42" i="299"/>
  <c r="C42" i="299"/>
  <c r="E42" i="301"/>
  <c r="C42" i="301"/>
  <c r="E42" i="303"/>
  <c r="C42" i="303"/>
  <c r="E42" i="305"/>
  <c r="C42" i="305"/>
  <c r="E42" i="307"/>
  <c r="C42" i="307"/>
  <c r="E42" i="148"/>
  <c r="C42" i="148"/>
  <c r="E42" i="147"/>
  <c r="C42" i="147"/>
  <c r="G28" i="196"/>
  <c r="E28" i="196"/>
  <c r="C28" i="196"/>
  <c r="G28" i="197"/>
  <c r="E28" i="197"/>
  <c r="C28" i="197"/>
  <c r="G28" i="198"/>
  <c r="E28" i="198"/>
  <c r="C28" i="198"/>
  <c r="G28" i="199"/>
  <c r="E28" i="199"/>
  <c r="C28" i="199"/>
  <c r="G28" i="200"/>
  <c r="E28" i="200"/>
  <c r="C28" i="200"/>
  <c r="G28" i="201"/>
  <c r="E28" i="201"/>
  <c r="C28" i="201"/>
  <c r="G28" i="202"/>
  <c r="E28" i="202"/>
  <c r="C28" i="202"/>
  <c r="G28" i="203"/>
  <c r="E28" i="203"/>
  <c r="C28" i="203"/>
  <c r="G28" i="204"/>
  <c r="E28" i="204"/>
  <c r="C28" i="204"/>
  <c r="G28" i="205"/>
  <c r="E28" i="205"/>
  <c r="C28" i="205"/>
  <c r="G28" i="206"/>
  <c r="E28" i="206"/>
  <c r="C28" i="206"/>
  <c r="G28" i="218"/>
  <c r="E28" i="218"/>
  <c r="C28" i="218"/>
  <c r="G28" i="223"/>
  <c r="E28" i="223"/>
  <c r="C28" i="223"/>
  <c r="G28" i="225"/>
  <c r="E28" i="225"/>
  <c r="C28" i="225"/>
  <c r="G28" i="227"/>
  <c r="E28" i="227"/>
  <c r="C28" i="227"/>
  <c r="G28" i="229"/>
  <c r="E28" i="229"/>
  <c r="C28" i="229"/>
  <c r="G28" i="231"/>
  <c r="E28" i="231"/>
  <c r="C28" i="231"/>
  <c r="G28" i="207"/>
  <c r="E28" i="207"/>
  <c r="C28" i="207"/>
  <c r="G28" i="208"/>
  <c r="E28" i="208"/>
  <c r="C28" i="208"/>
  <c r="G28" i="309"/>
  <c r="E28" i="309"/>
  <c r="C28" i="309"/>
  <c r="G28" i="195"/>
  <c r="E28" i="195"/>
  <c r="C28" i="195"/>
  <c r="G28" i="193"/>
  <c r="E28" i="193"/>
  <c r="C28" i="193"/>
  <c r="G28" i="194"/>
  <c r="E28" i="194"/>
  <c r="C28" i="194"/>
  <c r="G28" i="192"/>
  <c r="E28" i="192"/>
  <c r="C28" i="192"/>
  <c r="G28" i="189"/>
  <c r="E28" i="189"/>
  <c r="C28" i="189"/>
  <c r="G28" i="190"/>
  <c r="E28" i="190"/>
  <c r="C28" i="190"/>
  <c r="G28" i="191"/>
  <c r="E28" i="191"/>
  <c r="C28" i="191"/>
  <c r="G28" i="183"/>
  <c r="E28" i="183"/>
  <c r="C28" i="183"/>
  <c r="G28" i="184"/>
  <c r="E28" i="184"/>
  <c r="C28" i="184"/>
  <c r="E76" i="210" l="1"/>
  <c r="G13" i="455" l="1"/>
  <c r="G13" i="475"/>
  <c r="G13" i="473"/>
  <c r="G13" i="469"/>
  <c r="G13" i="467"/>
  <c r="G13" i="465"/>
  <c r="G13" i="477"/>
  <c r="G13" i="471"/>
  <c r="G13" i="461"/>
  <c r="G13" i="463"/>
  <c r="G13" i="459"/>
  <c r="G13" i="452"/>
  <c r="G13" i="457"/>
  <c r="G13" i="449"/>
  <c r="G13" i="437"/>
  <c r="G13" i="417"/>
  <c r="G13" i="443"/>
  <c r="G13" i="441"/>
  <c r="G13" i="439"/>
  <c r="G13" i="431"/>
  <c r="G13" i="423"/>
  <c r="G13" i="445"/>
  <c r="G13" i="433"/>
  <c r="G13" i="425"/>
  <c r="G13" i="447"/>
  <c r="G13" i="411"/>
  <c r="G13" i="435"/>
  <c r="G13" i="421"/>
  <c r="G13" i="413"/>
  <c r="G13" i="429"/>
  <c r="G13" i="419"/>
  <c r="G13" i="415"/>
  <c r="G13" i="409"/>
  <c r="D9" i="19"/>
  <c r="E72" i="210"/>
  <c r="E24" i="562" l="1"/>
  <c r="C24" i="444"/>
  <c r="C24" i="442"/>
  <c r="C24" i="436"/>
  <c r="C24" i="438"/>
  <c r="E24" i="438" s="1"/>
  <c r="C24" i="434"/>
  <c r="C24" i="450"/>
  <c r="C24" i="448"/>
  <c r="C24" i="446"/>
  <c r="C24" i="440"/>
  <c r="C24" i="426"/>
  <c r="C24" i="432"/>
  <c r="C24" i="430"/>
  <c r="C24" i="424"/>
  <c r="G10" i="445"/>
  <c r="G10" i="443"/>
  <c r="G10" i="441"/>
  <c r="G10" i="439"/>
  <c r="G10" i="433"/>
  <c r="G10" i="419"/>
  <c r="C24" i="412"/>
  <c r="C24" i="422"/>
  <c r="G10" i="425"/>
  <c r="C24" i="420"/>
  <c r="C24" i="410"/>
  <c r="E24" i="410" s="1"/>
  <c r="G10" i="447"/>
  <c r="G10" i="435"/>
  <c r="G10" i="429"/>
  <c r="C24" i="416"/>
  <c r="G10" i="449"/>
  <c r="G10" i="437"/>
  <c r="G10" i="417"/>
  <c r="C24" i="418"/>
  <c r="G10" i="415"/>
  <c r="G10" i="411"/>
  <c r="G10" i="423"/>
  <c r="G10" i="421"/>
  <c r="G10" i="413"/>
  <c r="C24" i="414"/>
  <c r="G10" i="431"/>
  <c r="C24" i="182"/>
  <c r="E24" i="182" s="1"/>
  <c r="G10" i="409"/>
  <c r="F9" i="19"/>
  <c r="E9" i="19"/>
  <c r="G24" i="562" l="1"/>
  <c r="G22" i="562" s="1"/>
  <c r="E24" i="420"/>
  <c r="E24" i="448"/>
  <c r="E24" i="440"/>
  <c r="E24" i="446"/>
  <c r="E24" i="422"/>
  <c r="E24" i="424"/>
  <c r="E24" i="450"/>
  <c r="E24" i="418"/>
  <c r="D9" i="449"/>
  <c r="D9" i="437"/>
  <c r="D9" i="431"/>
  <c r="D9" i="423"/>
  <c r="D9" i="421"/>
  <c r="D9" i="445"/>
  <c r="D9" i="443"/>
  <c r="D9" i="441"/>
  <c r="D9" i="439"/>
  <c r="D9" i="433"/>
  <c r="D9" i="425"/>
  <c r="D9" i="447"/>
  <c r="D9" i="413"/>
  <c r="D9" i="411"/>
  <c r="D9" i="415"/>
  <c r="D9" i="419"/>
  <c r="D9" i="435"/>
  <c r="D9" i="429"/>
  <c r="D9" i="417"/>
  <c r="E24" i="416"/>
  <c r="E24" i="412"/>
  <c r="E24" i="434"/>
  <c r="G24" i="410"/>
  <c r="G22" i="410" s="1"/>
  <c r="E24" i="430"/>
  <c r="G24" i="438"/>
  <c r="G22" i="438" s="1"/>
  <c r="E24" i="414"/>
  <c r="E9" i="431"/>
  <c r="E9" i="445"/>
  <c r="E9" i="443"/>
  <c r="E9" i="441"/>
  <c r="E9" i="439"/>
  <c r="E9" i="433"/>
  <c r="E9" i="425"/>
  <c r="E9" i="449"/>
  <c r="E9" i="447"/>
  <c r="E9" i="413"/>
  <c r="E9" i="411"/>
  <c r="E9" i="423"/>
  <c r="E9" i="415"/>
  <c r="E9" i="419"/>
  <c r="E9" i="437"/>
  <c r="E9" i="435"/>
  <c r="E9" i="429"/>
  <c r="E9" i="417"/>
  <c r="E9" i="421"/>
  <c r="F9" i="431"/>
  <c r="F9" i="423"/>
  <c r="F9" i="421"/>
  <c r="F9" i="445"/>
  <c r="F9" i="443"/>
  <c r="F9" i="441"/>
  <c r="F9" i="439"/>
  <c r="F9" i="433"/>
  <c r="F9" i="425"/>
  <c r="F9" i="447"/>
  <c r="F9" i="435"/>
  <c r="F9" i="429"/>
  <c r="F9" i="449"/>
  <c r="F9" i="415"/>
  <c r="F9" i="411"/>
  <c r="F9" i="419"/>
  <c r="F9" i="413"/>
  <c r="F9" i="437"/>
  <c r="F9" i="417"/>
  <c r="E24" i="432"/>
  <c r="E24" i="436"/>
  <c r="E24" i="444"/>
  <c r="E24" i="426"/>
  <c r="E24" i="442"/>
  <c r="F9" i="409"/>
  <c r="E9" i="409"/>
  <c r="D9" i="308"/>
  <c r="D9" i="409"/>
  <c r="G24" i="182"/>
  <c r="G24" i="412" l="1"/>
  <c r="G22" i="412" s="1"/>
  <c r="G24" i="442"/>
  <c r="G22" i="442" s="1"/>
  <c r="G24" i="440"/>
  <c r="G22" i="440" s="1"/>
  <c r="G24" i="436"/>
  <c r="G22" i="436" s="1"/>
  <c r="G24" i="450"/>
  <c r="G22" i="450" s="1"/>
  <c r="G24" i="446"/>
  <c r="G22" i="446" s="1"/>
  <c r="G24" i="416"/>
  <c r="G22" i="416" s="1"/>
  <c r="G24" i="426"/>
  <c r="G22" i="426" s="1"/>
  <c r="G24" i="414"/>
  <c r="G22" i="414" s="1"/>
  <c r="G24" i="424"/>
  <c r="G22" i="424" s="1"/>
  <c r="G24" i="448"/>
  <c r="G22" i="448" s="1"/>
  <c r="G24" i="430"/>
  <c r="G22" i="430" s="1"/>
  <c r="G24" i="434"/>
  <c r="G22" i="434" s="1"/>
  <c r="G24" i="444"/>
  <c r="G22" i="444" s="1"/>
  <c r="G24" i="422"/>
  <c r="G22" i="422" s="1"/>
  <c r="G24" i="418"/>
  <c r="G22" i="418" s="1"/>
  <c r="G24" i="432"/>
  <c r="G22" i="432" s="1"/>
  <c r="G24" i="420"/>
  <c r="G22" i="420" s="1"/>
  <c r="F7" i="215"/>
  <c r="G22" i="182"/>
  <c r="J36" i="129" l="1"/>
  <c r="F35" i="131" l="1"/>
  <c r="N10" i="22"/>
  <c r="P10" i="22" s="1"/>
  <c r="Q10" i="22" s="1"/>
  <c r="E86" i="11" s="1"/>
  <c r="E93" i="11" s="1"/>
  <c r="K10" i="22"/>
  <c r="S10" i="22" s="1"/>
  <c r="V12" i="22" s="1"/>
  <c r="J10" i="22"/>
  <c r="R10" i="22" s="1"/>
  <c r="V10" i="22" s="1"/>
  <c r="R12" i="22" l="1"/>
  <c r="I86" i="11"/>
  <c r="D31" i="131"/>
  <c r="J86" i="11"/>
  <c r="S12" i="22"/>
  <c r="T10" i="22"/>
  <c r="T12" i="22" l="1"/>
  <c r="T13" i="22" s="1"/>
  <c r="G19" i="560"/>
  <c r="G19" i="562"/>
  <c r="G19" i="182"/>
  <c r="G19" i="541"/>
  <c r="G19" i="529"/>
  <c r="G19" i="507"/>
  <c r="G19" i="499"/>
  <c r="G19" i="547"/>
  <c r="G19" i="527"/>
  <c r="G19" i="525"/>
  <c r="G19" i="505"/>
  <c r="G19" i="559"/>
  <c r="G19" i="531"/>
  <c r="G19" i="509"/>
  <c r="G19" i="557"/>
  <c r="G19" i="545"/>
  <c r="G19" i="535"/>
  <c r="G19" i="513"/>
  <c r="G19" i="549"/>
  <c r="G19" i="543"/>
  <c r="G19" i="539"/>
  <c r="G19" i="523"/>
  <c r="G19" i="511"/>
  <c r="G19" i="503"/>
  <c r="G19" i="521"/>
  <c r="G19" i="501"/>
  <c r="G19" i="555"/>
  <c r="G19" i="519"/>
  <c r="G19" i="515"/>
  <c r="G19" i="551"/>
  <c r="G19" i="533"/>
  <c r="G19" i="517"/>
  <c r="G19" i="537"/>
  <c r="G19" i="453"/>
  <c r="G19" i="470"/>
  <c r="G19" i="466"/>
  <c r="G19" i="472"/>
  <c r="G19" i="464"/>
  <c r="G19" i="460"/>
  <c r="G19" i="456"/>
  <c r="G19" i="478"/>
  <c r="G19" i="476"/>
  <c r="G19" i="462"/>
  <c r="G19" i="468"/>
  <c r="G19" i="454"/>
  <c r="G19" i="474"/>
  <c r="F24" i="215"/>
  <c r="G19" i="432"/>
  <c r="G19" i="420"/>
  <c r="G19" i="436"/>
  <c r="G19" i="422"/>
  <c r="G19" i="444"/>
  <c r="G19" i="424"/>
  <c r="G19" i="446"/>
  <c r="G19" i="448"/>
  <c r="G19" i="442"/>
  <c r="G19" i="440"/>
  <c r="G19" i="438"/>
  <c r="G19" i="434"/>
  <c r="G19" i="426"/>
  <c r="G19" i="450"/>
  <c r="G19" i="416"/>
  <c r="G19" i="414"/>
  <c r="G19" i="418"/>
  <c r="G19" i="412"/>
  <c r="G19" i="430"/>
  <c r="G19" i="410"/>
  <c r="U10" i="22"/>
  <c r="U12" i="22" l="1"/>
  <c r="D51" i="131" l="1"/>
  <c r="D50" i="131"/>
  <c r="D49" i="131"/>
  <c r="E10" i="129"/>
  <c r="D52" i="131" l="1"/>
  <c r="E51" i="129"/>
  <c r="E52" i="129"/>
  <c r="E53" i="129"/>
  <c r="D11" i="131"/>
  <c r="D25" i="131" s="1"/>
  <c r="D22" i="131"/>
  <c r="E54" i="129" l="1"/>
  <c r="D41" i="182"/>
  <c r="E63" i="129" l="1"/>
  <c r="E64" i="129"/>
  <c r="E65" i="129"/>
  <c r="E66" i="129"/>
  <c r="E67" i="129"/>
  <c r="E69" i="129"/>
  <c r="E70" i="129"/>
  <c r="E71" i="129"/>
  <c r="E41" i="129"/>
  <c r="E74" i="129" s="1"/>
  <c r="E21" i="129"/>
  <c r="E25" i="129" s="1"/>
  <c r="E55" i="129" l="1"/>
  <c r="E62" i="129"/>
  <c r="E25" i="130" l="1"/>
  <c r="E10" i="130"/>
  <c r="E24" i="130" s="1"/>
  <c r="E34" i="129"/>
  <c r="E28" i="129" s="1"/>
  <c r="R10" i="20"/>
  <c r="V10" i="20" s="1"/>
  <c r="E42" i="129" l="1"/>
  <c r="R16" i="20" l="1"/>
  <c r="C19" i="562" s="1"/>
  <c r="E75" i="129"/>
  <c r="C19" i="182" l="1"/>
  <c r="C19" i="560"/>
  <c r="C19" i="557"/>
  <c r="C19" i="533"/>
  <c r="C19" i="517"/>
  <c r="C19" i="545"/>
  <c r="C19" i="537"/>
  <c r="C19" i="535"/>
  <c r="C19" i="513"/>
  <c r="C19" i="499"/>
  <c r="C19" i="521"/>
  <c r="C19" i="501"/>
  <c r="C19" i="515"/>
  <c r="C19" i="559"/>
  <c r="C19" i="551"/>
  <c r="C19" i="531"/>
  <c r="C19" i="541"/>
  <c r="C19" i="529"/>
  <c r="C19" i="507"/>
  <c r="C19" i="547"/>
  <c r="C19" i="527"/>
  <c r="C19" i="525"/>
  <c r="C19" i="505"/>
  <c r="C19" i="549"/>
  <c r="C19" i="543"/>
  <c r="C19" i="539"/>
  <c r="C19" i="523"/>
  <c r="C19" i="511"/>
  <c r="C19" i="503"/>
  <c r="C19" i="555"/>
  <c r="C19" i="519"/>
  <c r="C19" i="509"/>
  <c r="C19" i="453"/>
  <c r="C19" i="462"/>
  <c r="C19" i="474"/>
  <c r="C19" i="468"/>
  <c r="C19" i="470"/>
  <c r="C19" i="466"/>
  <c r="C19" i="472"/>
  <c r="C19" i="464"/>
  <c r="C19" i="460"/>
  <c r="C19" i="456"/>
  <c r="C19" i="478"/>
  <c r="C19" i="454"/>
  <c r="C19" i="476"/>
  <c r="C19" i="434"/>
  <c r="C19" i="426"/>
  <c r="C19" i="450"/>
  <c r="C19" i="430"/>
  <c r="C19" i="432"/>
  <c r="C19" i="420"/>
  <c r="C19" i="436"/>
  <c r="C19" i="444"/>
  <c r="C19" i="424"/>
  <c r="C19" i="446"/>
  <c r="C19" i="448"/>
  <c r="C19" i="410"/>
  <c r="C19" i="442"/>
  <c r="C19" i="440"/>
  <c r="C19" i="438"/>
  <c r="C19" i="422"/>
  <c r="C19" i="416"/>
  <c r="C19" i="414"/>
  <c r="C19" i="418"/>
  <c r="C19" i="412"/>
  <c r="G12" i="148" l="1"/>
  <c r="G12" i="386"/>
  <c r="G12" i="149"/>
  <c r="G12" i="150"/>
  <c r="G12" i="151"/>
  <c r="G12" i="152"/>
  <c r="G12" i="153"/>
  <c r="G12" i="154"/>
  <c r="G12" i="155"/>
  <c r="G12" i="156"/>
  <c r="G12" i="157"/>
  <c r="G12" i="158"/>
  <c r="G12" i="159"/>
  <c r="G12" i="160"/>
  <c r="G12" i="161"/>
  <c r="G12" i="295"/>
  <c r="G12" i="297"/>
  <c r="G12" i="299"/>
  <c r="G12" i="301"/>
  <c r="G12" i="303"/>
  <c r="G12" i="305"/>
  <c r="G12" i="307"/>
  <c r="G12" i="147"/>
  <c r="G12" i="279"/>
  <c r="G12" i="282"/>
  <c r="G12" i="167"/>
  <c r="G12" i="168"/>
  <c r="G12" i="169"/>
  <c r="G12" i="317"/>
  <c r="G12" i="319"/>
  <c r="G12" i="321"/>
  <c r="G12" i="323"/>
  <c r="G12" i="325"/>
  <c r="G12" i="327"/>
  <c r="G12" i="329"/>
  <c r="G12" i="331"/>
  <c r="G12" i="333"/>
  <c r="G12" i="335"/>
  <c r="G12" i="337"/>
  <c r="G12" i="339"/>
  <c r="G12" i="341"/>
  <c r="G12" i="343"/>
  <c r="G12" i="345"/>
  <c r="G12" i="347"/>
  <c r="G12" i="349"/>
  <c r="G12" i="351"/>
  <c r="G12" i="353"/>
  <c r="G12" i="355"/>
  <c r="G12" i="357"/>
  <c r="G12" i="359"/>
  <c r="G12" i="361"/>
  <c r="G12" i="363"/>
  <c r="G12" i="365"/>
  <c r="G12" i="367"/>
  <c r="G12" i="369"/>
  <c r="G12" i="371"/>
  <c r="G12" i="373"/>
  <c r="G12" i="376"/>
  <c r="G12" i="378"/>
  <c r="G12" i="380"/>
  <c r="G12" i="382"/>
  <c r="G12" i="277"/>
  <c r="G12" i="193"/>
  <c r="G12" i="194"/>
  <c r="G12" i="195"/>
  <c r="G12" i="196"/>
  <c r="G12" i="197"/>
  <c r="G12" i="198"/>
  <c r="G12" i="199"/>
  <c r="G12" i="200"/>
  <c r="G12" i="201"/>
  <c r="G12" i="202"/>
  <c r="G12" i="203"/>
  <c r="G12" i="204"/>
  <c r="G12" i="205"/>
  <c r="G12" i="206"/>
  <c r="G12" i="218"/>
  <c r="G12" i="223"/>
  <c r="G12" i="225"/>
  <c r="G12" i="227"/>
  <c r="G12" i="229"/>
  <c r="G12" i="231"/>
  <c r="G12" i="207"/>
  <c r="G12" i="208"/>
  <c r="G12" i="309"/>
  <c r="G12" i="170"/>
  <c r="G12" i="171"/>
  <c r="G12" i="221"/>
  <c r="G12" i="233"/>
  <c r="G12" i="172"/>
  <c r="G12" i="173"/>
  <c r="G12" i="174"/>
  <c r="G12" i="175"/>
  <c r="G12" i="176"/>
  <c r="G12" i="177"/>
  <c r="G12" i="179"/>
  <c r="G12" i="180"/>
  <c r="G12" i="181"/>
  <c r="G12" i="162"/>
  <c r="G12" i="311"/>
  <c r="G12" i="384"/>
  <c r="G12" i="313"/>
  <c r="G12" i="315"/>
  <c r="G12" i="163"/>
  <c r="G12" i="164"/>
  <c r="G12" i="165"/>
  <c r="G12" i="166"/>
  <c r="G12" i="236"/>
  <c r="G12" i="238"/>
  <c r="G12" i="240"/>
  <c r="G12" i="242"/>
  <c r="G12" i="244"/>
  <c r="G12" i="246"/>
  <c r="G12" i="284"/>
  <c r="G12" i="249"/>
  <c r="G12" i="250"/>
  <c r="G12" i="252"/>
  <c r="G12" i="254"/>
  <c r="G12" i="256"/>
  <c r="G12" i="258"/>
  <c r="G12" i="260"/>
  <c r="G12" i="262"/>
  <c r="G12" i="264"/>
  <c r="G12" i="266"/>
  <c r="G12" i="268"/>
  <c r="G12" i="271"/>
  <c r="G12" i="273"/>
  <c r="G12" i="275"/>
  <c r="G12" i="192"/>
  <c r="G12" i="186"/>
  <c r="G12" i="187"/>
  <c r="G12" i="188"/>
  <c r="G12" i="189"/>
  <c r="G12" i="190"/>
  <c r="G12" i="191"/>
  <c r="G12" i="185"/>
  <c r="G12" i="183"/>
  <c r="G12" i="184"/>
  <c r="G12" i="182"/>
  <c r="G12" i="212"/>
  <c r="G12" i="146"/>
  <c r="G12" i="145"/>
  <c r="G12" i="144"/>
  <c r="G12" i="142"/>
  <c r="G12" i="141"/>
  <c r="G12" i="140"/>
  <c r="G12" i="139"/>
  <c r="G12" i="138"/>
  <c r="D36" i="129" l="1"/>
  <c r="D33" i="131" l="1"/>
  <c r="D67" i="131"/>
  <c r="D65" i="131"/>
  <c r="D64" i="131"/>
  <c r="D63" i="131"/>
  <c r="D62" i="131"/>
  <c r="D61" i="131"/>
  <c r="D40" i="131"/>
  <c r="D53" i="131" s="1"/>
  <c r="F86" i="11"/>
  <c r="D29" i="131" l="1"/>
  <c r="F33" i="131"/>
  <c r="D26" i="131"/>
  <c r="D41" i="131"/>
  <c r="D70" i="131"/>
  <c r="D60" i="131"/>
  <c r="D45" i="131" l="1"/>
  <c r="G13" i="562" s="1"/>
  <c r="G13" i="560"/>
  <c r="G13" i="557"/>
  <c r="G13" i="541"/>
  <c r="G13" i="529"/>
  <c r="G13" i="525"/>
  <c r="G13" i="537"/>
  <c r="G13" i="535"/>
  <c r="G13" i="527"/>
  <c r="G13" i="523"/>
  <c r="G13" i="515"/>
  <c r="G13" i="499"/>
  <c r="G13" i="531"/>
  <c r="G13" i="511"/>
  <c r="G13" i="545"/>
  <c r="G13" i="543"/>
  <c r="G13" i="519"/>
  <c r="G13" i="507"/>
  <c r="G13" i="551"/>
  <c r="G13" i="547"/>
  <c r="G13" i="513"/>
  <c r="G13" i="501"/>
  <c r="G13" i="555"/>
  <c r="G13" i="453"/>
  <c r="G13" i="470"/>
  <c r="G13" i="466"/>
  <c r="G13" i="472"/>
  <c r="G13" i="464"/>
  <c r="G13" i="460"/>
  <c r="G13" i="456"/>
  <c r="G13" i="478"/>
  <c r="G13" i="476"/>
  <c r="G13" i="474"/>
  <c r="G13" i="454"/>
  <c r="G13" i="468"/>
  <c r="G13" i="462"/>
  <c r="G13" i="432"/>
  <c r="G13" i="436"/>
  <c r="G13" i="422"/>
  <c r="G13" i="444"/>
  <c r="G13" i="424"/>
  <c r="G13" i="446"/>
  <c r="G13" i="448"/>
  <c r="G13" i="442"/>
  <c r="G13" i="440"/>
  <c r="G13" i="438"/>
  <c r="G13" i="434"/>
  <c r="G13" i="426"/>
  <c r="G13" i="416"/>
  <c r="G13" i="430"/>
  <c r="G13" i="414"/>
  <c r="G13" i="420"/>
  <c r="G13" i="418"/>
  <c r="G13" i="450"/>
  <c r="G13" i="412"/>
  <c r="G13" i="410"/>
  <c r="G13" i="400"/>
  <c r="G13" i="395"/>
  <c r="G13" i="391"/>
  <c r="G13" i="404"/>
  <c r="G13" i="393"/>
  <c r="G13" i="402"/>
  <c r="G13" i="405"/>
  <c r="G13" i="389"/>
  <c r="G13" i="397"/>
  <c r="G13" i="182"/>
  <c r="F26" i="215"/>
  <c r="E43" i="130"/>
  <c r="E75" i="130" s="1"/>
  <c r="G13" i="533" l="1"/>
  <c r="G13" i="539"/>
  <c r="G13" i="503"/>
  <c r="G13" i="549"/>
  <c r="G13" i="509"/>
  <c r="G13" i="559"/>
  <c r="G13" i="505"/>
  <c r="G13" i="521"/>
  <c r="G13" i="517"/>
  <c r="D41" i="129"/>
  <c r="D74" i="129" s="1"/>
  <c r="E24" i="129" l="1"/>
  <c r="E33" i="129" s="1"/>
  <c r="C3" i="209"/>
  <c r="C3" i="291"/>
  <c r="E72" i="129" l="1"/>
  <c r="E68" i="129" s="1"/>
  <c r="E57" i="129"/>
  <c r="E58" i="129"/>
  <c r="D68" i="131"/>
  <c r="D66" i="131" s="1"/>
  <c r="D56" i="131"/>
  <c r="D59" i="131"/>
  <c r="D39" i="131"/>
  <c r="K86" i="11"/>
  <c r="E40" i="129"/>
  <c r="D32" i="131" l="1"/>
  <c r="F34" i="131" s="1"/>
  <c r="F36" i="131" s="1"/>
  <c r="D55" i="131"/>
  <c r="D54" i="131" s="1"/>
  <c r="D48" i="131" s="1"/>
  <c r="D43" i="131" s="1"/>
  <c r="E61" i="129"/>
  <c r="E60" i="129" s="1"/>
  <c r="E56" i="129"/>
  <c r="E50" i="129" s="1"/>
  <c r="D58" i="131"/>
  <c r="D44" i="131" s="1"/>
  <c r="L86" i="11"/>
  <c r="L93" i="11" s="1"/>
  <c r="D71" i="131"/>
  <c r="D46" i="131" l="1"/>
  <c r="G14" i="562" s="1"/>
  <c r="G20" i="562" s="1"/>
  <c r="G8" i="562"/>
  <c r="H8" i="562" s="1"/>
  <c r="G7" i="517"/>
  <c r="G7" i="519"/>
  <c r="G7" i="531"/>
  <c r="G7" i="551"/>
  <c r="G7" i="472"/>
  <c r="G7" i="470"/>
  <c r="G7" i="466"/>
  <c r="G7" i="450"/>
  <c r="G7" i="434"/>
  <c r="G7" i="444"/>
  <c r="G7" i="440"/>
  <c r="G7" i="410"/>
  <c r="G7" i="422"/>
  <c r="G7" i="448"/>
  <c r="G7" i="400"/>
  <c r="G7" i="404"/>
  <c r="G7" i="402"/>
  <c r="G7" i="405"/>
  <c r="G7" i="389"/>
  <c r="G7" i="397"/>
  <c r="F23" i="132"/>
  <c r="B8" i="11"/>
  <c r="G14" i="515" l="1"/>
  <c r="G20" i="515" s="1"/>
  <c r="G14" i="410"/>
  <c r="G20" i="410" s="1"/>
  <c r="G14" i="466"/>
  <c r="G20" i="466" s="1"/>
  <c r="G14" i="389"/>
  <c r="G8" i="391"/>
  <c r="G8" i="400"/>
  <c r="G6" i="400" s="1"/>
  <c r="G9" i="400" s="1"/>
  <c r="H10" i="400" s="1"/>
  <c r="G8" i="472"/>
  <c r="H8" i="472" s="1"/>
  <c r="G8" i="432"/>
  <c r="H8" i="432" s="1"/>
  <c r="G8" i="460"/>
  <c r="H8" i="460" s="1"/>
  <c r="G7" i="137"/>
  <c r="G7" i="446"/>
  <c r="G7" i="543"/>
  <c r="G7" i="562"/>
  <c r="G6" i="562" s="1"/>
  <c r="G9" i="562" s="1"/>
  <c r="H10" i="562" s="1"/>
  <c r="G7" i="549"/>
  <c r="G8" i="517"/>
  <c r="H8" i="517" s="1"/>
  <c r="G8" i="507"/>
  <c r="H8" i="507" s="1"/>
  <c r="G8" i="430"/>
  <c r="H8" i="430" s="1"/>
  <c r="G8" i="446"/>
  <c r="H8" i="446" s="1"/>
  <c r="G8" i="519"/>
  <c r="H8" i="519" s="1"/>
  <c r="G8" i="405"/>
  <c r="G6" i="405" s="1"/>
  <c r="G9" i="405" s="1"/>
  <c r="H10" i="405" s="1"/>
  <c r="G8" i="436"/>
  <c r="H8" i="436" s="1"/>
  <c r="G8" i="513"/>
  <c r="H8" i="513" s="1"/>
  <c r="G8" i="531"/>
  <c r="H8" i="531" s="1"/>
  <c r="G8" i="448"/>
  <c r="H8" i="448" s="1"/>
  <c r="G8" i="402"/>
  <c r="G6" i="402" s="1"/>
  <c r="G9" i="402" s="1"/>
  <c r="H10" i="402" s="1"/>
  <c r="G8" i="529"/>
  <c r="H8" i="529" s="1"/>
  <c r="G8" i="527"/>
  <c r="H8" i="527" s="1"/>
  <c r="G8" i="410"/>
  <c r="H8" i="410" s="1"/>
  <c r="G8" i="412"/>
  <c r="H8" i="412" s="1"/>
  <c r="G8" i="464"/>
  <c r="H8" i="464" s="1"/>
  <c r="G8" i="543"/>
  <c r="H8" i="543" s="1"/>
  <c r="G8" i="182"/>
  <c r="G8" i="476"/>
  <c r="H8" i="476" s="1"/>
  <c r="G8" i="541"/>
  <c r="H8" i="541" s="1"/>
  <c r="G8" i="442"/>
  <c r="H8" i="442" s="1"/>
  <c r="G8" i="454"/>
  <c r="H8" i="454" s="1"/>
  <c r="G8" i="545"/>
  <c r="H8" i="545" s="1"/>
  <c r="G8" i="434"/>
  <c r="H8" i="434" s="1"/>
  <c r="G8" i="395"/>
  <c r="G8" i="426"/>
  <c r="H8" i="426" s="1"/>
  <c r="G8" i="450"/>
  <c r="G6" i="450" s="1"/>
  <c r="G9" i="450" s="1"/>
  <c r="G8" i="424"/>
  <c r="H8" i="424" s="1"/>
  <c r="G7" i="424"/>
  <c r="G8" i="466"/>
  <c r="H8" i="466" s="1"/>
  <c r="G8" i="478"/>
  <c r="H8" i="478" s="1"/>
  <c r="G7" i="499"/>
  <c r="G8" i="555"/>
  <c r="H8" i="555" s="1"/>
  <c r="G8" i="557"/>
  <c r="H8" i="557" s="1"/>
  <c r="G8" i="505"/>
  <c r="H8" i="505" s="1"/>
  <c r="G8" i="393"/>
  <c r="G8" i="414"/>
  <c r="H8" i="414" s="1"/>
  <c r="G8" i="535"/>
  <c r="H8" i="535" s="1"/>
  <c r="G8" i="422"/>
  <c r="H8" i="422" s="1"/>
  <c r="G8" i="462"/>
  <c r="H8" i="462" s="1"/>
  <c r="G8" i="453"/>
  <c r="H8" i="453" s="1"/>
  <c r="G8" i="559"/>
  <c r="H8" i="559" s="1"/>
  <c r="G8" i="539"/>
  <c r="H8" i="539" s="1"/>
  <c r="G8" i="397"/>
  <c r="G6" i="397" s="1"/>
  <c r="G9" i="397" s="1"/>
  <c r="H10" i="397" s="1"/>
  <c r="G8" i="418"/>
  <c r="H8" i="418" s="1"/>
  <c r="G8" i="438"/>
  <c r="H8" i="438" s="1"/>
  <c r="G7" i="414"/>
  <c r="G7" i="438"/>
  <c r="G8" i="468"/>
  <c r="H8" i="468" s="1"/>
  <c r="G7" i="456"/>
  <c r="G8" i="499"/>
  <c r="H8" i="499" s="1"/>
  <c r="G8" i="547"/>
  <c r="H8" i="547" s="1"/>
  <c r="G8" i="551"/>
  <c r="H8" i="551" s="1"/>
  <c r="G8" i="389"/>
  <c r="G6" i="389" s="1"/>
  <c r="G9" i="389" s="1"/>
  <c r="H10" i="389" s="1"/>
  <c r="G8" i="420"/>
  <c r="H8" i="420" s="1"/>
  <c r="G8" i="440"/>
  <c r="H8" i="440" s="1"/>
  <c r="G8" i="474"/>
  <c r="H8" i="474" s="1"/>
  <c r="G8" i="509"/>
  <c r="H8" i="509" s="1"/>
  <c r="G8" i="523"/>
  <c r="H8" i="523" s="1"/>
  <c r="G8" i="511"/>
  <c r="H8" i="511" s="1"/>
  <c r="G8" i="404"/>
  <c r="G6" i="404" s="1"/>
  <c r="G9" i="404" s="1"/>
  <c r="H10" i="404" s="1"/>
  <c r="G8" i="416"/>
  <c r="H8" i="416" s="1"/>
  <c r="G8" i="444"/>
  <c r="H8" i="444" s="1"/>
  <c r="G8" i="470"/>
  <c r="H8" i="470" s="1"/>
  <c r="G8" i="456"/>
  <c r="H8" i="456" s="1"/>
  <c r="G8" i="537"/>
  <c r="H8" i="537" s="1"/>
  <c r="G8" i="501"/>
  <c r="H8" i="501" s="1"/>
  <c r="G8" i="549"/>
  <c r="H8" i="549" s="1"/>
  <c r="G7" i="527"/>
  <c r="G7" i="533"/>
  <c r="G7" i="541"/>
  <c r="G7" i="462"/>
  <c r="G7" i="555"/>
  <c r="G7" i="426"/>
  <c r="G7" i="525"/>
  <c r="G7" i="503"/>
  <c r="G7" i="529"/>
  <c r="G7" i="507"/>
  <c r="G7" i="547"/>
  <c r="G14" i="182"/>
  <c r="G14" i="426"/>
  <c r="G20" i="426" s="1"/>
  <c r="G14" i="444"/>
  <c r="G20" i="444" s="1"/>
  <c r="G7" i="432"/>
  <c r="G7" i="478"/>
  <c r="G7" i="468"/>
  <c r="G7" i="501"/>
  <c r="G7" i="537"/>
  <c r="G7" i="545"/>
  <c r="G7" i="559"/>
  <c r="G7" i="391"/>
  <c r="G7" i="416"/>
  <c r="G7" i="395"/>
  <c r="G7" i="412"/>
  <c r="G7" i="460"/>
  <c r="G7" i="476"/>
  <c r="G7" i="513"/>
  <c r="G7" i="505"/>
  <c r="G7" i="557"/>
  <c r="G7" i="436"/>
  <c r="G7" i="430"/>
  <c r="G7" i="464"/>
  <c r="G7" i="453"/>
  <c r="G7" i="521"/>
  <c r="G7" i="535"/>
  <c r="G7" i="511"/>
  <c r="G7" i="560"/>
  <c r="G7" i="182"/>
  <c r="G7" i="393"/>
  <c r="G7" i="418"/>
  <c r="G7" i="420"/>
  <c r="G7" i="442"/>
  <c r="G7" i="454"/>
  <c r="G7" i="474"/>
  <c r="G7" i="515"/>
  <c r="G7" i="509"/>
  <c r="G7" i="523"/>
  <c r="G7" i="539"/>
  <c r="G8" i="515"/>
  <c r="H8" i="515" s="1"/>
  <c r="G14" i="402"/>
  <c r="G14" i="412"/>
  <c r="G20" i="412" s="1"/>
  <c r="G14" i="434"/>
  <c r="G20" i="434" s="1"/>
  <c r="G14" i="551"/>
  <c r="G20" i="551" s="1"/>
  <c r="G14" i="468"/>
  <c r="G20" i="468" s="1"/>
  <c r="G14" i="545"/>
  <c r="G20" i="545" s="1"/>
  <c r="G14" i="501"/>
  <c r="G20" i="501" s="1"/>
  <c r="G14" i="523"/>
  <c r="G20" i="523" s="1"/>
  <c r="G14" i="541"/>
  <c r="G20" i="541" s="1"/>
  <c r="G14" i="519"/>
  <c r="G20" i="519" s="1"/>
  <c r="G14" i="557"/>
  <c r="G20" i="557" s="1"/>
  <c r="G14" i="397"/>
  <c r="G14" i="418"/>
  <c r="G20" i="418" s="1"/>
  <c r="G14" i="438"/>
  <c r="G20" i="438" s="1"/>
  <c r="G14" i="420"/>
  <c r="G20" i="420" s="1"/>
  <c r="G14" i="440"/>
  <c r="G20" i="440" s="1"/>
  <c r="G14" i="454"/>
  <c r="G20" i="454" s="1"/>
  <c r="G14" i="474"/>
  <c r="G20" i="474" s="1"/>
  <c r="G14" i="533"/>
  <c r="G20" i="533" s="1"/>
  <c r="G14" i="505"/>
  <c r="G20" i="505" s="1"/>
  <c r="G14" i="525"/>
  <c r="G20" i="525" s="1"/>
  <c r="G14" i="559"/>
  <c r="G20" i="559" s="1"/>
  <c r="G14" i="470"/>
  <c r="G20" i="470" s="1"/>
  <c r="G14" i="521"/>
  <c r="G20" i="521" s="1"/>
  <c r="G14" i="391"/>
  <c r="G14" i="456"/>
  <c r="G20" i="456" s="1"/>
  <c r="G14" i="462"/>
  <c r="G20" i="462" s="1"/>
  <c r="G14" i="555"/>
  <c r="G20" i="555" s="1"/>
  <c r="G14" i="549"/>
  <c r="G20" i="549" s="1"/>
  <c r="G14" i="531"/>
  <c r="G20" i="531" s="1"/>
  <c r="G14" i="513"/>
  <c r="G20" i="513" s="1"/>
  <c r="G14" i="537"/>
  <c r="G20" i="537" s="1"/>
  <c r="G14" i="416"/>
  <c r="G20" i="416" s="1"/>
  <c r="G14" i="432"/>
  <c r="G20" i="432" s="1"/>
  <c r="G14" i="448"/>
  <c r="G20" i="448" s="1"/>
  <c r="G14" i="472"/>
  <c r="G20" i="472" s="1"/>
  <c r="G14" i="476"/>
  <c r="G20" i="476" s="1"/>
  <c r="G14" i="543"/>
  <c r="G20" i="543" s="1"/>
  <c r="G14" i="517"/>
  <c r="G20" i="517" s="1"/>
  <c r="G14" i="547"/>
  <c r="G20" i="547" s="1"/>
  <c r="G8" i="137"/>
  <c r="G14" i="529"/>
  <c r="G20" i="529" s="1"/>
  <c r="G14" i="560"/>
  <c r="G20" i="560" s="1"/>
  <c r="G14" i="404"/>
  <c r="G14" i="400"/>
  <c r="G14" i="414"/>
  <c r="G20" i="414" s="1"/>
  <c r="G14" i="430"/>
  <c r="G20" i="430" s="1"/>
  <c r="G14" i="446"/>
  <c r="G20" i="446" s="1"/>
  <c r="G14" i="460"/>
  <c r="G20" i="460" s="1"/>
  <c r="G14" i="478"/>
  <c r="G20" i="478" s="1"/>
  <c r="G8" i="525"/>
  <c r="H8" i="525" s="1"/>
  <c r="G14" i="511"/>
  <c r="G20" i="511" s="1"/>
  <c r="G14" i="507"/>
  <c r="G20" i="507" s="1"/>
  <c r="G14" i="503"/>
  <c r="G20" i="503" s="1"/>
  <c r="G14" i="499"/>
  <c r="G20" i="499" s="1"/>
  <c r="G8" i="560"/>
  <c r="H8" i="560" s="1"/>
  <c r="G14" i="539"/>
  <c r="G20" i="539" s="1"/>
  <c r="G14" i="393"/>
  <c r="G14" i="422"/>
  <c r="G20" i="422" s="1"/>
  <c r="G14" i="442"/>
  <c r="G20" i="442" s="1"/>
  <c r="G14" i="395"/>
  <c r="F27" i="215"/>
  <c r="F29" i="215" s="1"/>
  <c r="G14" i="405"/>
  <c r="G14" i="436"/>
  <c r="G20" i="436" s="1"/>
  <c r="G14" i="450"/>
  <c r="G20" i="450" s="1"/>
  <c r="G14" i="424"/>
  <c r="G20" i="424" s="1"/>
  <c r="G14" i="464"/>
  <c r="G20" i="464" s="1"/>
  <c r="G14" i="453"/>
  <c r="G20" i="453" s="1"/>
  <c r="G8" i="521"/>
  <c r="H8" i="521" s="1"/>
  <c r="G8" i="503"/>
  <c r="H8" i="503" s="1"/>
  <c r="G8" i="533"/>
  <c r="H8" i="533" s="1"/>
  <c r="G14" i="535"/>
  <c r="G20" i="535" s="1"/>
  <c r="G14" i="527"/>
  <c r="G20" i="527" s="1"/>
  <c r="G14" i="509"/>
  <c r="G20" i="509" s="1"/>
  <c r="G6" i="472"/>
  <c r="G9" i="472" s="1"/>
  <c r="G19" i="400"/>
  <c r="G19" i="395"/>
  <c r="G19" i="391"/>
  <c r="G19" i="404"/>
  <c r="G19" i="393"/>
  <c r="G19" i="402"/>
  <c r="G19" i="397"/>
  <c r="G19" i="389"/>
  <c r="G20" i="389" s="1"/>
  <c r="G19" i="405"/>
  <c r="E67" i="210"/>
  <c r="E68" i="210" s="1"/>
  <c r="G6" i="420" l="1"/>
  <c r="G9" i="420" s="1"/>
  <c r="H10" i="420" s="1"/>
  <c r="G6" i="559"/>
  <c r="G9" i="559" s="1"/>
  <c r="H10" i="559" s="1"/>
  <c r="G6" i="517"/>
  <c r="G9" i="517" s="1"/>
  <c r="H10" i="517" s="1"/>
  <c r="G6" i="395"/>
  <c r="G9" i="395" s="1"/>
  <c r="H10" i="395" s="1"/>
  <c r="G6" i="531"/>
  <c r="G9" i="531" s="1"/>
  <c r="H10" i="531" s="1"/>
  <c r="G6" i="543"/>
  <c r="G9" i="543" s="1"/>
  <c r="H10" i="543" s="1"/>
  <c r="G6" i="446"/>
  <c r="G9" i="446" s="1"/>
  <c r="H10" i="446" s="1"/>
  <c r="G6" i="456"/>
  <c r="G9" i="456" s="1"/>
  <c r="H10" i="456" s="1"/>
  <c r="G6" i="391"/>
  <c r="G9" i="391" s="1"/>
  <c r="H10" i="391" s="1"/>
  <c r="G6" i="519"/>
  <c r="G9" i="519" s="1"/>
  <c r="H10" i="519" s="1"/>
  <c r="G6" i="551"/>
  <c r="G9" i="551" s="1"/>
  <c r="H10" i="551" s="1"/>
  <c r="H8" i="450"/>
  <c r="G6" i="529"/>
  <c r="G9" i="529" s="1"/>
  <c r="H10" i="529" s="1"/>
  <c r="G6" i="424"/>
  <c r="G9" i="424" s="1"/>
  <c r="H10" i="424" s="1"/>
  <c r="G6" i="460"/>
  <c r="G9" i="460" s="1"/>
  <c r="H10" i="460" s="1"/>
  <c r="G6" i="444"/>
  <c r="G9" i="444" s="1"/>
  <c r="H10" i="444" s="1"/>
  <c r="G6" i="539"/>
  <c r="G9" i="539" s="1"/>
  <c r="H10" i="539" s="1"/>
  <c r="G6" i="412"/>
  <c r="G9" i="412" s="1"/>
  <c r="H10" i="412" s="1"/>
  <c r="G6" i="448"/>
  <c r="G9" i="448" s="1"/>
  <c r="H10" i="448" s="1"/>
  <c r="G6" i="182"/>
  <c r="F5" i="215" s="1"/>
  <c r="G6" i="432"/>
  <c r="G9" i="432" s="1"/>
  <c r="H10" i="432" s="1"/>
  <c r="G6" i="476"/>
  <c r="G9" i="476" s="1"/>
  <c r="H10" i="476" s="1"/>
  <c r="G6" i="440"/>
  <c r="G9" i="440" s="1"/>
  <c r="H10" i="440" s="1"/>
  <c r="G6" i="470"/>
  <c r="G9" i="470" s="1"/>
  <c r="H10" i="470" s="1"/>
  <c r="G6" i="393"/>
  <c r="G9" i="393" s="1"/>
  <c r="H10" i="393" s="1"/>
  <c r="G6" i="430"/>
  <c r="G9" i="430" s="1"/>
  <c r="H10" i="430" s="1"/>
  <c r="G6" i="505"/>
  <c r="G9" i="505" s="1"/>
  <c r="H10" i="505" s="1"/>
  <c r="G6" i="414"/>
  <c r="G9" i="414" s="1"/>
  <c r="H10" i="414" s="1"/>
  <c r="G6" i="410"/>
  <c r="G9" i="410" s="1"/>
  <c r="H10" i="410" s="1"/>
  <c r="G6" i="454"/>
  <c r="G9" i="454" s="1"/>
  <c r="H10" i="454" s="1"/>
  <c r="G6" i="442"/>
  <c r="G9" i="442" s="1"/>
  <c r="H10" i="442" s="1"/>
  <c r="G6" i="547"/>
  <c r="G9" i="547" s="1"/>
  <c r="H10" i="547" s="1"/>
  <c r="G6" i="549"/>
  <c r="G9" i="549" s="1"/>
  <c r="H10" i="549" s="1"/>
  <c r="G6" i="464"/>
  <c r="G9" i="464" s="1"/>
  <c r="H10" i="464" s="1"/>
  <c r="G6" i="478"/>
  <c r="G9" i="478" s="1"/>
  <c r="H10" i="478" s="1"/>
  <c r="G6" i="438"/>
  <c r="G9" i="438" s="1"/>
  <c r="H10" i="438" s="1"/>
  <c r="G6" i="436"/>
  <c r="G9" i="436" s="1"/>
  <c r="H10" i="436" s="1"/>
  <c r="G6" i="422"/>
  <c r="G9" i="422" s="1"/>
  <c r="H10" i="422" s="1"/>
  <c r="G6" i="513"/>
  <c r="G9" i="513" s="1"/>
  <c r="H10" i="513" s="1"/>
  <c r="G6" i="545"/>
  <c r="G9" i="545" s="1"/>
  <c r="H10" i="545" s="1"/>
  <c r="G6" i="541"/>
  <c r="G9" i="541" s="1"/>
  <c r="H10" i="541" s="1"/>
  <c r="G6" i="501"/>
  <c r="G9" i="501" s="1"/>
  <c r="H10" i="501" s="1"/>
  <c r="G6" i="523"/>
  <c r="G9" i="523" s="1"/>
  <c r="H10" i="523" s="1"/>
  <c r="G6" i="509"/>
  <c r="G9" i="509" s="1"/>
  <c r="H10" i="509" s="1"/>
  <c r="G6" i="453"/>
  <c r="G9" i="453" s="1"/>
  <c r="H10" i="453" s="1"/>
  <c r="G6" i="507"/>
  <c r="G9" i="507" s="1"/>
  <c r="H10" i="507" s="1"/>
  <c r="G6" i="418"/>
  <c r="G9" i="418" s="1"/>
  <c r="H10" i="418" s="1"/>
  <c r="G6" i="468"/>
  <c r="G9" i="468" s="1"/>
  <c r="H10" i="468" s="1"/>
  <c r="G6" i="527"/>
  <c r="G9" i="527" s="1"/>
  <c r="H10" i="527" s="1"/>
  <c r="G6" i="474"/>
  <c r="G9" i="474" s="1"/>
  <c r="H10" i="474" s="1"/>
  <c r="G6" i="511"/>
  <c r="G9" i="511" s="1"/>
  <c r="H10" i="511" s="1"/>
  <c r="G6" i="555"/>
  <c r="G9" i="555" s="1"/>
  <c r="H10" i="555" s="1"/>
  <c r="G6" i="537"/>
  <c r="G9" i="537" s="1"/>
  <c r="H10" i="537" s="1"/>
  <c r="G6" i="499"/>
  <c r="G9" i="499" s="1"/>
  <c r="H10" i="499" s="1"/>
  <c r="G6" i="416"/>
  <c r="G9" i="416" s="1"/>
  <c r="H10" i="416" s="1"/>
  <c r="G6" i="557"/>
  <c r="G9" i="557" s="1"/>
  <c r="H10" i="557" s="1"/>
  <c r="G6" i="426"/>
  <c r="G9" i="426" s="1"/>
  <c r="H10" i="426" s="1"/>
  <c r="G6" i="466"/>
  <c r="G9" i="466" s="1"/>
  <c r="H10" i="466" s="1"/>
  <c r="G6" i="535"/>
  <c r="G9" i="535" s="1"/>
  <c r="H10" i="535" s="1"/>
  <c r="G6" i="462"/>
  <c r="G9" i="462" s="1"/>
  <c r="H10" i="462" s="1"/>
  <c r="G6" i="434"/>
  <c r="G9" i="434" s="1"/>
  <c r="H10" i="434" s="1"/>
  <c r="G20" i="391"/>
  <c r="G20" i="402"/>
  <c r="G6" i="560"/>
  <c r="G9" i="560" s="1"/>
  <c r="H10" i="560" s="1"/>
  <c r="G20" i="397"/>
  <c r="G20" i="404"/>
  <c r="G6" i="525"/>
  <c r="G9" i="525" s="1"/>
  <c r="H10" i="525" s="1"/>
  <c r="G6" i="515"/>
  <c r="G9" i="515" s="1"/>
  <c r="H10" i="515" s="1"/>
  <c r="G20" i="395"/>
  <c r="G20" i="405"/>
  <c r="G20" i="400"/>
  <c r="G20" i="393"/>
  <c r="G6" i="521"/>
  <c r="G9" i="521" s="1"/>
  <c r="H10" i="521" s="1"/>
  <c r="G6" i="533"/>
  <c r="G9" i="533" s="1"/>
  <c r="H10" i="533" s="1"/>
  <c r="G6" i="503"/>
  <c r="G9" i="503" s="1"/>
  <c r="H10" i="503" s="1"/>
  <c r="H10" i="472"/>
  <c r="H10" i="450"/>
  <c r="E64" i="210"/>
  <c r="D10" i="129" l="1"/>
  <c r="D24" i="129" s="1"/>
  <c r="F50" i="11" l="1"/>
  <c r="C29" i="312" l="1"/>
  <c r="C29" i="340"/>
  <c r="G17" i="171"/>
  <c r="G17" i="181"/>
  <c r="G17" i="180"/>
  <c r="G17" i="179"/>
  <c r="G17" i="177"/>
  <c r="G17" i="176"/>
  <c r="G17" i="175"/>
  <c r="G17" i="174"/>
  <c r="G17" i="173"/>
  <c r="G17" i="172"/>
  <c r="G17" i="233"/>
  <c r="G17" i="221"/>
  <c r="C29" i="38"/>
  <c r="K25" i="122" l="1"/>
  <c r="I25" i="122"/>
  <c r="E60" i="210" l="1"/>
  <c r="E56" i="210" l="1"/>
  <c r="C41" i="141" l="1"/>
  <c r="E41" i="141" s="1"/>
  <c r="G41" i="141" s="1"/>
  <c r="G36" i="141"/>
  <c r="E36" i="141"/>
  <c r="C36" i="141"/>
  <c r="G18" i="141"/>
  <c r="E18" i="141"/>
  <c r="C18" i="141"/>
  <c r="G17" i="141"/>
  <c r="E17" i="141"/>
  <c r="C17" i="141"/>
  <c r="G16" i="141"/>
  <c r="E15" i="141"/>
  <c r="C15" i="141"/>
  <c r="E12" i="141"/>
  <c r="B4" i="141"/>
  <c r="C41" i="140"/>
  <c r="G36" i="140"/>
  <c r="E36" i="140"/>
  <c r="C36" i="140"/>
  <c r="G18" i="140"/>
  <c r="E18" i="140"/>
  <c r="C18" i="140"/>
  <c r="G17" i="140"/>
  <c r="E17" i="140"/>
  <c r="C17" i="140"/>
  <c r="G16" i="140"/>
  <c r="E15" i="140"/>
  <c r="C15" i="140"/>
  <c r="E12" i="140"/>
  <c r="B4" i="140"/>
  <c r="C41" i="139"/>
  <c r="E41" i="139" s="1"/>
  <c r="G41" i="139" s="1"/>
  <c r="D55" i="212"/>
  <c r="G36" i="212"/>
  <c r="E36" i="212"/>
  <c r="C36" i="212"/>
  <c r="G18" i="212"/>
  <c r="E18" i="212"/>
  <c r="C18" i="212"/>
  <c r="G17" i="212"/>
  <c r="E17" i="212"/>
  <c r="C17" i="212"/>
  <c r="G16" i="212"/>
  <c r="E15" i="212"/>
  <c r="C15" i="212"/>
  <c r="E12" i="212"/>
  <c r="B4" i="212"/>
  <c r="D55" i="146"/>
  <c r="G36" i="146"/>
  <c r="E36" i="146"/>
  <c r="C36" i="146"/>
  <c r="G18" i="146"/>
  <c r="E18" i="146"/>
  <c r="C18" i="146"/>
  <c r="G17" i="146"/>
  <c r="E17" i="146"/>
  <c r="C17" i="146"/>
  <c r="G16" i="146"/>
  <c r="E15" i="146"/>
  <c r="C15" i="146"/>
  <c r="E12" i="146"/>
  <c r="B4" i="146"/>
  <c r="D55" i="145"/>
  <c r="G36" i="145"/>
  <c r="E36" i="145"/>
  <c r="C36" i="145"/>
  <c r="G18" i="145"/>
  <c r="E18" i="145"/>
  <c r="C18" i="145"/>
  <c r="G17" i="145"/>
  <c r="E17" i="145"/>
  <c r="C17" i="145"/>
  <c r="G16" i="145"/>
  <c r="E15" i="145"/>
  <c r="C15" i="145"/>
  <c r="E12" i="145"/>
  <c r="B4" i="145"/>
  <c r="D55" i="144"/>
  <c r="G36" i="144"/>
  <c r="E36" i="144"/>
  <c r="C36" i="144"/>
  <c r="G18" i="144"/>
  <c r="E18" i="144"/>
  <c r="C18" i="144"/>
  <c r="G17" i="144"/>
  <c r="E17" i="144"/>
  <c r="C17" i="144"/>
  <c r="G16" i="144"/>
  <c r="E15" i="144"/>
  <c r="C15" i="144"/>
  <c r="E12" i="144"/>
  <c r="B4" i="144"/>
  <c r="D55" i="142"/>
  <c r="G36" i="142"/>
  <c r="E36" i="142"/>
  <c r="C36" i="142"/>
  <c r="G18" i="142"/>
  <c r="E18" i="142"/>
  <c r="C18" i="142"/>
  <c r="G17" i="142"/>
  <c r="E17" i="142"/>
  <c r="C17" i="142"/>
  <c r="G16" i="142"/>
  <c r="E15" i="142"/>
  <c r="C15" i="142"/>
  <c r="E12" i="142"/>
  <c r="B4" i="142"/>
  <c r="D55" i="138"/>
  <c r="G36" i="138"/>
  <c r="E36" i="138"/>
  <c r="C36" i="138"/>
  <c r="G18" i="138"/>
  <c r="E18" i="138"/>
  <c r="C18" i="138"/>
  <c r="G17" i="138"/>
  <c r="E17" i="138"/>
  <c r="C17" i="138"/>
  <c r="G16" i="138"/>
  <c r="E15" i="138"/>
  <c r="C15" i="138"/>
  <c r="E12" i="138"/>
  <c r="B4" i="138"/>
  <c r="A8" i="388"/>
  <c r="N8" i="388" s="1"/>
  <c r="A9" i="388"/>
  <c r="N9" i="388" s="1"/>
  <c r="A10" i="388"/>
  <c r="N10" i="388" s="1"/>
  <c r="A11" i="388"/>
  <c r="N11" i="388" s="1"/>
  <c r="A12" i="388"/>
  <c r="N12" i="388" s="1"/>
  <c r="A13" i="388"/>
  <c r="N13" i="388" s="1"/>
  <c r="A14" i="388"/>
  <c r="N14" i="388" s="1"/>
  <c r="A15" i="388"/>
  <c r="N15" i="388" s="1"/>
  <c r="A16" i="388"/>
  <c r="N16" i="388" s="1"/>
  <c r="A17" i="388"/>
  <c r="N17" i="388" s="1"/>
  <c r="A18" i="388"/>
  <c r="N18" i="388" s="1"/>
  <c r="A19" i="388"/>
  <c r="N19" i="388" s="1"/>
  <c r="A20" i="388"/>
  <c r="N20" i="388" s="1"/>
  <c r="A21" i="388"/>
  <c r="N21" i="388" s="1"/>
  <c r="A22" i="388"/>
  <c r="N22" i="388" s="1"/>
  <c r="A23" i="388"/>
  <c r="N23" i="388" s="1"/>
  <c r="A24" i="388"/>
  <c r="N24" i="388" s="1"/>
  <c r="A25" i="388"/>
  <c r="N25" i="388" s="1"/>
  <c r="A26" i="388"/>
  <c r="N26" i="388" s="1"/>
  <c r="A27" i="388"/>
  <c r="N27" i="388" s="1"/>
  <c r="A28" i="388"/>
  <c r="N28" i="388" s="1"/>
  <c r="A29" i="388"/>
  <c r="N29" i="388" s="1"/>
  <c r="A30" i="388"/>
  <c r="N30" i="388" s="1"/>
  <c r="A31" i="388"/>
  <c r="N31" i="388" s="1"/>
  <c r="A32" i="388"/>
  <c r="N32" i="388" s="1"/>
  <c r="A33" i="388"/>
  <c r="N33" i="388" s="1"/>
  <c r="A34" i="388"/>
  <c r="N34" i="388" s="1"/>
  <c r="A35" i="388"/>
  <c r="N35" i="388" s="1"/>
  <c r="A36" i="388"/>
  <c r="N36" i="388" s="1"/>
  <c r="A37" i="388"/>
  <c r="N37" i="388" s="1"/>
  <c r="A38" i="388"/>
  <c r="N38" i="388" s="1"/>
  <c r="A39" i="388"/>
  <c r="N39" i="388" s="1"/>
  <c r="A40" i="388"/>
  <c r="N40" i="388" s="1"/>
  <c r="A41" i="388"/>
  <c r="N41" i="388" s="1"/>
  <c r="A42" i="388"/>
  <c r="N42" i="388" s="1"/>
  <c r="A43" i="388"/>
  <c r="N43" i="388" s="1"/>
  <c r="A44" i="388"/>
  <c r="N44" i="388" s="1"/>
  <c r="A45" i="388"/>
  <c r="N45" i="388" s="1"/>
  <c r="A46" i="388"/>
  <c r="N46" i="388" s="1"/>
  <c r="A47" i="388"/>
  <c r="N47" i="388" s="1"/>
  <c r="A48" i="388"/>
  <c r="N48" i="388" s="1"/>
  <c r="A49" i="388"/>
  <c r="N49" i="388" s="1"/>
  <c r="A50" i="388"/>
  <c r="N50" i="388" s="1"/>
  <c r="A51" i="388"/>
  <c r="N51" i="388" s="1"/>
  <c r="A52" i="388"/>
  <c r="N52" i="388" s="1"/>
  <c r="A53" i="388"/>
  <c r="N53" i="388" s="1"/>
  <c r="A54" i="388"/>
  <c r="N54" i="388" s="1"/>
  <c r="A55" i="388"/>
  <c r="N55" i="388" s="1"/>
  <c r="A56" i="388"/>
  <c r="N56" i="388" s="1"/>
  <c r="A57" i="388"/>
  <c r="N57" i="388" s="1"/>
  <c r="A58" i="388"/>
  <c r="N58" i="388" s="1"/>
  <c r="A59" i="388"/>
  <c r="N59" i="388" s="1"/>
  <c r="A60" i="388"/>
  <c r="N60" i="388" s="1"/>
  <c r="A61" i="388"/>
  <c r="N61" i="388" s="1"/>
  <c r="A62" i="388"/>
  <c r="N62" i="388" s="1"/>
  <c r="A63" i="388"/>
  <c r="N63" i="388" s="1"/>
  <c r="A64" i="388"/>
  <c r="N64" i="388" s="1"/>
  <c r="A65" i="388"/>
  <c r="N65" i="388" s="1"/>
  <c r="A66" i="388"/>
  <c r="N66" i="388" s="1"/>
  <c r="A67" i="388"/>
  <c r="N67" i="388" s="1"/>
  <c r="A68" i="388"/>
  <c r="N68" i="388" s="1"/>
  <c r="A69" i="388"/>
  <c r="N69" i="388" s="1"/>
  <c r="A70" i="388"/>
  <c r="N70" i="388" s="1"/>
  <c r="A71" i="388"/>
  <c r="N71" i="388" s="1"/>
  <c r="A72" i="388"/>
  <c r="N72" i="388" s="1"/>
  <c r="A73" i="388"/>
  <c r="N73" i="388" s="1"/>
  <c r="A74" i="388"/>
  <c r="N74" i="388" s="1"/>
  <c r="A75" i="388"/>
  <c r="N75" i="388" s="1"/>
  <c r="A76" i="388"/>
  <c r="N76" i="388" s="1"/>
  <c r="A77" i="388"/>
  <c r="N77" i="388" s="1"/>
  <c r="A78" i="388"/>
  <c r="N78" i="388" s="1"/>
  <c r="A79" i="388"/>
  <c r="N79" i="388" s="1"/>
  <c r="A80" i="388"/>
  <c r="N80" i="388" s="1"/>
  <c r="A81" i="388"/>
  <c r="N81" i="388" s="1"/>
  <c r="A82" i="388"/>
  <c r="N82" i="388" s="1"/>
  <c r="A83" i="388"/>
  <c r="N83" i="388" s="1"/>
  <c r="A84" i="388"/>
  <c r="N84" i="388" s="1"/>
  <c r="A85" i="388"/>
  <c r="N85" i="388" s="1"/>
  <c r="A86" i="388"/>
  <c r="N86" i="388" s="1"/>
  <c r="A87" i="388"/>
  <c r="N87" i="388" s="1"/>
  <c r="A88" i="388"/>
  <c r="N88" i="388" s="1"/>
  <c r="A89" i="388"/>
  <c r="N89" i="388" s="1"/>
  <c r="A90" i="388"/>
  <c r="N90" i="388" s="1"/>
  <c r="A91" i="388"/>
  <c r="N91" i="388" s="1"/>
  <c r="A92" i="388"/>
  <c r="N92" i="388" s="1"/>
  <c r="A93" i="388"/>
  <c r="N93" i="388" s="1"/>
  <c r="A94" i="388"/>
  <c r="N94" i="388" s="1"/>
  <c r="A95" i="388"/>
  <c r="N95" i="388" s="1"/>
  <c r="A96" i="388"/>
  <c r="N96" i="388" s="1"/>
  <c r="A97" i="388"/>
  <c r="N97" i="388" s="1"/>
  <c r="A98" i="388"/>
  <c r="N98" i="388" s="1"/>
  <c r="A99" i="388"/>
  <c r="N99" i="388" s="1"/>
  <c r="A100" i="388"/>
  <c r="N100" i="388" s="1"/>
  <c r="A101" i="388"/>
  <c r="N101" i="388" s="1"/>
  <c r="A102" i="388"/>
  <c r="N102" i="388" s="1"/>
  <c r="A103" i="388"/>
  <c r="N103" i="388" s="1"/>
  <c r="A104" i="388"/>
  <c r="N104" i="388" s="1"/>
  <c r="A105" i="388"/>
  <c r="N105" i="388" s="1"/>
  <c r="A106" i="388"/>
  <c r="N106" i="388" s="1"/>
  <c r="A107" i="388"/>
  <c r="N107" i="388" s="1"/>
  <c r="A108" i="388"/>
  <c r="N108" i="388" s="1"/>
  <c r="A109" i="388"/>
  <c r="N109" i="388" s="1"/>
  <c r="A110" i="388"/>
  <c r="N110" i="388" s="1"/>
  <c r="A111" i="388"/>
  <c r="N111" i="388" s="1"/>
  <c r="A112" i="388"/>
  <c r="N112" i="388" s="1"/>
  <c r="A113" i="388"/>
  <c r="N113" i="388" s="1"/>
  <c r="A114" i="388"/>
  <c r="N114" i="388" s="1"/>
  <c r="A115" i="388"/>
  <c r="N115" i="388" s="1"/>
  <c r="A116" i="388"/>
  <c r="N116" i="388" s="1"/>
  <c r="A117" i="388"/>
  <c r="N117" i="388" s="1"/>
  <c r="A118" i="388"/>
  <c r="N118" i="388" s="1"/>
  <c r="A119" i="388"/>
  <c r="N119" i="388" s="1"/>
  <c r="A120" i="388"/>
  <c r="N120" i="388" s="1"/>
  <c r="A121" i="388"/>
  <c r="N121" i="388" s="1"/>
  <c r="A122" i="388"/>
  <c r="N122" i="388" s="1"/>
  <c r="A123" i="388"/>
  <c r="N123" i="388" s="1"/>
  <c r="A124" i="388"/>
  <c r="N124" i="388" s="1"/>
  <c r="A125" i="388"/>
  <c r="N125" i="388" s="1"/>
  <c r="A126" i="388"/>
  <c r="N126" i="388" s="1"/>
  <c r="A127" i="388"/>
  <c r="N127" i="388" s="1"/>
  <c r="A128" i="388"/>
  <c r="N128" i="388" s="1"/>
  <c r="A129" i="388"/>
  <c r="N129" i="388" s="1"/>
  <c r="A130" i="388"/>
  <c r="N130" i="388" s="1"/>
  <c r="A131" i="388"/>
  <c r="N131" i="388" s="1"/>
  <c r="A132" i="388"/>
  <c r="N132" i="388" s="1"/>
  <c r="A133" i="388"/>
  <c r="N133" i="388" s="1"/>
  <c r="A134" i="388"/>
  <c r="N134" i="388" s="1"/>
  <c r="A135" i="388"/>
  <c r="N135" i="388" s="1"/>
  <c r="A136" i="388"/>
  <c r="N136" i="388" s="1"/>
  <c r="A137" i="388"/>
  <c r="N137" i="388" s="1"/>
  <c r="A138" i="388"/>
  <c r="N138" i="388" s="1"/>
  <c r="A139" i="388"/>
  <c r="N139" i="388" s="1"/>
  <c r="A140" i="388"/>
  <c r="N140" i="388" s="1"/>
  <c r="A141" i="388"/>
  <c r="N141" i="388" s="1"/>
  <c r="A142" i="388"/>
  <c r="N142" i="388" s="1"/>
  <c r="A143" i="388"/>
  <c r="N143" i="388" s="1"/>
  <c r="A144" i="388"/>
  <c r="N144" i="388" s="1"/>
  <c r="A145" i="388"/>
  <c r="N145" i="388" s="1"/>
  <c r="A146" i="388"/>
  <c r="N146" i="388" s="1"/>
  <c r="A147" i="388"/>
  <c r="N147" i="388" s="1"/>
  <c r="A148" i="388"/>
  <c r="N148" i="388" s="1"/>
  <c r="A149" i="388"/>
  <c r="N149" i="388" s="1"/>
  <c r="A150" i="388"/>
  <c r="N150" i="388" s="1"/>
  <c r="A151" i="388"/>
  <c r="N151" i="388" s="1"/>
  <c r="A152" i="388"/>
  <c r="N152" i="388" s="1"/>
  <c r="A153" i="388"/>
  <c r="N153" i="388" s="1"/>
  <c r="A154" i="388"/>
  <c r="N154" i="388" s="1"/>
  <c r="A155" i="388"/>
  <c r="N155" i="388" s="1"/>
  <c r="A7" i="388"/>
  <c r="N7" i="388" s="1"/>
  <c r="G36" i="307"/>
  <c r="E36" i="307"/>
  <c r="C36" i="307"/>
  <c r="C24" i="307"/>
  <c r="E24" i="307" s="1"/>
  <c r="G18" i="307"/>
  <c r="E18" i="307"/>
  <c r="C18" i="307"/>
  <c r="G17" i="307"/>
  <c r="E17" i="307"/>
  <c r="C17" i="307"/>
  <c r="G16" i="307"/>
  <c r="G15" i="307"/>
  <c r="E15" i="307"/>
  <c r="C15" i="307"/>
  <c r="E12" i="307"/>
  <c r="B4" i="307"/>
  <c r="G36" i="305"/>
  <c r="E36" i="305"/>
  <c r="C36" i="305"/>
  <c r="C24" i="305"/>
  <c r="E24" i="305" s="1"/>
  <c r="G18" i="305"/>
  <c r="E18" i="305"/>
  <c r="C18" i="305"/>
  <c r="G17" i="305"/>
  <c r="E17" i="305"/>
  <c r="C17" i="305"/>
  <c r="G16" i="305"/>
  <c r="G15" i="305"/>
  <c r="E15" i="305"/>
  <c r="C15" i="305"/>
  <c r="E12" i="305"/>
  <c r="B4" i="305"/>
  <c r="G36" i="303"/>
  <c r="E36" i="303"/>
  <c r="C36" i="303"/>
  <c r="C24" i="303"/>
  <c r="E24" i="303" s="1"/>
  <c r="G18" i="303"/>
  <c r="E18" i="303"/>
  <c r="C18" i="303"/>
  <c r="G17" i="303"/>
  <c r="E17" i="303"/>
  <c r="C17" i="303"/>
  <c r="G16" i="303"/>
  <c r="G15" i="303"/>
  <c r="E15" i="303"/>
  <c r="C15" i="303"/>
  <c r="E12" i="303"/>
  <c r="B4" i="303"/>
  <c r="G36" i="301"/>
  <c r="E36" i="301"/>
  <c r="C36" i="301"/>
  <c r="C24" i="301"/>
  <c r="E24" i="301" s="1"/>
  <c r="G18" i="301"/>
  <c r="E18" i="301"/>
  <c r="C18" i="301"/>
  <c r="G17" i="301"/>
  <c r="E17" i="301"/>
  <c r="C17" i="301"/>
  <c r="G16" i="301"/>
  <c r="G15" i="301"/>
  <c r="E15" i="301"/>
  <c r="C15" i="301"/>
  <c r="E12" i="301"/>
  <c r="B4" i="301"/>
  <c r="G36" i="299"/>
  <c r="E36" i="299"/>
  <c r="C36" i="299"/>
  <c r="C24" i="299"/>
  <c r="E24" i="299" s="1"/>
  <c r="G18" i="299"/>
  <c r="E18" i="299"/>
  <c r="C18" i="299"/>
  <c r="G17" i="299"/>
  <c r="E17" i="299"/>
  <c r="C17" i="299"/>
  <c r="G16" i="299"/>
  <c r="G15" i="299"/>
  <c r="E15" i="299"/>
  <c r="C15" i="299"/>
  <c r="E12" i="299"/>
  <c r="B4" i="299"/>
  <c r="G36" i="297"/>
  <c r="E36" i="297"/>
  <c r="C36" i="297"/>
  <c r="C24" i="297"/>
  <c r="E24" i="297" s="1"/>
  <c r="G18" i="297"/>
  <c r="E18" i="297"/>
  <c r="C18" i="297"/>
  <c r="G17" i="297"/>
  <c r="E17" i="297"/>
  <c r="C17" i="297"/>
  <c r="G16" i="297"/>
  <c r="G15" i="297"/>
  <c r="E15" i="297"/>
  <c r="C15" i="297"/>
  <c r="E12" i="297"/>
  <c r="B4" i="297"/>
  <c r="G36" i="295"/>
  <c r="E36" i="295"/>
  <c r="C36" i="295"/>
  <c r="C24" i="295"/>
  <c r="E24" i="295" s="1"/>
  <c r="G18" i="295"/>
  <c r="E18" i="295"/>
  <c r="C18" i="295"/>
  <c r="G17" i="295"/>
  <c r="E17" i="295"/>
  <c r="C17" i="295"/>
  <c r="G16" i="295"/>
  <c r="G15" i="295"/>
  <c r="E15" i="295"/>
  <c r="C15" i="295"/>
  <c r="E12" i="295"/>
  <c r="B4" i="295"/>
  <c r="G36" i="161"/>
  <c r="E36" i="161"/>
  <c r="C36" i="161"/>
  <c r="C24" i="161"/>
  <c r="E24" i="161" s="1"/>
  <c r="G18" i="161"/>
  <c r="E18" i="161"/>
  <c r="C18" i="161"/>
  <c r="G17" i="161"/>
  <c r="E17" i="161"/>
  <c r="C17" i="161"/>
  <c r="G16" i="161"/>
  <c r="G15" i="161"/>
  <c r="E15" i="161"/>
  <c r="C15" i="161"/>
  <c r="E12" i="161"/>
  <c r="B4" i="161"/>
  <c r="G36" i="160"/>
  <c r="E36" i="160"/>
  <c r="C36" i="160"/>
  <c r="C24" i="160"/>
  <c r="E24" i="160" s="1"/>
  <c r="G18" i="160"/>
  <c r="E18" i="160"/>
  <c r="C18" i="160"/>
  <c r="G17" i="160"/>
  <c r="E17" i="160"/>
  <c r="C17" i="160"/>
  <c r="G16" i="160"/>
  <c r="G15" i="160"/>
  <c r="E15" i="160"/>
  <c r="C15" i="160"/>
  <c r="E12" i="160"/>
  <c r="B4" i="160"/>
  <c r="G36" i="159"/>
  <c r="E36" i="159"/>
  <c r="C36" i="159"/>
  <c r="C24" i="159"/>
  <c r="E24" i="159" s="1"/>
  <c r="G18" i="159"/>
  <c r="E18" i="159"/>
  <c r="C18" i="159"/>
  <c r="G17" i="159"/>
  <c r="E17" i="159"/>
  <c r="C17" i="159"/>
  <c r="G16" i="159"/>
  <c r="G15" i="159"/>
  <c r="E15" i="159"/>
  <c r="C15" i="159"/>
  <c r="E12" i="159"/>
  <c r="B4" i="159"/>
  <c r="G36" i="158"/>
  <c r="E36" i="158"/>
  <c r="C36" i="158"/>
  <c r="C24" i="158"/>
  <c r="E24" i="158" s="1"/>
  <c r="G18" i="158"/>
  <c r="E18" i="158"/>
  <c r="C18" i="158"/>
  <c r="G17" i="158"/>
  <c r="E17" i="158"/>
  <c r="C17" i="158"/>
  <c r="G16" i="158"/>
  <c r="G15" i="158"/>
  <c r="E15" i="158"/>
  <c r="C15" i="158"/>
  <c r="E12" i="158"/>
  <c r="B4" i="158"/>
  <c r="G36" i="157"/>
  <c r="E36" i="157"/>
  <c r="C36" i="157"/>
  <c r="C24" i="157"/>
  <c r="G18" i="157"/>
  <c r="E18" i="157"/>
  <c r="C18" i="157"/>
  <c r="G17" i="157"/>
  <c r="E17" i="157"/>
  <c r="C17" i="157"/>
  <c r="G16" i="157"/>
  <c r="G15" i="157"/>
  <c r="E15" i="157"/>
  <c r="C15" i="157"/>
  <c r="E12" i="157"/>
  <c r="B4" i="157"/>
  <c r="G36" i="156"/>
  <c r="E36" i="156"/>
  <c r="C36" i="156"/>
  <c r="C24" i="156"/>
  <c r="E24" i="156" s="1"/>
  <c r="G18" i="156"/>
  <c r="E18" i="156"/>
  <c r="C18" i="156"/>
  <c r="G17" i="156"/>
  <c r="E17" i="156"/>
  <c r="C17" i="156"/>
  <c r="G16" i="156"/>
  <c r="G15" i="156"/>
  <c r="E15" i="156"/>
  <c r="C15" i="156"/>
  <c r="E12" i="156"/>
  <c r="B4" i="156"/>
  <c r="G36" i="155"/>
  <c r="E36" i="155"/>
  <c r="C36" i="155"/>
  <c r="C24" i="155"/>
  <c r="E24" i="155" s="1"/>
  <c r="G18" i="155"/>
  <c r="E18" i="155"/>
  <c r="C18" i="155"/>
  <c r="G17" i="155"/>
  <c r="E17" i="155"/>
  <c r="C17" i="155"/>
  <c r="G16" i="155"/>
  <c r="G15" i="155"/>
  <c r="E15" i="155"/>
  <c r="C15" i="155"/>
  <c r="E12" i="155"/>
  <c r="B4" i="155"/>
  <c r="G36" i="154"/>
  <c r="E36" i="154"/>
  <c r="C36" i="154"/>
  <c r="C24" i="154"/>
  <c r="E24" i="154" s="1"/>
  <c r="G18" i="154"/>
  <c r="E18" i="154"/>
  <c r="C18" i="154"/>
  <c r="G17" i="154"/>
  <c r="E17" i="154"/>
  <c r="C17" i="154"/>
  <c r="G16" i="154"/>
  <c r="G15" i="154"/>
  <c r="E15" i="154"/>
  <c r="C15" i="154"/>
  <c r="E12" i="154"/>
  <c r="B4" i="154"/>
  <c r="G36" i="153"/>
  <c r="E36" i="153"/>
  <c r="C36" i="153"/>
  <c r="C24" i="153"/>
  <c r="E24" i="153" s="1"/>
  <c r="G18" i="153"/>
  <c r="E18" i="153"/>
  <c r="C18" i="153"/>
  <c r="G17" i="153"/>
  <c r="E17" i="153"/>
  <c r="C17" i="153"/>
  <c r="G16" i="153"/>
  <c r="G15" i="153"/>
  <c r="E15" i="153"/>
  <c r="C15" i="153"/>
  <c r="E12" i="153"/>
  <c r="B4" i="153"/>
  <c r="G36" i="152"/>
  <c r="E36" i="152"/>
  <c r="C36" i="152"/>
  <c r="C24" i="152"/>
  <c r="E24" i="152" s="1"/>
  <c r="G18" i="152"/>
  <c r="E18" i="152"/>
  <c r="C18" i="152"/>
  <c r="G17" i="152"/>
  <c r="E17" i="152"/>
  <c r="C17" i="152"/>
  <c r="G16" i="152"/>
  <c r="G15" i="152"/>
  <c r="E15" i="152"/>
  <c r="C15" i="152"/>
  <c r="E12" i="152"/>
  <c r="B4" i="152"/>
  <c r="G36" i="151"/>
  <c r="E36" i="151"/>
  <c r="C36" i="151"/>
  <c r="C24" i="151"/>
  <c r="G18" i="151"/>
  <c r="E18" i="151"/>
  <c r="C18" i="151"/>
  <c r="G17" i="151"/>
  <c r="E17" i="151"/>
  <c r="C17" i="151"/>
  <c r="G16" i="151"/>
  <c r="G15" i="151"/>
  <c r="E15" i="151"/>
  <c r="C15" i="151"/>
  <c r="E12" i="151"/>
  <c r="B4" i="151"/>
  <c r="G36" i="150"/>
  <c r="E36" i="150"/>
  <c r="C36" i="150"/>
  <c r="C24" i="150"/>
  <c r="E24" i="150" s="1"/>
  <c r="G18" i="150"/>
  <c r="E18" i="150"/>
  <c r="C18" i="150"/>
  <c r="G17" i="150"/>
  <c r="E17" i="150"/>
  <c r="C17" i="150"/>
  <c r="G16" i="150"/>
  <c r="G15" i="150"/>
  <c r="E15" i="150"/>
  <c r="C15" i="150"/>
  <c r="E12" i="150"/>
  <c r="B4" i="150"/>
  <c r="G36" i="149"/>
  <c r="E36" i="149"/>
  <c r="C36" i="149"/>
  <c r="C24" i="149"/>
  <c r="E24" i="149" s="1"/>
  <c r="G18" i="149"/>
  <c r="E18" i="149"/>
  <c r="C18" i="149"/>
  <c r="G17" i="149"/>
  <c r="E17" i="149"/>
  <c r="C17" i="149"/>
  <c r="G16" i="149"/>
  <c r="G15" i="149"/>
  <c r="E15" i="149"/>
  <c r="C15" i="149"/>
  <c r="E12" i="149"/>
  <c r="B4" i="149"/>
  <c r="G36" i="386"/>
  <c r="E36" i="386"/>
  <c r="C36" i="386"/>
  <c r="C24" i="386"/>
  <c r="E24" i="386" s="1"/>
  <c r="G18" i="386"/>
  <c r="E18" i="386"/>
  <c r="C18" i="386"/>
  <c r="G17" i="386"/>
  <c r="E17" i="386"/>
  <c r="C17" i="386"/>
  <c r="G16" i="386"/>
  <c r="G15" i="386"/>
  <c r="E15" i="386"/>
  <c r="C15" i="386"/>
  <c r="E12" i="386"/>
  <c r="B4" i="386"/>
  <c r="G36" i="148"/>
  <c r="E36" i="148"/>
  <c r="C36" i="148"/>
  <c r="C24" i="148"/>
  <c r="E24" i="148" s="1"/>
  <c r="G18" i="148"/>
  <c r="E18" i="148"/>
  <c r="C18" i="148"/>
  <c r="G17" i="148"/>
  <c r="E17" i="148"/>
  <c r="C17" i="148"/>
  <c r="G16" i="148"/>
  <c r="G15" i="148"/>
  <c r="E15" i="148"/>
  <c r="C15" i="148"/>
  <c r="E12" i="148"/>
  <c r="B4" i="148"/>
  <c r="C24" i="147"/>
  <c r="E24" i="147" s="1"/>
  <c r="G36" i="147"/>
  <c r="E36" i="147"/>
  <c r="C36" i="147"/>
  <c r="G18" i="147"/>
  <c r="E18" i="147"/>
  <c r="C18" i="147"/>
  <c r="G17" i="147"/>
  <c r="E17" i="147"/>
  <c r="C17" i="147"/>
  <c r="G16" i="147"/>
  <c r="G15" i="147"/>
  <c r="E15" i="147"/>
  <c r="C15" i="147"/>
  <c r="E12" i="147"/>
  <c r="E41" i="140" l="1"/>
  <c r="G24" i="307"/>
  <c r="G24" i="305"/>
  <c r="G24" i="303"/>
  <c r="G24" i="301"/>
  <c r="G24" i="299"/>
  <c r="G24" i="297"/>
  <c r="G24" i="295"/>
  <c r="G24" i="161"/>
  <c r="G24" i="160"/>
  <c r="G24" i="159"/>
  <c r="G24" i="158"/>
  <c r="E24" i="157"/>
  <c r="G24" i="156"/>
  <c r="G24" i="155"/>
  <c r="G24" i="154"/>
  <c r="G24" i="153"/>
  <c r="G24" i="152"/>
  <c r="E24" i="151"/>
  <c r="G24" i="150"/>
  <c r="G24" i="149"/>
  <c r="G24" i="386"/>
  <c r="G24" i="148"/>
  <c r="G24" i="147"/>
  <c r="G36" i="382"/>
  <c r="E36" i="382"/>
  <c r="C36" i="382"/>
  <c r="G25" i="382"/>
  <c r="C24" i="382"/>
  <c r="G18" i="382"/>
  <c r="E18" i="382"/>
  <c r="C18" i="382"/>
  <c r="G17" i="382"/>
  <c r="E17" i="382"/>
  <c r="C17" i="382"/>
  <c r="G16" i="382"/>
  <c r="G15" i="382"/>
  <c r="E15" i="382"/>
  <c r="C15" i="382"/>
  <c r="E12" i="382"/>
  <c r="B4" i="382"/>
  <c r="G36" i="380"/>
  <c r="E36" i="380"/>
  <c r="C36" i="380"/>
  <c r="G25" i="380"/>
  <c r="C24" i="380"/>
  <c r="E24" i="380" s="1"/>
  <c r="G18" i="380"/>
  <c r="E18" i="380"/>
  <c r="C18" i="380"/>
  <c r="G17" i="380"/>
  <c r="E17" i="380"/>
  <c r="C17" i="380"/>
  <c r="G16" i="380"/>
  <c r="G15" i="380"/>
  <c r="E15" i="380"/>
  <c r="C15" i="380"/>
  <c r="E12" i="380"/>
  <c r="B4" i="380"/>
  <c r="G36" i="378"/>
  <c r="E36" i="378"/>
  <c r="C36" i="378"/>
  <c r="G25" i="378"/>
  <c r="C24" i="378"/>
  <c r="E24" i="378" s="1"/>
  <c r="G18" i="378"/>
  <c r="E18" i="378"/>
  <c r="C18" i="378"/>
  <c r="G17" i="378"/>
  <c r="E17" i="378"/>
  <c r="C17" i="378"/>
  <c r="G16" i="378"/>
  <c r="G15" i="378"/>
  <c r="E15" i="378"/>
  <c r="C15" i="378"/>
  <c r="E12" i="378"/>
  <c r="B4" i="378"/>
  <c r="G36" i="376"/>
  <c r="E36" i="376"/>
  <c r="C36" i="376"/>
  <c r="G25" i="376"/>
  <c r="C24" i="376"/>
  <c r="E24" i="376" s="1"/>
  <c r="G18" i="376"/>
  <c r="E18" i="376"/>
  <c r="C18" i="376"/>
  <c r="G17" i="376"/>
  <c r="E17" i="376"/>
  <c r="C17" i="376"/>
  <c r="G16" i="376"/>
  <c r="G15" i="376"/>
  <c r="E15" i="376"/>
  <c r="C15" i="376"/>
  <c r="E12" i="376"/>
  <c r="B4" i="376"/>
  <c r="G36" i="373"/>
  <c r="E36" i="373"/>
  <c r="C36" i="373"/>
  <c r="G25" i="373"/>
  <c r="C24" i="373"/>
  <c r="E24" i="373" s="1"/>
  <c r="G18" i="373"/>
  <c r="E18" i="373"/>
  <c r="C18" i="373"/>
  <c r="G17" i="373"/>
  <c r="E17" i="373"/>
  <c r="C17" i="373"/>
  <c r="G16" i="373"/>
  <c r="G15" i="373"/>
  <c r="E15" i="373"/>
  <c r="C15" i="373"/>
  <c r="E12" i="373"/>
  <c r="B4" i="373"/>
  <c r="G36" i="371"/>
  <c r="E36" i="371"/>
  <c r="C36" i="371"/>
  <c r="G25" i="371"/>
  <c r="C24" i="371"/>
  <c r="E24" i="371" s="1"/>
  <c r="G18" i="371"/>
  <c r="E18" i="371"/>
  <c r="C18" i="371"/>
  <c r="G17" i="371"/>
  <c r="E17" i="371"/>
  <c r="C17" i="371"/>
  <c r="G16" i="371"/>
  <c r="G15" i="371"/>
  <c r="E15" i="371"/>
  <c r="C15" i="371"/>
  <c r="E12" i="371"/>
  <c r="B4" i="371"/>
  <c r="G36" i="369"/>
  <c r="E36" i="369"/>
  <c r="C36" i="369"/>
  <c r="G25" i="369"/>
  <c r="C24" i="369"/>
  <c r="E24" i="369" s="1"/>
  <c r="G18" i="369"/>
  <c r="E18" i="369"/>
  <c r="C18" i="369"/>
  <c r="G17" i="369"/>
  <c r="E17" i="369"/>
  <c r="C17" i="369"/>
  <c r="G16" i="369"/>
  <c r="G15" i="369"/>
  <c r="E15" i="369"/>
  <c r="C15" i="369"/>
  <c r="E12" i="369"/>
  <c r="B4" i="369"/>
  <c r="G36" i="367"/>
  <c r="E36" i="367"/>
  <c r="C36" i="367"/>
  <c r="G25" i="367"/>
  <c r="C24" i="367"/>
  <c r="E24" i="367" s="1"/>
  <c r="G18" i="367"/>
  <c r="E18" i="367"/>
  <c r="C18" i="367"/>
  <c r="G17" i="367"/>
  <c r="E17" i="367"/>
  <c r="C17" i="367"/>
  <c r="G16" i="367"/>
  <c r="G15" i="367"/>
  <c r="E15" i="367"/>
  <c r="C15" i="367"/>
  <c r="E12" i="367"/>
  <c r="B4" i="367"/>
  <c r="G36" i="365"/>
  <c r="E36" i="365"/>
  <c r="C36" i="365"/>
  <c r="G25" i="365"/>
  <c r="C24" i="365"/>
  <c r="E24" i="365" s="1"/>
  <c r="G18" i="365"/>
  <c r="E18" i="365"/>
  <c r="C18" i="365"/>
  <c r="G17" i="365"/>
  <c r="E17" i="365"/>
  <c r="C17" i="365"/>
  <c r="G16" i="365"/>
  <c r="G15" i="365"/>
  <c r="E15" i="365"/>
  <c r="C15" i="365"/>
  <c r="E12" i="365"/>
  <c r="B4" i="365"/>
  <c r="G36" i="363"/>
  <c r="E36" i="363"/>
  <c r="C36" i="363"/>
  <c r="G25" i="363"/>
  <c r="C24" i="363"/>
  <c r="E24" i="363" s="1"/>
  <c r="G18" i="363"/>
  <c r="E18" i="363"/>
  <c r="C18" i="363"/>
  <c r="G17" i="363"/>
  <c r="E17" i="363"/>
  <c r="C17" i="363"/>
  <c r="G16" i="363"/>
  <c r="G15" i="363"/>
  <c r="E15" i="363"/>
  <c r="C15" i="363"/>
  <c r="E12" i="363"/>
  <c r="B4" i="363"/>
  <c r="G36" i="361"/>
  <c r="E36" i="361"/>
  <c r="C36" i="361"/>
  <c r="G25" i="361"/>
  <c r="C24" i="361"/>
  <c r="E24" i="361" s="1"/>
  <c r="G18" i="361"/>
  <c r="E18" i="361"/>
  <c r="C18" i="361"/>
  <c r="G17" i="361"/>
  <c r="E17" i="361"/>
  <c r="C17" i="361"/>
  <c r="G16" i="361"/>
  <c r="G15" i="361"/>
  <c r="E15" i="361"/>
  <c r="C15" i="361"/>
  <c r="E12" i="361"/>
  <c r="B4" i="361"/>
  <c r="G36" i="359"/>
  <c r="E36" i="359"/>
  <c r="C36" i="359"/>
  <c r="G25" i="359"/>
  <c r="C24" i="359"/>
  <c r="E24" i="359" s="1"/>
  <c r="G18" i="359"/>
  <c r="E18" i="359"/>
  <c r="C18" i="359"/>
  <c r="G17" i="359"/>
  <c r="E17" i="359"/>
  <c r="C17" i="359"/>
  <c r="G16" i="359"/>
  <c r="G15" i="359"/>
  <c r="E15" i="359"/>
  <c r="C15" i="359"/>
  <c r="E12" i="359"/>
  <c r="B4" i="359"/>
  <c r="G36" i="357"/>
  <c r="E36" i="357"/>
  <c r="C36" i="357"/>
  <c r="G25" i="357"/>
  <c r="C24" i="357"/>
  <c r="E24" i="357" s="1"/>
  <c r="G18" i="357"/>
  <c r="E18" i="357"/>
  <c r="C18" i="357"/>
  <c r="G17" i="357"/>
  <c r="E17" i="357"/>
  <c r="C17" i="357"/>
  <c r="G16" i="357"/>
  <c r="G15" i="357"/>
  <c r="E15" i="357"/>
  <c r="C15" i="357"/>
  <c r="E12" i="357"/>
  <c r="B4" i="357"/>
  <c r="G36" i="355"/>
  <c r="E36" i="355"/>
  <c r="C36" i="355"/>
  <c r="G25" i="355"/>
  <c r="C24" i="355"/>
  <c r="E24" i="355" s="1"/>
  <c r="G18" i="355"/>
  <c r="E18" i="355"/>
  <c r="C18" i="355"/>
  <c r="G17" i="355"/>
  <c r="E17" i="355"/>
  <c r="C17" i="355"/>
  <c r="G16" i="355"/>
  <c r="G15" i="355"/>
  <c r="E15" i="355"/>
  <c r="C15" i="355"/>
  <c r="E12" i="355"/>
  <c r="B4" i="355"/>
  <c r="G36" i="353"/>
  <c r="E36" i="353"/>
  <c r="C36" i="353"/>
  <c r="G25" i="353"/>
  <c r="C24" i="353"/>
  <c r="E24" i="353" s="1"/>
  <c r="G18" i="353"/>
  <c r="E18" i="353"/>
  <c r="C18" i="353"/>
  <c r="G17" i="353"/>
  <c r="E17" i="353"/>
  <c r="C17" i="353"/>
  <c r="G16" i="353"/>
  <c r="G15" i="353"/>
  <c r="E15" i="353"/>
  <c r="C15" i="353"/>
  <c r="E12" i="353"/>
  <c r="B4" i="353"/>
  <c r="G36" i="351"/>
  <c r="E36" i="351"/>
  <c r="C36" i="351"/>
  <c r="G25" i="351"/>
  <c r="C24" i="351"/>
  <c r="G18" i="351"/>
  <c r="E18" i="351"/>
  <c r="C18" i="351"/>
  <c r="G17" i="351"/>
  <c r="E17" i="351"/>
  <c r="C17" i="351"/>
  <c r="G16" i="351"/>
  <c r="G15" i="351"/>
  <c r="E15" i="351"/>
  <c r="C15" i="351"/>
  <c r="E12" i="351"/>
  <c r="B4" i="351"/>
  <c r="G36" i="349"/>
  <c r="E36" i="349"/>
  <c r="C36" i="349"/>
  <c r="G25" i="349"/>
  <c r="C24" i="349"/>
  <c r="E24" i="349" s="1"/>
  <c r="G18" i="349"/>
  <c r="E18" i="349"/>
  <c r="C18" i="349"/>
  <c r="G17" i="349"/>
  <c r="E17" i="349"/>
  <c r="C17" i="349"/>
  <c r="G16" i="349"/>
  <c r="G15" i="349"/>
  <c r="E15" i="349"/>
  <c r="C15" i="349"/>
  <c r="E12" i="349"/>
  <c r="B4" i="349"/>
  <c r="G36" i="347"/>
  <c r="E36" i="347"/>
  <c r="C36" i="347"/>
  <c r="G25" i="347"/>
  <c r="C24" i="347"/>
  <c r="E24" i="347" s="1"/>
  <c r="G18" i="347"/>
  <c r="E18" i="347"/>
  <c r="C18" i="347"/>
  <c r="G17" i="347"/>
  <c r="E17" i="347"/>
  <c r="C17" i="347"/>
  <c r="G16" i="347"/>
  <c r="G15" i="347"/>
  <c r="E15" i="347"/>
  <c r="C15" i="347"/>
  <c r="E12" i="347"/>
  <c r="B4" i="347"/>
  <c r="G36" i="345"/>
  <c r="E36" i="345"/>
  <c r="C36" i="345"/>
  <c r="G25" i="345"/>
  <c r="C24" i="345"/>
  <c r="E24" i="345" s="1"/>
  <c r="G18" i="345"/>
  <c r="E18" i="345"/>
  <c r="C18" i="345"/>
  <c r="G17" i="345"/>
  <c r="E17" i="345"/>
  <c r="C17" i="345"/>
  <c r="G16" i="345"/>
  <c r="G15" i="345"/>
  <c r="E15" i="345"/>
  <c r="C15" i="345"/>
  <c r="E12" i="345"/>
  <c r="B4" i="345"/>
  <c r="G36" i="343"/>
  <c r="E36" i="343"/>
  <c r="C36" i="343"/>
  <c r="G25" i="343"/>
  <c r="C24" i="343"/>
  <c r="E24" i="343" s="1"/>
  <c r="G18" i="343"/>
  <c r="E18" i="343"/>
  <c r="C18" i="343"/>
  <c r="G17" i="343"/>
  <c r="E17" i="343"/>
  <c r="C17" i="343"/>
  <c r="G16" i="343"/>
  <c r="G15" i="343"/>
  <c r="E15" i="343"/>
  <c r="C15" i="343"/>
  <c r="E12" i="343"/>
  <c r="B4" i="343"/>
  <c r="G36" i="341"/>
  <c r="E36" i="341"/>
  <c r="C36" i="341"/>
  <c r="G25" i="341"/>
  <c r="C24" i="341"/>
  <c r="G18" i="341"/>
  <c r="E18" i="341"/>
  <c r="C18" i="341"/>
  <c r="G17" i="341"/>
  <c r="E17" i="341"/>
  <c r="C17" i="341"/>
  <c r="G16" i="341"/>
  <c r="G15" i="341"/>
  <c r="E15" i="341"/>
  <c r="C15" i="341"/>
  <c r="E12" i="341"/>
  <c r="B4" i="341"/>
  <c r="G36" i="339"/>
  <c r="E36" i="339"/>
  <c r="C36" i="339"/>
  <c r="G25" i="339"/>
  <c r="C24" i="339"/>
  <c r="E24" i="339" s="1"/>
  <c r="G18" i="339"/>
  <c r="E18" i="339"/>
  <c r="C18" i="339"/>
  <c r="G17" i="339"/>
  <c r="E17" i="339"/>
  <c r="C17" i="339"/>
  <c r="G16" i="339"/>
  <c r="G15" i="339"/>
  <c r="E15" i="339"/>
  <c r="C15" i="339"/>
  <c r="E12" i="339"/>
  <c r="B4" i="339"/>
  <c r="G36" i="337"/>
  <c r="E36" i="337"/>
  <c r="C36" i="337"/>
  <c r="G25" i="337"/>
  <c r="C24" i="337"/>
  <c r="E24" i="337" s="1"/>
  <c r="G18" i="337"/>
  <c r="E18" i="337"/>
  <c r="C18" i="337"/>
  <c r="G17" i="337"/>
  <c r="E17" i="337"/>
  <c r="C17" i="337"/>
  <c r="G16" i="337"/>
  <c r="G15" i="337"/>
  <c r="E15" i="337"/>
  <c r="C15" i="337"/>
  <c r="E12" i="337"/>
  <c r="B4" i="337"/>
  <c r="G36" i="335"/>
  <c r="E36" i="335"/>
  <c r="C36" i="335"/>
  <c r="G25" i="335"/>
  <c r="C24" i="335"/>
  <c r="E24" i="335" s="1"/>
  <c r="G18" i="335"/>
  <c r="E18" i="335"/>
  <c r="C18" i="335"/>
  <c r="G17" i="335"/>
  <c r="E17" i="335"/>
  <c r="C17" i="335"/>
  <c r="G16" i="335"/>
  <c r="G15" i="335"/>
  <c r="E15" i="335"/>
  <c r="C15" i="335"/>
  <c r="E12" i="335"/>
  <c r="B4" i="335"/>
  <c r="G36" i="333"/>
  <c r="E36" i="333"/>
  <c r="C36" i="333"/>
  <c r="G25" i="333"/>
  <c r="C24" i="333"/>
  <c r="E24" i="333" s="1"/>
  <c r="G18" i="333"/>
  <c r="E18" i="333"/>
  <c r="C18" i="333"/>
  <c r="G17" i="333"/>
  <c r="E17" i="333"/>
  <c r="C17" i="333"/>
  <c r="G16" i="333"/>
  <c r="G15" i="333"/>
  <c r="E15" i="333"/>
  <c r="C15" i="333"/>
  <c r="E12" i="333"/>
  <c r="B4" i="333"/>
  <c r="G36" i="331"/>
  <c r="E36" i="331"/>
  <c r="C36" i="331"/>
  <c r="G25" i="331"/>
  <c r="C24" i="331"/>
  <c r="E24" i="331" s="1"/>
  <c r="G18" i="331"/>
  <c r="E18" i="331"/>
  <c r="C18" i="331"/>
  <c r="G17" i="331"/>
  <c r="E17" i="331"/>
  <c r="C17" i="331"/>
  <c r="G16" i="331"/>
  <c r="G15" i="331"/>
  <c r="E15" i="331"/>
  <c r="C15" i="331"/>
  <c r="E12" i="331"/>
  <c r="B4" i="331"/>
  <c r="G36" i="329"/>
  <c r="E36" i="329"/>
  <c r="C36" i="329"/>
  <c r="G25" i="329"/>
  <c r="C24" i="329"/>
  <c r="E24" i="329" s="1"/>
  <c r="G18" i="329"/>
  <c r="E18" i="329"/>
  <c r="C18" i="329"/>
  <c r="G17" i="329"/>
  <c r="E17" i="329"/>
  <c r="C17" i="329"/>
  <c r="G16" i="329"/>
  <c r="G15" i="329"/>
  <c r="E15" i="329"/>
  <c r="C15" i="329"/>
  <c r="E12" i="329"/>
  <c r="B4" i="329"/>
  <c r="G36" i="327"/>
  <c r="E36" i="327"/>
  <c r="C36" i="327"/>
  <c r="G25" i="327"/>
  <c r="C24" i="327"/>
  <c r="E24" i="327" s="1"/>
  <c r="G18" i="327"/>
  <c r="E18" i="327"/>
  <c r="C18" i="327"/>
  <c r="G17" i="327"/>
  <c r="E17" i="327"/>
  <c r="C17" i="327"/>
  <c r="G16" i="327"/>
  <c r="G15" i="327"/>
  <c r="E15" i="327"/>
  <c r="C15" i="327"/>
  <c r="E12" i="327"/>
  <c r="B4" i="327"/>
  <c r="G36" i="325"/>
  <c r="E36" i="325"/>
  <c r="C36" i="325"/>
  <c r="G25" i="325"/>
  <c r="C24" i="325"/>
  <c r="E24" i="325" s="1"/>
  <c r="G18" i="325"/>
  <c r="E18" i="325"/>
  <c r="C18" i="325"/>
  <c r="G17" i="325"/>
  <c r="E17" i="325"/>
  <c r="C17" i="325"/>
  <c r="G16" i="325"/>
  <c r="G15" i="325"/>
  <c r="E15" i="325"/>
  <c r="C15" i="325"/>
  <c r="E12" i="325"/>
  <c r="B4" i="325"/>
  <c r="G36" i="323"/>
  <c r="E36" i="323"/>
  <c r="C36" i="323"/>
  <c r="G25" i="323"/>
  <c r="C24" i="323"/>
  <c r="E24" i="323" s="1"/>
  <c r="G18" i="323"/>
  <c r="E18" i="323"/>
  <c r="C18" i="323"/>
  <c r="G17" i="323"/>
  <c r="E17" i="323"/>
  <c r="C17" i="323"/>
  <c r="G16" i="323"/>
  <c r="G15" i="323"/>
  <c r="E15" i="323"/>
  <c r="C15" i="323"/>
  <c r="E12" i="323"/>
  <c r="B4" i="323"/>
  <c r="G36" i="321"/>
  <c r="E36" i="321"/>
  <c r="C36" i="321"/>
  <c r="G25" i="321"/>
  <c r="C24" i="321"/>
  <c r="E24" i="321" s="1"/>
  <c r="G18" i="321"/>
  <c r="E18" i="321"/>
  <c r="C18" i="321"/>
  <c r="G17" i="321"/>
  <c r="E17" i="321"/>
  <c r="C17" i="321"/>
  <c r="G16" i="321"/>
  <c r="G15" i="321"/>
  <c r="E15" i="321"/>
  <c r="C15" i="321"/>
  <c r="E12" i="321"/>
  <c r="B4" i="321"/>
  <c r="G36" i="319"/>
  <c r="E36" i="319"/>
  <c r="C36" i="319"/>
  <c r="G25" i="319"/>
  <c r="C24" i="319"/>
  <c r="E24" i="319" s="1"/>
  <c r="G18" i="319"/>
  <c r="E18" i="319"/>
  <c r="C18" i="319"/>
  <c r="G17" i="319"/>
  <c r="E17" i="319"/>
  <c r="C17" i="319"/>
  <c r="G16" i="319"/>
  <c r="G15" i="319"/>
  <c r="E15" i="319"/>
  <c r="C15" i="319"/>
  <c r="E12" i="319"/>
  <c r="B4" i="319"/>
  <c r="G36" i="317"/>
  <c r="E36" i="317"/>
  <c r="C36" i="317"/>
  <c r="G25" i="317"/>
  <c r="C24" i="317"/>
  <c r="E24" i="317" s="1"/>
  <c r="G18" i="317"/>
  <c r="E18" i="317"/>
  <c r="C18" i="317"/>
  <c r="G17" i="317"/>
  <c r="E17" i="317"/>
  <c r="C17" i="317"/>
  <c r="G16" i="317"/>
  <c r="G15" i="317"/>
  <c r="E15" i="317"/>
  <c r="C15" i="317"/>
  <c r="E12" i="317"/>
  <c r="B4" i="317"/>
  <c r="G36" i="169"/>
  <c r="E36" i="169"/>
  <c r="C36" i="169"/>
  <c r="G25" i="169"/>
  <c r="C24" i="169"/>
  <c r="E24" i="169" s="1"/>
  <c r="G18" i="169"/>
  <c r="E18" i="169"/>
  <c r="C18" i="169"/>
  <c r="G17" i="169"/>
  <c r="E17" i="169"/>
  <c r="C17" i="169"/>
  <c r="G16" i="169"/>
  <c r="G15" i="169"/>
  <c r="E15" i="169"/>
  <c r="C15" i="169"/>
  <c r="E12" i="169"/>
  <c r="B4" i="169"/>
  <c r="G36" i="168"/>
  <c r="E36" i="168"/>
  <c r="C36" i="168"/>
  <c r="G25" i="168"/>
  <c r="C24" i="168"/>
  <c r="E24" i="168" s="1"/>
  <c r="G18" i="168"/>
  <c r="E18" i="168"/>
  <c r="C18" i="168"/>
  <c r="G17" i="168"/>
  <c r="E17" i="168"/>
  <c r="C17" i="168"/>
  <c r="G16" i="168"/>
  <c r="G15" i="168"/>
  <c r="E15" i="168"/>
  <c r="C15" i="168"/>
  <c r="E12" i="168"/>
  <c r="B4" i="168"/>
  <c r="G36" i="167"/>
  <c r="E36" i="167"/>
  <c r="C36" i="167"/>
  <c r="G25" i="167"/>
  <c r="C24" i="167"/>
  <c r="E24" i="167" s="1"/>
  <c r="G18" i="167"/>
  <c r="E18" i="167"/>
  <c r="C18" i="167"/>
  <c r="G17" i="167"/>
  <c r="E17" i="167"/>
  <c r="C17" i="167"/>
  <c r="G16" i="167"/>
  <c r="G15" i="167"/>
  <c r="E15" i="167"/>
  <c r="C15" i="167"/>
  <c r="E12" i="167"/>
  <c r="B4" i="167"/>
  <c r="G36" i="282"/>
  <c r="E36" i="282"/>
  <c r="C36" i="282"/>
  <c r="G25" i="282"/>
  <c r="C24" i="282"/>
  <c r="E24" i="282" s="1"/>
  <c r="G18" i="282"/>
  <c r="E18" i="282"/>
  <c r="C18" i="282"/>
  <c r="G17" i="282"/>
  <c r="E17" i="282"/>
  <c r="C17" i="282"/>
  <c r="G16" i="282"/>
  <c r="G15" i="282"/>
  <c r="E15" i="282"/>
  <c r="C15" i="282"/>
  <c r="E12" i="282"/>
  <c r="B4" i="282"/>
  <c r="G36" i="279"/>
  <c r="E36" i="279"/>
  <c r="C36" i="279"/>
  <c r="G25" i="279"/>
  <c r="C24" i="279"/>
  <c r="E24" i="279" s="1"/>
  <c r="G18" i="279"/>
  <c r="E18" i="279"/>
  <c r="C18" i="279"/>
  <c r="G17" i="279"/>
  <c r="E17" i="279"/>
  <c r="C17" i="279"/>
  <c r="G16" i="279"/>
  <c r="G15" i="279"/>
  <c r="E15" i="279"/>
  <c r="C15" i="279"/>
  <c r="E12" i="279"/>
  <c r="B4" i="279"/>
  <c r="G36" i="277"/>
  <c r="E36" i="277"/>
  <c r="C36" i="277"/>
  <c r="G25" i="277"/>
  <c r="C24" i="277"/>
  <c r="E24" i="277" s="1"/>
  <c r="G18" i="277"/>
  <c r="E18" i="277"/>
  <c r="C18" i="277"/>
  <c r="G17" i="277"/>
  <c r="E17" i="277"/>
  <c r="C17" i="277"/>
  <c r="G16" i="277"/>
  <c r="G15" i="277"/>
  <c r="E15" i="277"/>
  <c r="C15" i="277"/>
  <c r="E12" i="277"/>
  <c r="B4" i="277"/>
  <c r="G36" i="275"/>
  <c r="E36" i="275"/>
  <c r="C36" i="275"/>
  <c r="G25" i="275"/>
  <c r="C24" i="275"/>
  <c r="E24" i="275" s="1"/>
  <c r="G18" i="275"/>
  <c r="E18" i="275"/>
  <c r="C18" i="275"/>
  <c r="G17" i="275"/>
  <c r="E17" i="275"/>
  <c r="C17" i="275"/>
  <c r="G16" i="275"/>
  <c r="G15" i="275"/>
  <c r="E15" i="275"/>
  <c r="C15" i="275"/>
  <c r="E12" i="275"/>
  <c r="B4" i="275"/>
  <c r="G36" i="273"/>
  <c r="E36" i="273"/>
  <c r="C36" i="273"/>
  <c r="G25" i="273"/>
  <c r="C24" i="273"/>
  <c r="E24" i="273" s="1"/>
  <c r="G18" i="273"/>
  <c r="E18" i="273"/>
  <c r="C18" i="273"/>
  <c r="G17" i="273"/>
  <c r="E17" i="273"/>
  <c r="C17" i="273"/>
  <c r="G16" i="273"/>
  <c r="G15" i="273"/>
  <c r="E15" i="273"/>
  <c r="C15" i="273"/>
  <c r="E12" i="273"/>
  <c r="B4" i="273"/>
  <c r="G36" i="271"/>
  <c r="E36" i="271"/>
  <c r="C36" i="271"/>
  <c r="G25" i="271"/>
  <c r="C24" i="271"/>
  <c r="E24" i="271" s="1"/>
  <c r="G18" i="271"/>
  <c r="E18" i="271"/>
  <c r="C18" i="271"/>
  <c r="G17" i="271"/>
  <c r="E17" i="271"/>
  <c r="C17" i="271"/>
  <c r="G16" i="271"/>
  <c r="G15" i="271"/>
  <c r="E15" i="271"/>
  <c r="C15" i="271"/>
  <c r="E12" i="271"/>
  <c r="B4" i="271"/>
  <c r="G36" i="268"/>
  <c r="E36" i="268"/>
  <c r="C36" i="268"/>
  <c r="G25" i="268"/>
  <c r="C24" i="268"/>
  <c r="E24" i="268" s="1"/>
  <c r="G24" i="268" s="1"/>
  <c r="G18" i="268"/>
  <c r="E18" i="268"/>
  <c r="C18" i="268"/>
  <c r="G17" i="268"/>
  <c r="E17" i="268"/>
  <c r="C17" i="268"/>
  <c r="G16" i="268"/>
  <c r="G15" i="268"/>
  <c r="E15" i="268"/>
  <c r="C15" i="268"/>
  <c r="E12" i="268"/>
  <c r="B4" i="268"/>
  <c r="G36" i="266"/>
  <c r="E36" i="266"/>
  <c r="C36" i="266"/>
  <c r="G25" i="266"/>
  <c r="C24" i="266"/>
  <c r="E24" i="266" s="1"/>
  <c r="G18" i="266"/>
  <c r="E18" i="266"/>
  <c r="C18" i="266"/>
  <c r="G17" i="266"/>
  <c r="E17" i="266"/>
  <c r="C17" i="266"/>
  <c r="G16" i="266"/>
  <c r="G15" i="266"/>
  <c r="E15" i="266"/>
  <c r="C15" i="266"/>
  <c r="E12" i="266"/>
  <c r="B4" i="266"/>
  <c r="G36" i="264"/>
  <c r="E36" i="264"/>
  <c r="C36" i="264"/>
  <c r="G25" i="264"/>
  <c r="C24" i="264"/>
  <c r="E24" i="264" s="1"/>
  <c r="G18" i="264"/>
  <c r="E18" i="264"/>
  <c r="C18" i="264"/>
  <c r="G17" i="264"/>
  <c r="E17" i="264"/>
  <c r="C17" i="264"/>
  <c r="G16" i="264"/>
  <c r="G15" i="264"/>
  <c r="E15" i="264"/>
  <c r="C15" i="264"/>
  <c r="E12" i="264"/>
  <c r="B4" i="264"/>
  <c r="G36" i="262"/>
  <c r="E36" i="262"/>
  <c r="C36" i="262"/>
  <c r="G25" i="262"/>
  <c r="C24" i="262"/>
  <c r="E24" i="262" s="1"/>
  <c r="G18" i="262"/>
  <c r="E18" i="262"/>
  <c r="C18" i="262"/>
  <c r="G17" i="262"/>
  <c r="E17" i="262"/>
  <c r="C17" i="262"/>
  <c r="G16" i="262"/>
  <c r="G15" i="262"/>
  <c r="E15" i="262"/>
  <c r="C15" i="262"/>
  <c r="E12" i="262"/>
  <c r="B4" i="262"/>
  <c r="G36" i="260"/>
  <c r="E36" i="260"/>
  <c r="C36" i="260"/>
  <c r="G25" i="260"/>
  <c r="C24" i="260"/>
  <c r="E24" i="260" s="1"/>
  <c r="G18" i="260"/>
  <c r="E18" i="260"/>
  <c r="C18" i="260"/>
  <c r="G17" i="260"/>
  <c r="E17" i="260"/>
  <c r="C17" i="260"/>
  <c r="G16" i="260"/>
  <c r="G15" i="260"/>
  <c r="E15" i="260"/>
  <c r="C15" i="260"/>
  <c r="E12" i="260"/>
  <c r="B4" i="260"/>
  <c r="G36" i="258"/>
  <c r="E36" i="258"/>
  <c r="C36" i="258"/>
  <c r="G25" i="258"/>
  <c r="C24" i="258"/>
  <c r="E24" i="258" s="1"/>
  <c r="G18" i="258"/>
  <c r="E18" i="258"/>
  <c r="C18" i="258"/>
  <c r="G17" i="258"/>
  <c r="E17" i="258"/>
  <c r="C17" i="258"/>
  <c r="G16" i="258"/>
  <c r="G15" i="258"/>
  <c r="E15" i="258"/>
  <c r="C15" i="258"/>
  <c r="E12" i="258"/>
  <c r="B4" i="258"/>
  <c r="G36" i="256"/>
  <c r="E36" i="256"/>
  <c r="C36" i="256"/>
  <c r="G25" i="256"/>
  <c r="C24" i="256"/>
  <c r="E24" i="256" s="1"/>
  <c r="G18" i="256"/>
  <c r="E18" i="256"/>
  <c r="C18" i="256"/>
  <c r="G17" i="256"/>
  <c r="E17" i="256"/>
  <c r="C17" i="256"/>
  <c r="G16" i="256"/>
  <c r="G15" i="256"/>
  <c r="E15" i="256"/>
  <c r="C15" i="256"/>
  <c r="E12" i="256"/>
  <c r="B4" i="256"/>
  <c r="G36" i="254"/>
  <c r="E36" i="254"/>
  <c r="C36" i="254"/>
  <c r="G25" i="254"/>
  <c r="C24" i="254"/>
  <c r="E24" i="254" s="1"/>
  <c r="G18" i="254"/>
  <c r="E18" i="254"/>
  <c r="C18" i="254"/>
  <c r="G17" i="254"/>
  <c r="E17" i="254"/>
  <c r="C17" i="254"/>
  <c r="G16" i="254"/>
  <c r="G15" i="254"/>
  <c r="E15" i="254"/>
  <c r="C15" i="254"/>
  <c r="E12" i="254"/>
  <c r="B4" i="254"/>
  <c r="G36" i="252"/>
  <c r="E36" i="252"/>
  <c r="C36" i="252"/>
  <c r="G25" i="252"/>
  <c r="C24" i="252"/>
  <c r="E24" i="252" s="1"/>
  <c r="G18" i="252"/>
  <c r="E18" i="252"/>
  <c r="C18" i="252"/>
  <c r="G17" i="252"/>
  <c r="E17" i="252"/>
  <c r="C17" i="252"/>
  <c r="G16" i="252"/>
  <c r="G15" i="252"/>
  <c r="E15" i="252"/>
  <c r="C15" i="252"/>
  <c r="E12" i="252"/>
  <c r="B4" i="252"/>
  <c r="G36" i="250"/>
  <c r="E36" i="250"/>
  <c r="C36" i="250"/>
  <c r="G25" i="250"/>
  <c r="C24" i="250"/>
  <c r="E24" i="250" s="1"/>
  <c r="G18" i="250"/>
  <c r="E18" i="250"/>
  <c r="C18" i="250"/>
  <c r="G17" i="250"/>
  <c r="E17" i="250"/>
  <c r="C17" i="250"/>
  <c r="G16" i="250"/>
  <c r="G15" i="250"/>
  <c r="E15" i="250"/>
  <c r="C15" i="250"/>
  <c r="E12" i="250"/>
  <c r="B4" i="250"/>
  <c r="G36" i="249"/>
  <c r="E36" i="249"/>
  <c r="C36" i="249"/>
  <c r="G25" i="249"/>
  <c r="C24" i="249"/>
  <c r="G18" i="249"/>
  <c r="E18" i="249"/>
  <c r="C18" i="249"/>
  <c r="G17" i="249"/>
  <c r="E17" i="249"/>
  <c r="C17" i="249"/>
  <c r="G16" i="249"/>
  <c r="G15" i="249"/>
  <c r="E15" i="249"/>
  <c r="C15" i="249"/>
  <c r="E12" i="249"/>
  <c r="B4" i="249"/>
  <c r="G36" i="284"/>
  <c r="E36" i="284"/>
  <c r="C36" i="284"/>
  <c r="G25" i="284"/>
  <c r="C24" i="284"/>
  <c r="E24" i="284" s="1"/>
  <c r="G18" i="284"/>
  <c r="E18" i="284"/>
  <c r="C18" i="284"/>
  <c r="G17" i="284"/>
  <c r="E17" i="284"/>
  <c r="C17" i="284"/>
  <c r="G16" i="284"/>
  <c r="G15" i="284"/>
  <c r="E15" i="284"/>
  <c r="C15" i="284"/>
  <c r="E12" i="284"/>
  <c r="B4" i="284"/>
  <c r="G36" i="246"/>
  <c r="E36" i="246"/>
  <c r="C36" i="246"/>
  <c r="G25" i="246"/>
  <c r="C24" i="246"/>
  <c r="E24" i="246" s="1"/>
  <c r="G24" i="246" s="1"/>
  <c r="G18" i="246"/>
  <c r="E18" i="246"/>
  <c r="C18" i="246"/>
  <c r="G17" i="246"/>
  <c r="E17" i="246"/>
  <c r="C17" i="246"/>
  <c r="G16" i="246"/>
  <c r="G15" i="246"/>
  <c r="E15" i="246"/>
  <c r="C15" i="246"/>
  <c r="E12" i="246"/>
  <c r="B4" i="246"/>
  <c r="G36" i="244"/>
  <c r="E36" i="244"/>
  <c r="C36" i="244"/>
  <c r="G25" i="244"/>
  <c r="C24" i="244"/>
  <c r="E24" i="244" s="1"/>
  <c r="G18" i="244"/>
  <c r="E18" i="244"/>
  <c r="C18" i="244"/>
  <c r="G17" i="244"/>
  <c r="E17" i="244"/>
  <c r="C17" i="244"/>
  <c r="G16" i="244"/>
  <c r="G15" i="244"/>
  <c r="E15" i="244"/>
  <c r="C15" i="244"/>
  <c r="E12" i="244"/>
  <c r="B4" i="244"/>
  <c r="G36" i="242"/>
  <c r="E36" i="242"/>
  <c r="C36" i="242"/>
  <c r="G25" i="242"/>
  <c r="C24" i="242"/>
  <c r="E24" i="242" s="1"/>
  <c r="G18" i="242"/>
  <c r="E18" i="242"/>
  <c r="C18" i="242"/>
  <c r="G17" i="242"/>
  <c r="E17" i="242"/>
  <c r="C17" i="242"/>
  <c r="G16" i="242"/>
  <c r="G15" i="242"/>
  <c r="E15" i="242"/>
  <c r="C15" i="242"/>
  <c r="E12" i="242"/>
  <c r="B4" i="242"/>
  <c r="G36" i="240"/>
  <c r="E36" i="240"/>
  <c r="C36" i="240"/>
  <c r="G25" i="240"/>
  <c r="C24" i="240"/>
  <c r="G18" i="240"/>
  <c r="E18" i="240"/>
  <c r="C18" i="240"/>
  <c r="G17" i="240"/>
  <c r="E17" i="240"/>
  <c r="C17" i="240"/>
  <c r="G16" i="240"/>
  <c r="G15" i="240"/>
  <c r="E15" i="240"/>
  <c r="C15" i="240"/>
  <c r="E12" i="240"/>
  <c r="B4" i="240"/>
  <c r="G36" i="238"/>
  <c r="E36" i="238"/>
  <c r="C36" i="238"/>
  <c r="G25" i="238"/>
  <c r="C24" i="238"/>
  <c r="G18" i="238"/>
  <c r="E18" i="238"/>
  <c r="C18" i="238"/>
  <c r="G17" i="238"/>
  <c r="E17" i="238"/>
  <c r="C17" i="238"/>
  <c r="G16" i="238"/>
  <c r="G15" i="238"/>
  <c r="E15" i="238"/>
  <c r="C15" i="238"/>
  <c r="E12" i="238"/>
  <c r="B4" i="238"/>
  <c r="G36" i="236"/>
  <c r="E36" i="236"/>
  <c r="C36" i="236"/>
  <c r="G25" i="236"/>
  <c r="C24" i="236"/>
  <c r="E24" i="236" s="1"/>
  <c r="G18" i="236"/>
  <c r="E18" i="236"/>
  <c r="C18" i="236"/>
  <c r="G17" i="236"/>
  <c r="E17" i="236"/>
  <c r="C17" i="236"/>
  <c r="G16" i="236"/>
  <c r="G15" i="236"/>
  <c r="E15" i="236"/>
  <c r="C15" i="236"/>
  <c r="E12" i="236"/>
  <c r="B4" i="236"/>
  <c r="G36" i="166"/>
  <c r="E36" i="166"/>
  <c r="C36" i="166"/>
  <c r="G25" i="166"/>
  <c r="C24" i="166"/>
  <c r="E24" i="166" s="1"/>
  <c r="G18" i="166"/>
  <c r="E18" i="166"/>
  <c r="C18" i="166"/>
  <c r="G17" i="166"/>
  <c r="E17" i="166"/>
  <c r="C17" i="166"/>
  <c r="G16" i="166"/>
  <c r="G15" i="166"/>
  <c r="E15" i="166"/>
  <c r="C15" i="166"/>
  <c r="E12" i="166"/>
  <c r="B4" i="166"/>
  <c r="G36" i="165"/>
  <c r="E36" i="165"/>
  <c r="C36" i="165"/>
  <c r="G25" i="165"/>
  <c r="C24" i="165"/>
  <c r="E24" i="165" s="1"/>
  <c r="G18" i="165"/>
  <c r="E18" i="165"/>
  <c r="C18" i="165"/>
  <c r="G17" i="165"/>
  <c r="E17" i="165"/>
  <c r="C17" i="165"/>
  <c r="G16" i="165"/>
  <c r="G15" i="165"/>
  <c r="E15" i="165"/>
  <c r="C15" i="165"/>
  <c r="E12" i="165"/>
  <c r="B4" i="165"/>
  <c r="G36" i="164"/>
  <c r="E36" i="164"/>
  <c r="C36" i="164"/>
  <c r="G25" i="164"/>
  <c r="C24" i="164"/>
  <c r="E24" i="164" s="1"/>
  <c r="G18" i="164"/>
  <c r="E18" i="164"/>
  <c r="C18" i="164"/>
  <c r="G17" i="164"/>
  <c r="E17" i="164"/>
  <c r="C17" i="164"/>
  <c r="G16" i="164"/>
  <c r="G15" i="164"/>
  <c r="E15" i="164"/>
  <c r="C15" i="164"/>
  <c r="E12" i="164"/>
  <c r="B4" i="164"/>
  <c r="G36" i="163"/>
  <c r="E36" i="163"/>
  <c r="C36" i="163"/>
  <c r="G25" i="163"/>
  <c r="C24" i="163"/>
  <c r="E24" i="163" s="1"/>
  <c r="G18" i="163"/>
  <c r="E18" i="163"/>
  <c r="C18" i="163"/>
  <c r="G17" i="163"/>
  <c r="E17" i="163"/>
  <c r="C17" i="163"/>
  <c r="G16" i="163"/>
  <c r="G15" i="163"/>
  <c r="E15" i="163"/>
  <c r="C15" i="163"/>
  <c r="E12" i="163"/>
  <c r="B4" i="163"/>
  <c r="G36" i="315"/>
  <c r="E36" i="315"/>
  <c r="C36" i="315"/>
  <c r="G25" i="315"/>
  <c r="C24" i="315"/>
  <c r="G18" i="315"/>
  <c r="E18" i="315"/>
  <c r="C18" i="315"/>
  <c r="G17" i="315"/>
  <c r="E17" i="315"/>
  <c r="C17" i="315"/>
  <c r="G16" i="315"/>
  <c r="G15" i="315"/>
  <c r="E15" i="315"/>
  <c r="C15" i="315"/>
  <c r="E12" i="315"/>
  <c r="B4" i="315"/>
  <c r="G36" i="313"/>
  <c r="E36" i="313"/>
  <c r="C36" i="313"/>
  <c r="G25" i="313"/>
  <c r="C24" i="313"/>
  <c r="G18" i="313"/>
  <c r="E18" i="313"/>
  <c r="C18" i="313"/>
  <c r="G17" i="313"/>
  <c r="E17" i="313"/>
  <c r="C17" i="313"/>
  <c r="G16" i="313"/>
  <c r="G15" i="313"/>
  <c r="E15" i="313"/>
  <c r="C15" i="313"/>
  <c r="E12" i="313"/>
  <c r="B4" i="313"/>
  <c r="G36" i="384"/>
  <c r="E36" i="384"/>
  <c r="C36" i="384"/>
  <c r="G25" i="384"/>
  <c r="C24" i="384"/>
  <c r="E24" i="384" s="1"/>
  <c r="G18" i="384"/>
  <c r="E18" i="384"/>
  <c r="C18" i="384"/>
  <c r="G17" i="384"/>
  <c r="E17" i="384"/>
  <c r="C17" i="384"/>
  <c r="G16" i="384"/>
  <c r="G15" i="384"/>
  <c r="E15" i="384"/>
  <c r="C15" i="384"/>
  <c r="E12" i="384"/>
  <c r="B4" i="384"/>
  <c r="G36" i="311"/>
  <c r="E36" i="311"/>
  <c r="C36" i="311"/>
  <c r="G25" i="311"/>
  <c r="C24" i="311"/>
  <c r="E24" i="311" s="1"/>
  <c r="G18" i="311"/>
  <c r="E18" i="311"/>
  <c r="C18" i="311"/>
  <c r="G17" i="311"/>
  <c r="E17" i="311"/>
  <c r="C17" i="311"/>
  <c r="G16" i="311"/>
  <c r="G15" i="311"/>
  <c r="E15" i="311"/>
  <c r="C15" i="311"/>
  <c r="E12" i="311"/>
  <c r="B4" i="311"/>
  <c r="G25" i="162"/>
  <c r="C24" i="162"/>
  <c r="E24" i="162" s="1"/>
  <c r="G36" i="162"/>
  <c r="E36" i="162"/>
  <c r="C36" i="162"/>
  <c r="G18" i="162"/>
  <c r="E18" i="162"/>
  <c r="C18" i="162"/>
  <c r="G17" i="162"/>
  <c r="E17" i="162"/>
  <c r="C17" i="162"/>
  <c r="G16" i="162"/>
  <c r="G15" i="162"/>
  <c r="E15" i="162"/>
  <c r="C15" i="162"/>
  <c r="E12" i="162"/>
  <c r="G36" i="181"/>
  <c r="E36" i="181"/>
  <c r="C36" i="181"/>
  <c r="G25" i="181"/>
  <c r="C24" i="181"/>
  <c r="G18" i="181"/>
  <c r="E18" i="181"/>
  <c r="C18" i="181"/>
  <c r="E17" i="181"/>
  <c r="C17" i="181"/>
  <c r="G16" i="181"/>
  <c r="G15" i="181"/>
  <c r="E15" i="181"/>
  <c r="C15" i="181"/>
  <c r="E12" i="181"/>
  <c r="B4" i="181"/>
  <c r="G36" i="180"/>
  <c r="E36" i="180"/>
  <c r="C36" i="180"/>
  <c r="G25" i="180"/>
  <c r="C24" i="180"/>
  <c r="E24" i="180" s="1"/>
  <c r="G18" i="180"/>
  <c r="E18" i="180"/>
  <c r="C18" i="180"/>
  <c r="E17" i="180"/>
  <c r="C17" i="180"/>
  <c r="G16" i="180"/>
  <c r="G15" i="180"/>
  <c r="E15" i="180"/>
  <c r="C15" i="180"/>
  <c r="E12" i="180"/>
  <c r="B4" i="180"/>
  <c r="G36" i="179"/>
  <c r="E36" i="179"/>
  <c r="C36" i="179"/>
  <c r="G25" i="179"/>
  <c r="C24" i="179"/>
  <c r="E24" i="179" s="1"/>
  <c r="G18" i="179"/>
  <c r="E18" i="179"/>
  <c r="C18" i="179"/>
  <c r="E17" i="179"/>
  <c r="C17" i="179"/>
  <c r="G16" i="179"/>
  <c r="G15" i="179"/>
  <c r="E15" i="179"/>
  <c r="C15" i="179"/>
  <c r="E12" i="179"/>
  <c r="B4" i="179"/>
  <c r="G36" i="177"/>
  <c r="E36" i="177"/>
  <c r="C36" i="177"/>
  <c r="G25" i="177"/>
  <c r="C24" i="177"/>
  <c r="E24" i="177" s="1"/>
  <c r="G18" i="177"/>
  <c r="E18" i="177"/>
  <c r="C18" i="177"/>
  <c r="E17" i="177"/>
  <c r="C17" i="177"/>
  <c r="G16" i="177"/>
  <c r="G15" i="177"/>
  <c r="E15" i="177"/>
  <c r="C15" i="177"/>
  <c r="E12" i="177"/>
  <c r="B4" i="177"/>
  <c r="G36" i="176"/>
  <c r="E36" i="176"/>
  <c r="C36" i="176"/>
  <c r="G25" i="176"/>
  <c r="C24" i="176"/>
  <c r="E24" i="176" s="1"/>
  <c r="G18" i="176"/>
  <c r="E18" i="176"/>
  <c r="C18" i="176"/>
  <c r="E17" i="176"/>
  <c r="C17" i="176"/>
  <c r="G16" i="176"/>
  <c r="G15" i="176"/>
  <c r="E15" i="176"/>
  <c r="C15" i="176"/>
  <c r="E12" i="176"/>
  <c r="B4" i="176"/>
  <c r="G36" i="175"/>
  <c r="E36" i="175"/>
  <c r="C36" i="175"/>
  <c r="G25" i="175"/>
  <c r="C24" i="175"/>
  <c r="E24" i="175" s="1"/>
  <c r="G18" i="175"/>
  <c r="E18" i="175"/>
  <c r="C18" i="175"/>
  <c r="E17" i="175"/>
  <c r="C17" i="175"/>
  <c r="G16" i="175"/>
  <c r="G15" i="175"/>
  <c r="E15" i="175"/>
  <c r="C15" i="175"/>
  <c r="E12" i="175"/>
  <c r="B4" i="175"/>
  <c r="G36" i="174"/>
  <c r="E36" i="174"/>
  <c r="C36" i="174"/>
  <c r="G25" i="174"/>
  <c r="C24" i="174"/>
  <c r="G18" i="174"/>
  <c r="E18" i="174"/>
  <c r="C18" i="174"/>
  <c r="E17" i="174"/>
  <c r="C17" i="174"/>
  <c r="G16" i="174"/>
  <c r="G15" i="174"/>
  <c r="E15" i="174"/>
  <c r="C15" i="174"/>
  <c r="E12" i="174"/>
  <c r="B4" i="174"/>
  <c r="G36" i="173"/>
  <c r="E36" i="173"/>
  <c r="C36" i="173"/>
  <c r="G25" i="173"/>
  <c r="C24" i="173"/>
  <c r="E24" i="173" s="1"/>
  <c r="G24" i="173" s="1"/>
  <c r="G18" i="173"/>
  <c r="E18" i="173"/>
  <c r="C18" i="173"/>
  <c r="E17" i="173"/>
  <c r="C17" i="173"/>
  <c r="G16" i="173"/>
  <c r="G15" i="173"/>
  <c r="E15" i="173"/>
  <c r="C15" i="173"/>
  <c r="E12" i="173"/>
  <c r="B4" i="173"/>
  <c r="G36" i="172"/>
  <c r="E36" i="172"/>
  <c r="C36" i="172"/>
  <c r="G25" i="172"/>
  <c r="C24" i="172"/>
  <c r="E24" i="172" s="1"/>
  <c r="G18" i="172"/>
  <c r="E18" i="172"/>
  <c r="C18" i="172"/>
  <c r="E17" i="172"/>
  <c r="C17" i="172"/>
  <c r="G16" i="172"/>
  <c r="G15" i="172"/>
  <c r="E15" i="172"/>
  <c r="C15" i="172"/>
  <c r="E12" i="172"/>
  <c r="B4" i="172"/>
  <c r="G36" i="233"/>
  <c r="E36" i="233"/>
  <c r="C36" i="233"/>
  <c r="G25" i="233"/>
  <c r="C24" i="233"/>
  <c r="E24" i="233" s="1"/>
  <c r="G18" i="233"/>
  <c r="E18" i="233"/>
  <c r="C18" i="233"/>
  <c r="E17" i="233"/>
  <c r="C17" i="233"/>
  <c r="G16" i="233"/>
  <c r="G15" i="233"/>
  <c r="E15" i="233"/>
  <c r="C15" i="233"/>
  <c r="E12" i="233"/>
  <c r="B4" i="233"/>
  <c r="G36" i="221"/>
  <c r="E36" i="221"/>
  <c r="C36" i="221"/>
  <c r="G25" i="221"/>
  <c r="C24" i="221"/>
  <c r="E24" i="221" s="1"/>
  <c r="G18" i="221"/>
  <c r="E18" i="221"/>
  <c r="C18" i="221"/>
  <c r="E17" i="221"/>
  <c r="C17" i="221"/>
  <c r="G16" i="221"/>
  <c r="G15" i="221"/>
  <c r="E15" i="221"/>
  <c r="C15" i="221"/>
  <c r="E12" i="221"/>
  <c r="B4" i="221"/>
  <c r="G36" i="171"/>
  <c r="E36" i="171"/>
  <c r="C36" i="171"/>
  <c r="G25" i="171"/>
  <c r="C24" i="171"/>
  <c r="E24" i="171" s="1"/>
  <c r="G18" i="171"/>
  <c r="E18" i="171"/>
  <c r="C18" i="171"/>
  <c r="E17" i="171"/>
  <c r="C17" i="171"/>
  <c r="G16" i="171"/>
  <c r="G15" i="171"/>
  <c r="E15" i="171"/>
  <c r="C15" i="171"/>
  <c r="E12" i="171"/>
  <c r="B4" i="171"/>
  <c r="G25" i="170"/>
  <c r="C24" i="170"/>
  <c r="E24" i="170" s="1"/>
  <c r="G36" i="170"/>
  <c r="E36" i="170"/>
  <c r="C36" i="170"/>
  <c r="G18" i="170"/>
  <c r="E18" i="170"/>
  <c r="C18" i="170"/>
  <c r="G17" i="170"/>
  <c r="E17" i="170"/>
  <c r="C17" i="170"/>
  <c r="G16" i="170"/>
  <c r="G15" i="170"/>
  <c r="E15" i="170"/>
  <c r="C15" i="170"/>
  <c r="E12" i="170"/>
  <c r="G36" i="309"/>
  <c r="E36" i="309"/>
  <c r="C36" i="309"/>
  <c r="G25" i="309"/>
  <c r="C24" i="309"/>
  <c r="G18" i="309"/>
  <c r="E18" i="309"/>
  <c r="C18" i="309"/>
  <c r="G17" i="309"/>
  <c r="E17" i="309"/>
  <c r="C17" i="309"/>
  <c r="G16" i="309"/>
  <c r="G15" i="309"/>
  <c r="E15" i="309"/>
  <c r="C15" i="309"/>
  <c r="E12" i="309"/>
  <c r="B4" i="309"/>
  <c r="G36" i="208"/>
  <c r="E36" i="208"/>
  <c r="C36" i="208"/>
  <c r="G25" i="208"/>
  <c r="C24" i="208"/>
  <c r="E24" i="208" s="1"/>
  <c r="G18" i="208"/>
  <c r="E18" i="208"/>
  <c r="C18" i="208"/>
  <c r="G17" i="208"/>
  <c r="E17" i="208"/>
  <c r="C17" i="208"/>
  <c r="G16" i="208"/>
  <c r="G15" i="208"/>
  <c r="E15" i="208"/>
  <c r="C15" i="208"/>
  <c r="E12" i="208"/>
  <c r="B4" i="208"/>
  <c r="G36" i="207"/>
  <c r="E36" i="207"/>
  <c r="C36" i="207"/>
  <c r="G25" i="207"/>
  <c r="C24" i="207"/>
  <c r="E24" i="207" s="1"/>
  <c r="G18" i="207"/>
  <c r="E18" i="207"/>
  <c r="C18" i="207"/>
  <c r="G17" i="207"/>
  <c r="E17" i="207"/>
  <c r="C17" i="207"/>
  <c r="G16" i="207"/>
  <c r="G15" i="207"/>
  <c r="E15" i="207"/>
  <c r="C15" i="207"/>
  <c r="E12" i="207"/>
  <c r="B4" i="207"/>
  <c r="G36" i="231"/>
  <c r="E36" i="231"/>
  <c r="C36" i="231"/>
  <c r="G25" i="231"/>
  <c r="C24" i="231"/>
  <c r="E24" i="231" s="1"/>
  <c r="G18" i="231"/>
  <c r="E18" i="231"/>
  <c r="C18" i="231"/>
  <c r="G17" i="231"/>
  <c r="E17" i="231"/>
  <c r="C17" i="231"/>
  <c r="G16" i="231"/>
  <c r="G15" i="231"/>
  <c r="E15" i="231"/>
  <c r="C15" i="231"/>
  <c r="E12" i="231"/>
  <c r="B4" i="231"/>
  <c r="G36" i="229"/>
  <c r="E36" i="229"/>
  <c r="C36" i="229"/>
  <c r="G25" i="229"/>
  <c r="C24" i="229"/>
  <c r="E24" i="229" s="1"/>
  <c r="G18" i="229"/>
  <c r="E18" i="229"/>
  <c r="C18" i="229"/>
  <c r="G17" i="229"/>
  <c r="E17" i="229"/>
  <c r="C17" i="229"/>
  <c r="G16" i="229"/>
  <c r="G15" i="229"/>
  <c r="E15" i="229"/>
  <c r="C15" i="229"/>
  <c r="E12" i="229"/>
  <c r="B4" i="229"/>
  <c r="G36" i="227"/>
  <c r="E36" i="227"/>
  <c r="C36" i="227"/>
  <c r="G25" i="227"/>
  <c r="C24" i="227"/>
  <c r="E24" i="227" s="1"/>
  <c r="G18" i="227"/>
  <c r="E18" i="227"/>
  <c r="C18" i="227"/>
  <c r="G17" i="227"/>
  <c r="E17" i="227"/>
  <c r="C17" i="227"/>
  <c r="G16" i="227"/>
  <c r="G15" i="227"/>
  <c r="E15" i="227"/>
  <c r="C15" i="227"/>
  <c r="E12" i="227"/>
  <c r="B4" i="227"/>
  <c r="G36" i="225"/>
  <c r="E36" i="225"/>
  <c r="C36" i="225"/>
  <c r="G25" i="225"/>
  <c r="C24" i="225"/>
  <c r="E24" i="225" s="1"/>
  <c r="G18" i="225"/>
  <c r="E18" i="225"/>
  <c r="C18" i="225"/>
  <c r="G17" i="225"/>
  <c r="E17" i="225"/>
  <c r="C17" i="225"/>
  <c r="G16" i="225"/>
  <c r="G15" i="225"/>
  <c r="E15" i="225"/>
  <c r="C15" i="225"/>
  <c r="E12" i="225"/>
  <c r="B4" i="225"/>
  <c r="G36" i="223"/>
  <c r="E36" i="223"/>
  <c r="C36" i="223"/>
  <c r="G25" i="223"/>
  <c r="C24" i="223"/>
  <c r="E24" i="223" s="1"/>
  <c r="G18" i="223"/>
  <c r="E18" i="223"/>
  <c r="C18" i="223"/>
  <c r="G17" i="223"/>
  <c r="E17" i="223"/>
  <c r="C17" i="223"/>
  <c r="G16" i="223"/>
  <c r="G15" i="223"/>
  <c r="E15" i="223"/>
  <c r="C15" i="223"/>
  <c r="E12" i="223"/>
  <c r="B4" i="223"/>
  <c r="G36" i="218"/>
  <c r="E36" i="218"/>
  <c r="C36" i="218"/>
  <c r="G25" i="218"/>
  <c r="C24" i="218"/>
  <c r="G18" i="218"/>
  <c r="E18" i="218"/>
  <c r="C18" i="218"/>
  <c r="G17" i="218"/>
  <c r="E17" i="218"/>
  <c r="C17" i="218"/>
  <c r="G16" i="218"/>
  <c r="G15" i="218"/>
  <c r="E15" i="218"/>
  <c r="C15" i="218"/>
  <c r="E12" i="218"/>
  <c r="B4" i="218"/>
  <c r="G36" i="206"/>
  <c r="E36" i="206"/>
  <c r="C36" i="206"/>
  <c r="G25" i="206"/>
  <c r="C24" i="206"/>
  <c r="E24" i="206" s="1"/>
  <c r="G24" i="206" s="1"/>
  <c r="G18" i="206"/>
  <c r="E18" i="206"/>
  <c r="C18" i="206"/>
  <c r="G17" i="206"/>
  <c r="E17" i="206"/>
  <c r="C17" i="206"/>
  <c r="G16" i="206"/>
  <c r="G15" i="206"/>
  <c r="E15" i="206"/>
  <c r="C15" i="206"/>
  <c r="E12" i="206"/>
  <c r="B4" i="206"/>
  <c r="G36" i="205"/>
  <c r="E36" i="205"/>
  <c r="C36" i="205"/>
  <c r="G25" i="205"/>
  <c r="C24" i="205"/>
  <c r="G18" i="205"/>
  <c r="E18" i="205"/>
  <c r="C18" i="205"/>
  <c r="G17" i="205"/>
  <c r="E17" i="205"/>
  <c r="C17" i="205"/>
  <c r="G16" i="205"/>
  <c r="G15" i="205"/>
  <c r="E15" i="205"/>
  <c r="C15" i="205"/>
  <c r="E12" i="205"/>
  <c r="B4" i="205"/>
  <c r="G36" i="204"/>
  <c r="E36" i="204"/>
  <c r="C36" i="204"/>
  <c r="G25" i="204"/>
  <c r="C24" i="204"/>
  <c r="E24" i="204" s="1"/>
  <c r="G18" i="204"/>
  <c r="E18" i="204"/>
  <c r="C18" i="204"/>
  <c r="G17" i="204"/>
  <c r="E17" i="204"/>
  <c r="C17" i="204"/>
  <c r="G16" i="204"/>
  <c r="G15" i="204"/>
  <c r="E15" i="204"/>
  <c r="C15" i="204"/>
  <c r="E12" i="204"/>
  <c r="B4" i="204"/>
  <c r="G36" i="203"/>
  <c r="E36" i="203"/>
  <c r="C36" i="203"/>
  <c r="G25" i="203"/>
  <c r="C24" i="203"/>
  <c r="E24" i="203" s="1"/>
  <c r="G18" i="203"/>
  <c r="E18" i="203"/>
  <c r="C18" i="203"/>
  <c r="G17" i="203"/>
  <c r="E17" i="203"/>
  <c r="C17" i="203"/>
  <c r="G16" i="203"/>
  <c r="G15" i="203"/>
  <c r="E15" i="203"/>
  <c r="C15" i="203"/>
  <c r="E12" i="203"/>
  <c r="B4" i="203"/>
  <c r="G36" i="202"/>
  <c r="E36" i="202"/>
  <c r="C36" i="202"/>
  <c r="G25" i="202"/>
  <c r="C24" i="202"/>
  <c r="E24" i="202" s="1"/>
  <c r="G18" i="202"/>
  <c r="E18" i="202"/>
  <c r="C18" i="202"/>
  <c r="G17" i="202"/>
  <c r="E17" i="202"/>
  <c r="C17" i="202"/>
  <c r="G16" i="202"/>
  <c r="G15" i="202"/>
  <c r="E15" i="202"/>
  <c r="C15" i="202"/>
  <c r="E12" i="202"/>
  <c r="B4" i="202"/>
  <c r="G36" i="201"/>
  <c r="E36" i="201"/>
  <c r="C36" i="201"/>
  <c r="G25" i="201"/>
  <c r="C24" i="201"/>
  <c r="G18" i="201"/>
  <c r="E18" i="201"/>
  <c r="C18" i="201"/>
  <c r="G17" i="201"/>
  <c r="E17" i="201"/>
  <c r="C17" i="201"/>
  <c r="G16" i="201"/>
  <c r="G15" i="201"/>
  <c r="E15" i="201"/>
  <c r="C15" i="201"/>
  <c r="E12" i="201"/>
  <c r="B4" i="201"/>
  <c r="G36" i="200"/>
  <c r="E36" i="200"/>
  <c r="C36" i="200"/>
  <c r="G25" i="200"/>
  <c r="C24" i="200"/>
  <c r="E24" i="200" s="1"/>
  <c r="G18" i="200"/>
  <c r="E18" i="200"/>
  <c r="C18" i="200"/>
  <c r="G17" i="200"/>
  <c r="E17" i="200"/>
  <c r="C17" i="200"/>
  <c r="G16" i="200"/>
  <c r="G15" i="200"/>
  <c r="E15" i="200"/>
  <c r="C15" i="200"/>
  <c r="E12" i="200"/>
  <c r="B4" i="200"/>
  <c r="G36" i="199"/>
  <c r="E36" i="199"/>
  <c r="C36" i="199"/>
  <c r="G25" i="199"/>
  <c r="C24" i="199"/>
  <c r="E24" i="199" s="1"/>
  <c r="G18" i="199"/>
  <c r="E18" i="199"/>
  <c r="C18" i="199"/>
  <c r="G17" i="199"/>
  <c r="E17" i="199"/>
  <c r="C17" i="199"/>
  <c r="G16" i="199"/>
  <c r="G15" i="199"/>
  <c r="E15" i="199"/>
  <c r="C15" i="199"/>
  <c r="E12" i="199"/>
  <c r="B4" i="199"/>
  <c r="G36" i="198"/>
  <c r="E36" i="198"/>
  <c r="C36" i="198"/>
  <c r="G25" i="198"/>
  <c r="C24" i="198"/>
  <c r="E24" i="198" s="1"/>
  <c r="G18" i="198"/>
  <c r="E18" i="198"/>
  <c r="C18" i="198"/>
  <c r="G17" i="198"/>
  <c r="E17" i="198"/>
  <c r="C17" i="198"/>
  <c r="G16" i="198"/>
  <c r="G15" i="198"/>
  <c r="E15" i="198"/>
  <c r="C15" i="198"/>
  <c r="E12" i="198"/>
  <c r="B4" i="198"/>
  <c r="G36" i="197"/>
  <c r="E36" i="197"/>
  <c r="C36" i="197"/>
  <c r="G25" i="197"/>
  <c r="C24" i="197"/>
  <c r="E24" i="197" s="1"/>
  <c r="G24" i="197" s="1"/>
  <c r="G18" i="197"/>
  <c r="E18" i="197"/>
  <c r="C18" i="197"/>
  <c r="G17" i="197"/>
  <c r="E17" i="197"/>
  <c r="C17" i="197"/>
  <c r="G16" i="197"/>
  <c r="G15" i="197"/>
  <c r="E15" i="197"/>
  <c r="C15" i="197"/>
  <c r="E12" i="197"/>
  <c r="B4" i="197"/>
  <c r="G36" i="196"/>
  <c r="E36" i="196"/>
  <c r="C36" i="196"/>
  <c r="G25" i="196"/>
  <c r="C24" i="196"/>
  <c r="G18" i="196"/>
  <c r="E18" i="196"/>
  <c r="C18" i="196"/>
  <c r="G17" i="196"/>
  <c r="E17" i="196"/>
  <c r="C17" i="196"/>
  <c r="G16" i="196"/>
  <c r="G15" i="196"/>
  <c r="E15" i="196"/>
  <c r="C15" i="196"/>
  <c r="E12" i="196"/>
  <c r="B4" i="196"/>
  <c r="G36" i="195"/>
  <c r="E36" i="195"/>
  <c r="C36" i="195"/>
  <c r="G25" i="195"/>
  <c r="C24" i="195"/>
  <c r="E24" i="195" s="1"/>
  <c r="G18" i="195"/>
  <c r="E18" i="195"/>
  <c r="C18" i="195"/>
  <c r="G17" i="195"/>
  <c r="E17" i="195"/>
  <c r="C17" i="195"/>
  <c r="G16" i="195"/>
  <c r="G15" i="195"/>
  <c r="E15" i="195"/>
  <c r="C15" i="195"/>
  <c r="E12" i="195"/>
  <c r="B4" i="195"/>
  <c r="G36" i="194"/>
  <c r="E36" i="194"/>
  <c r="C36" i="194"/>
  <c r="G25" i="194"/>
  <c r="C24" i="194"/>
  <c r="E24" i="194" s="1"/>
  <c r="G18" i="194"/>
  <c r="E18" i="194"/>
  <c r="C18" i="194"/>
  <c r="G17" i="194"/>
  <c r="E17" i="194"/>
  <c r="C17" i="194"/>
  <c r="G16" i="194"/>
  <c r="G15" i="194"/>
  <c r="E15" i="194"/>
  <c r="C15" i="194"/>
  <c r="E12" i="194"/>
  <c r="B4" i="194"/>
  <c r="G36" i="193"/>
  <c r="E36" i="193"/>
  <c r="C36" i="193"/>
  <c r="G25" i="193"/>
  <c r="C24" i="193"/>
  <c r="E24" i="193" s="1"/>
  <c r="G18" i="193"/>
  <c r="E18" i="193"/>
  <c r="C18" i="193"/>
  <c r="G17" i="193"/>
  <c r="E17" i="193"/>
  <c r="C17" i="193"/>
  <c r="G16" i="193"/>
  <c r="G15" i="193"/>
  <c r="E15" i="193"/>
  <c r="C15" i="193"/>
  <c r="E12" i="193"/>
  <c r="B4" i="193"/>
  <c r="G36" i="192"/>
  <c r="E36" i="192"/>
  <c r="C36" i="192"/>
  <c r="G25" i="192"/>
  <c r="C24" i="192"/>
  <c r="E24" i="192" s="1"/>
  <c r="G18" i="192"/>
  <c r="E18" i="192"/>
  <c r="C18" i="192"/>
  <c r="G17" i="192"/>
  <c r="E17" i="192"/>
  <c r="C17" i="192"/>
  <c r="G16" i="192"/>
  <c r="G15" i="192"/>
  <c r="E15" i="192"/>
  <c r="C15" i="192"/>
  <c r="E12" i="192"/>
  <c r="B4" i="192"/>
  <c r="G36" i="191"/>
  <c r="E36" i="191"/>
  <c r="C36" i="191"/>
  <c r="G25" i="191"/>
  <c r="C24" i="191"/>
  <c r="E24" i="191" s="1"/>
  <c r="G18" i="191"/>
  <c r="E18" i="191"/>
  <c r="C18" i="191"/>
  <c r="G17" i="191"/>
  <c r="E17" i="191"/>
  <c r="C17" i="191"/>
  <c r="G16" i="191"/>
  <c r="G15" i="191"/>
  <c r="E15" i="191"/>
  <c r="C15" i="191"/>
  <c r="E12" i="191"/>
  <c r="B4" i="191"/>
  <c r="G36" i="190"/>
  <c r="E36" i="190"/>
  <c r="C36" i="190"/>
  <c r="G25" i="190"/>
  <c r="C24" i="190"/>
  <c r="G18" i="190"/>
  <c r="E18" i="190"/>
  <c r="C18" i="190"/>
  <c r="G17" i="190"/>
  <c r="E17" i="190"/>
  <c r="C17" i="190"/>
  <c r="G16" i="190"/>
  <c r="G15" i="190"/>
  <c r="E15" i="190"/>
  <c r="C15" i="190"/>
  <c r="E12" i="190"/>
  <c r="B4" i="190"/>
  <c r="G36" i="189"/>
  <c r="E36" i="189"/>
  <c r="C36" i="189"/>
  <c r="G25" i="189"/>
  <c r="C24" i="189"/>
  <c r="G18" i="189"/>
  <c r="E18" i="189"/>
  <c r="C18" i="189"/>
  <c r="G17" i="189"/>
  <c r="E17" i="189"/>
  <c r="C17" i="189"/>
  <c r="G16" i="189"/>
  <c r="G15" i="189"/>
  <c r="E15" i="189"/>
  <c r="C15" i="189"/>
  <c r="E12" i="189"/>
  <c r="B4" i="189"/>
  <c r="G36" i="188"/>
  <c r="E36" i="188"/>
  <c r="C36" i="188"/>
  <c r="G25" i="188"/>
  <c r="C24" i="188"/>
  <c r="E24" i="188" s="1"/>
  <c r="G24" i="188" s="1"/>
  <c r="G18" i="188"/>
  <c r="E18" i="188"/>
  <c r="C18" i="188"/>
  <c r="G17" i="188"/>
  <c r="E17" i="188"/>
  <c r="C17" i="188"/>
  <c r="G16" i="188"/>
  <c r="G15" i="188"/>
  <c r="E15" i="188"/>
  <c r="C15" i="188"/>
  <c r="E12" i="188"/>
  <c r="B4" i="188"/>
  <c r="G36" i="187"/>
  <c r="E36" i="187"/>
  <c r="C36" i="187"/>
  <c r="G25" i="187"/>
  <c r="C24" i="187"/>
  <c r="E24" i="187" s="1"/>
  <c r="G18" i="187"/>
  <c r="E18" i="187"/>
  <c r="C18" i="187"/>
  <c r="G17" i="187"/>
  <c r="E17" i="187"/>
  <c r="C17" i="187"/>
  <c r="G16" i="187"/>
  <c r="G15" i="187"/>
  <c r="E15" i="187"/>
  <c r="C15" i="187"/>
  <c r="E12" i="187"/>
  <c r="B4" i="187"/>
  <c r="G36" i="186"/>
  <c r="E36" i="186"/>
  <c r="C36" i="186"/>
  <c r="G25" i="186"/>
  <c r="C24" i="186"/>
  <c r="E24" i="186" s="1"/>
  <c r="G18" i="186"/>
  <c r="E18" i="186"/>
  <c r="C18" i="186"/>
  <c r="G17" i="186"/>
  <c r="E17" i="186"/>
  <c r="C17" i="186"/>
  <c r="G16" i="186"/>
  <c r="G15" i="186"/>
  <c r="E15" i="186"/>
  <c r="C15" i="186"/>
  <c r="E12" i="186"/>
  <c r="B4" i="186"/>
  <c r="G36" i="185"/>
  <c r="E36" i="185"/>
  <c r="C36" i="185"/>
  <c r="G25" i="185"/>
  <c r="C24" i="185"/>
  <c r="G18" i="185"/>
  <c r="E18" i="185"/>
  <c r="C18" i="185"/>
  <c r="G17" i="185"/>
  <c r="E17" i="185"/>
  <c r="C17" i="185"/>
  <c r="G16" i="185"/>
  <c r="G15" i="185"/>
  <c r="E15" i="185"/>
  <c r="C15" i="185"/>
  <c r="E12" i="185"/>
  <c r="B4" i="185"/>
  <c r="G36" i="184"/>
  <c r="E36" i="184"/>
  <c r="C36" i="184"/>
  <c r="G25" i="184"/>
  <c r="C24" i="184"/>
  <c r="E24" i="184" s="1"/>
  <c r="G24" i="184" s="1"/>
  <c r="G18" i="184"/>
  <c r="E18" i="184"/>
  <c r="C18" i="184"/>
  <c r="G17" i="184"/>
  <c r="E17" i="184"/>
  <c r="C17" i="184"/>
  <c r="G16" i="184"/>
  <c r="G15" i="184"/>
  <c r="E15" i="184"/>
  <c r="C15" i="184"/>
  <c r="E12" i="184"/>
  <c r="B4" i="184"/>
  <c r="D41" i="183"/>
  <c r="G36" i="183"/>
  <c r="E36" i="183"/>
  <c r="C36" i="183"/>
  <c r="G25" i="183"/>
  <c r="C24" i="183"/>
  <c r="E24" i="183" s="1"/>
  <c r="G24" i="183" s="1"/>
  <c r="G18" i="183"/>
  <c r="E18" i="183"/>
  <c r="C18" i="183"/>
  <c r="G17" i="183"/>
  <c r="E17" i="183"/>
  <c r="C17" i="183"/>
  <c r="G16" i="183"/>
  <c r="G15" i="183"/>
  <c r="E15" i="183"/>
  <c r="C15" i="183"/>
  <c r="E12" i="183"/>
  <c r="B4" i="183"/>
  <c r="G22" i="188" l="1"/>
  <c r="G22" i="206"/>
  <c r="G22" i="246"/>
  <c r="G22" i="268"/>
  <c r="G22" i="173"/>
  <c r="G22" i="183"/>
  <c r="G22" i="184"/>
  <c r="G22" i="197"/>
  <c r="G41" i="140"/>
  <c r="G24" i="157"/>
  <c r="G24" i="151"/>
  <c r="E24" i="382"/>
  <c r="G24" i="380"/>
  <c r="G22" i="380" s="1"/>
  <c r="G24" i="378"/>
  <c r="G22" i="378" s="1"/>
  <c r="G24" i="376"/>
  <c r="G22" i="376" s="1"/>
  <c r="G24" i="373"/>
  <c r="G22" i="373" s="1"/>
  <c r="G24" i="371"/>
  <c r="G22" i="371" s="1"/>
  <c r="G24" i="369"/>
  <c r="G22" i="369" s="1"/>
  <c r="G24" i="367"/>
  <c r="G22" i="367" s="1"/>
  <c r="G24" i="365"/>
  <c r="G22" i="365" s="1"/>
  <c r="G24" i="363"/>
  <c r="G22" i="363" s="1"/>
  <c r="G24" i="361"/>
  <c r="G22" i="361" s="1"/>
  <c r="G24" i="359"/>
  <c r="G22" i="359" s="1"/>
  <c r="G24" i="357"/>
  <c r="G22" i="357" s="1"/>
  <c r="G24" i="355"/>
  <c r="G22" i="355" s="1"/>
  <c r="G24" i="353"/>
  <c r="G22" i="353" s="1"/>
  <c r="E24" i="351"/>
  <c r="G24" i="349"/>
  <c r="G22" i="349" s="1"/>
  <c r="G24" i="347"/>
  <c r="G22" i="347" s="1"/>
  <c r="G24" i="345"/>
  <c r="G22" i="345" s="1"/>
  <c r="G24" i="343"/>
  <c r="G22" i="343" s="1"/>
  <c r="E24" i="341"/>
  <c r="G24" i="339"/>
  <c r="G22" i="339" s="1"/>
  <c r="G24" i="337"/>
  <c r="G22" i="337" s="1"/>
  <c r="G24" i="335"/>
  <c r="G22" i="335" s="1"/>
  <c r="G24" i="333"/>
  <c r="G22" i="333" s="1"/>
  <c r="G24" i="331"/>
  <c r="G22" i="331" s="1"/>
  <c r="G24" i="329"/>
  <c r="G22" i="329" s="1"/>
  <c r="G24" i="327"/>
  <c r="G22" i="327" s="1"/>
  <c r="G24" i="325"/>
  <c r="G22" i="325" s="1"/>
  <c r="G24" i="323"/>
  <c r="G22" i="323" s="1"/>
  <c r="G24" i="321"/>
  <c r="G22" i="321" s="1"/>
  <c r="G24" i="319"/>
  <c r="G22" i="319" s="1"/>
  <c r="G24" i="317"/>
  <c r="G22" i="317" s="1"/>
  <c r="G24" i="169"/>
  <c r="G22" i="169" s="1"/>
  <c r="G24" i="168"/>
  <c r="G22" i="168" s="1"/>
  <c r="G24" i="167"/>
  <c r="G22" i="167" s="1"/>
  <c r="G24" i="282"/>
  <c r="G22" i="282" s="1"/>
  <c r="G24" i="279"/>
  <c r="G22" i="279" s="1"/>
  <c r="G24" i="277"/>
  <c r="G22" i="277" s="1"/>
  <c r="G24" i="275"/>
  <c r="G22" i="275" s="1"/>
  <c r="G24" i="273"/>
  <c r="G22" i="273" s="1"/>
  <c r="G24" i="271"/>
  <c r="G22" i="271" s="1"/>
  <c r="G24" i="266"/>
  <c r="G22" i="266" s="1"/>
  <c r="G24" i="264"/>
  <c r="G22" i="264" s="1"/>
  <c r="G24" i="262"/>
  <c r="G22" i="262" s="1"/>
  <c r="G24" i="260"/>
  <c r="G22" i="260" s="1"/>
  <c r="G24" i="258"/>
  <c r="G22" i="258" s="1"/>
  <c r="G24" i="256"/>
  <c r="G22" i="256" s="1"/>
  <c r="G24" i="254"/>
  <c r="G22" i="254" s="1"/>
  <c r="G24" i="252"/>
  <c r="G22" i="252" s="1"/>
  <c r="G24" i="250"/>
  <c r="G22" i="250" s="1"/>
  <c r="E24" i="249"/>
  <c r="G24" i="284"/>
  <c r="G22" i="284" s="1"/>
  <c r="G24" i="244"/>
  <c r="G22" i="244" s="1"/>
  <c r="G24" i="242"/>
  <c r="G22" i="242" s="1"/>
  <c r="E24" i="240"/>
  <c r="E24" i="238"/>
  <c r="G24" i="236"/>
  <c r="G22" i="236" s="1"/>
  <c r="G24" i="166"/>
  <c r="G22" i="166" s="1"/>
  <c r="G24" i="165"/>
  <c r="G22" i="165" s="1"/>
  <c r="G24" i="164"/>
  <c r="G22" i="164" s="1"/>
  <c r="G24" i="163"/>
  <c r="G22" i="163" s="1"/>
  <c r="E24" i="315"/>
  <c r="E24" i="313"/>
  <c r="G24" i="384"/>
  <c r="G22" i="384" s="1"/>
  <c r="G24" i="311"/>
  <c r="G22" i="311" s="1"/>
  <c r="G24" i="162"/>
  <c r="G22" i="162" s="1"/>
  <c r="E24" i="181"/>
  <c r="G24" i="180"/>
  <c r="G22" i="180" s="1"/>
  <c r="G24" i="179"/>
  <c r="G22" i="179" s="1"/>
  <c r="G24" i="177"/>
  <c r="G22" i="177" s="1"/>
  <c r="G24" i="176"/>
  <c r="G22" i="176" s="1"/>
  <c r="G24" i="175"/>
  <c r="G22" i="175" s="1"/>
  <c r="E24" i="174"/>
  <c r="G24" i="172"/>
  <c r="G22" i="172" s="1"/>
  <c r="G24" i="233"/>
  <c r="G22" i="233" s="1"/>
  <c r="G24" i="221"/>
  <c r="G22" i="221" s="1"/>
  <c r="G24" i="171"/>
  <c r="G22" i="171" s="1"/>
  <c r="G24" i="170"/>
  <c r="G22" i="170" s="1"/>
  <c r="E24" i="309"/>
  <c r="G24" i="208"/>
  <c r="G22" i="208" s="1"/>
  <c r="G24" i="207"/>
  <c r="G22" i="207" s="1"/>
  <c r="G24" i="231"/>
  <c r="G22" i="231" s="1"/>
  <c r="G24" i="229"/>
  <c r="G22" i="229" s="1"/>
  <c r="G24" i="227"/>
  <c r="G22" i="227" s="1"/>
  <c r="G24" i="225"/>
  <c r="G22" i="225" s="1"/>
  <c r="G24" i="223"/>
  <c r="G22" i="223" s="1"/>
  <c r="E24" i="218"/>
  <c r="E24" i="205"/>
  <c r="G24" i="204"/>
  <c r="G22" i="204" s="1"/>
  <c r="G24" i="203"/>
  <c r="G22" i="203" s="1"/>
  <c r="G24" i="202"/>
  <c r="G22" i="202" s="1"/>
  <c r="E24" i="201"/>
  <c r="G24" i="200"/>
  <c r="G22" i="200" s="1"/>
  <c r="G24" i="199"/>
  <c r="G22" i="199" s="1"/>
  <c r="G24" i="198"/>
  <c r="G22" i="198" s="1"/>
  <c r="E24" i="196"/>
  <c r="G24" i="195"/>
  <c r="G22" i="195" s="1"/>
  <c r="G24" i="194"/>
  <c r="G22" i="194" s="1"/>
  <c r="G24" i="193"/>
  <c r="G22" i="193" s="1"/>
  <c r="G24" i="192"/>
  <c r="G22" i="192" s="1"/>
  <c r="G24" i="191"/>
  <c r="G22" i="191" s="1"/>
  <c r="E24" i="190"/>
  <c r="E24" i="189"/>
  <c r="G24" i="187"/>
  <c r="G22" i="187" s="1"/>
  <c r="G24" i="186"/>
  <c r="G22" i="186" s="1"/>
  <c r="E24" i="185"/>
  <c r="G24" i="382" l="1"/>
  <c r="G22" i="382" s="1"/>
  <c r="G24" i="351"/>
  <c r="G22" i="351" s="1"/>
  <c r="G24" i="341"/>
  <c r="G22" i="341" s="1"/>
  <c r="G24" i="249"/>
  <c r="G22" i="249" s="1"/>
  <c r="G24" i="240"/>
  <c r="G22" i="240" s="1"/>
  <c r="G24" i="238"/>
  <c r="G22" i="238" s="1"/>
  <c r="G24" i="315"/>
  <c r="G22" i="315" s="1"/>
  <c r="G24" i="313"/>
  <c r="G22" i="313" s="1"/>
  <c r="G24" i="181"/>
  <c r="G22" i="181" s="1"/>
  <c r="G24" i="174"/>
  <c r="G22" i="174" s="1"/>
  <c r="G24" i="309"/>
  <c r="G22" i="309" s="1"/>
  <c r="G24" i="218"/>
  <c r="G22" i="218" s="1"/>
  <c r="G24" i="205"/>
  <c r="G22" i="205" s="1"/>
  <c r="G24" i="201"/>
  <c r="G22" i="201" s="1"/>
  <c r="G24" i="196"/>
  <c r="G22" i="196" s="1"/>
  <c r="G24" i="190"/>
  <c r="G22" i="190" s="1"/>
  <c r="G24" i="189"/>
  <c r="G22" i="189" s="1"/>
  <c r="G24" i="185"/>
  <c r="G22" i="185" s="1"/>
  <c r="V8" i="388" l="1"/>
  <c r="U8" i="388"/>
  <c r="T8" i="388"/>
  <c r="S8" i="388"/>
  <c r="B8" i="388"/>
  <c r="Z8" i="388"/>
  <c r="C3" i="388"/>
  <c r="B9" i="388" l="1"/>
  <c r="B10" i="388" s="1"/>
  <c r="B11" i="388" s="1"/>
  <c r="B12" i="388" s="1"/>
  <c r="B13" i="388" s="1"/>
  <c r="B14" i="388" s="1"/>
  <c r="B15" i="388" s="1"/>
  <c r="B16" i="388" s="1"/>
  <c r="B17" i="388" s="1"/>
  <c r="B18" i="388" s="1"/>
  <c r="B19" i="388" s="1"/>
  <c r="B20" i="388" s="1"/>
  <c r="B21" i="388" s="1"/>
  <c r="B22" i="388" s="1"/>
  <c r="B23" i="388" s="1"/>
  <c r="B24" i="388" s="1"/>
  <c r="B25" i="388" s="1"/>
  <c r="B26" i="388" s="1"/>
  <c r="B27" i="388" s="1"/>
  <c r="R8" i="388"/>
  <c r="B28" i="388" l="1"/>
  <c r="B29" i="388" s="1"/>
  <c r="B30" i="388" s="1"/>
  <c r="B31" i="388" s="1"/>
  <c r="B32" i="388" s="1"/>
  <c r="B33" i="388" s="1"/>
  <c r="B34" i="388" s="1"/>
  <c r="B35" i="388" s="1"/>
  <c r="B36" i="388" s="1"/>
  <c r="B37" i="388" s="1"/>
  <c r="B38" i="388" s="1"/>
  <c r="B39" i="388" s="1"/>
  <c r="B40" i="388" s="1"/>
  <c r="B41" i="388" s="1"/>
  <c r="B42" i="388" s="1"/>
  <c r="B43" i="388" s="1"/>
  <c r="B44" i="388" s="1"/>
  <c r="B45" i="388" s="1"/>
  <c r="B46" i="388" s="1"/>
  <c r="B47" i="388" s="1"/>
  <c r="B48" i="388" s="1"/>
  <c r="B49" i="388" s="1"/>
  <c r="B50" i="388" s="1"/>
  <c r="B51" i="388" s="1"/>
  <c r="B52" i="388" s="1"/>
  <c r="B53" i="388" s="1"/>
  <c r="B54" i="388" s="1"/>
  <c r="B55" i="388" s="1"/>
  <c r="B56" i="388" s="1"/>
  <c r="B57" i="388" s="1"/>
  <c r="B58" i="388" s="1"/>
  <c r="B59" i="388" s="1"/>
  <c r="B60" i="388" s="1"/>
  <c r="B61" i="388" s="1"/>
  <c r="B62" i="388" s="1"/>
  <c r="B63" i="388" s="1"/>
  <c r="B64" i="388" s="1"/>
  <c r="B65" i="388" s="1"/>
  <c r="B66" i="388" s="1"/>
  <c r="B67" i="388" s="1"/>
  <c r="B68" i="388" s="1"/>
  <c r="B69" i="388" s="1"/>
  <c r="B70" i="388" s="1"/>
  <c r="B71" i="388" s="1"/>
  <c r="B72" i="388" s="1"/>
  <c r="B73" i="388" s="1"/>
  <c r="B74" i="388" s="1"/>
  <c r="B75" i="388" s="1"/>
  <c r="B76" i="388" s="1"/>
  <c r="B77" i="388" s="1"/>
  <c r="B78" i="388" s="1"/>
  <c r="B79" i="388" s="1"/>
  <c r="B80" i="388" s="1"/>
  <c r="B81" i="388" s="1"/>
  <c r="B82" i="388" s="1"/>
  <c r="E12" i="293"/>
  <c r="F12" i="293"/>
  <c r="B83" i="388" l="1"/>
  <c r="B84" i="388" s="1"/>
  <c r="B85" i="388" s="1"/>
  <c r="B86" i="388" s="1"/>
  <c r="B87" i="388" s="1"/>
  <c r="B88" i="388" s="1"/>
  <c r="B89" i="388" s="1"/>
  <c r="B90" i="388" s="1"/>
  <c r="B91" i="388" s="1"/>
  <c r="B92" i="388" s="1"/>
  <c r="B93" i="388" s="1"/>
  <c r="B94" i="388" s="1"/>
  <c r="B95" i="388" s="1"/>
  <c r="B96" i="388" s="1"/>
  <c r="B97" i="388" s="1"/>
  <c r="B98" i="388" s="1"/>
  <c r="B99" i="388" s="1"/>
  <c r="B100" i="388" s="1"/>
  <c r="B101" i="388" s="1"/>
  <c r="B102" i="388" s="1"/>
  <c r="B103" i="388" s="1"/>
  <c r="B104" i="388" s="1"/>
  <c r="B105" i="388" s="1"/>
  <c r="B106" i="388" s="1"/>
  <c r="B107" i="388" s="1"/>
  <c r="B108" i="388" s="1"/>
  <c r="B109" i="388" s="1"/>
  <c r="B110" i="388" s="1"/>
  <c r="B111" i="388" s="1"/>
  <c r="B112" i="388" s="1"/>
  <c r="B113" i="388" s="1"/>
  <c r="B114" i="388" s="1"/>
  <c r="B115" i="388" s="1"/>
  <c r="B116" i="388" s="1"/>
  <c r="B117" i="388" s="1"/>
  <c r="B118" i="388" s="1"/>
  <c r="B119" i="388" s="1"/>
  <c r="B120" i="388" s="1"/>
  <c r="B121" i="388" s="1"/>
  <c r="B122" i="388" s="1"/>
  <c r="B123" i="388" s="1"/>
  <c r="B124" i="388" s="1"/>
  <c r="B125" i="388" s="1"/>
  <c r="B126" i="388" s="1"/>
  <c r="B127" i="388" s="1"/>
  <c r="B128" i="388" s="1"/>
  <c r="B129" i="388" s="1"/>
  <c r="B130" i="388" s="1"/>
  <c r="B131" i="388" s="1"/>
  <c r="B132" i="388" s="1"/>
  <c r="B133" i="388" s="1"/>
  <c r="B134" i="388" s="1"/>
  <c r="B135" i="388" s="1"/>
  <c r="B136" i="388" s="1"/>
  <c r="B137" i="388" s="1"/>
  <c r="B138" i="388" s="1"/>
  <c r="B139" i="388" s="1"/>
  <c r="B140" i="388" s="1"/>
  <c r="B141" i="388" s="1"/>
  <c r="B142" i="388" s="1"/>
  <c r="B143" i="388" s="1"/>
  <c r="B144" i="388" s="1"/>
  <c r="B145" i="388" s="1"/>
  <c r="B146" i="388" s="1"/>
  <c r="B147" i="388" s="1"/>
  <c r="B148" i="388" s="1"/>
  <c r="B149" i="388" s="1"/>
  <c r="B150" i="388" s="1"/>
  <c r="B151" i="388" s="1"/>
  <c r="B152" i="388" s="1"/>
  <c r="B153" i="388" s="1"/>
  <c r="B154" i="388" s="1"/>
  <c r="B155" i="388" s="1"/>
  <c r="B156" i="388" s="1"/>
  <c r="B157" i="388" s="1"/>
  <c r="B158" i="388" s="1"/>
  <c r="B159" i="388" s="1"/>
  <c r="B160" i="388" s="1"/>
  <c r="B161" i="388" s="1"/>
  <c r="B162" i="388" s="1"/>
  <c r="B163" i="388" s="1"/>
  <c r="B164" i="388" s="1"/>
  <c r="B165" i="388" s="1"/>
  <c r="B166" i="388" s="1"/>
  <c r="B167" i="388" s="1"/>
  <c r="B168" i="388" s="1"/>
  <c r="B169" i="388" s="1"/>
  <c r="B170" i="388" s="1"/>
  <c r="B171" i="388" s="1"/>
  <c r="B172" i="388" s="1"/>
  <c r="B173" i="388" s="1"/>
  <c r="B174" i="388" s="1"/>
  <c r="B175" i="388" s="1"/>
  <c r="C20" i="129"/>
  <c r="D42" i="216" l="1"/>
  <c r="D43" i="216" s="1"/>
  <c r="F33" i="216"/>
  <c r="E33" i="216"/>
  <c r="D33" i="216"/>
  <c r="F28" i="216"/>
  <c r="F37" i="216" s="1"/>
  <c r="E28" i="216"/>
  <c r="E37" i="216" s="1"/>
  <c r="D28" i="216"/>
  <c r="D37" i="216" s="1"/>
  <c r="F16" i="216"/>
  <c r="F36" i="216" s="1"/>
  <c r="E16" i="216"/>
  <c r="E36" i="216" s="1"/>
  <c r="D16" i="216"/>
  <c r="D36" i="216" s="1"/>
  <c r="F12" i="216"/>
  <c r="E12" i="216"/>
  <c r="D12" i="216"/>
  <c r="D38" i="214"/>
  <c r="D39" i="214" s="1"/>
  <c r="F30" i="214"/>
  <c r="E30" i="214"/>
  <c r="D30" i="214"/>
  <c r="F25" i="214"/>
  <c r="F33" i="214" s="1"/>
  <c r="E25" i="214"/>
  <c r="E33" i="214" s="1"/>
  <c r="D25" i="214"/>
  <c r="D33" i="214" s="1"/>
  <c r="F16" i="214"/>
  <c r="F32" i="214" s="1"/>
  <c r="E16" i="214"/>
  <c r="E32" i="214" s="1"/>
  <c r="D16" i="214"/>
  <c r="D32" i="214" s="1"/>
  <c r="F12" i="214"/>
  <c r="F31" i="214" s="1"/>
  <c r="E12" i="214"/>
  <c r="E31" i="214" s="1"/>
  <c r="D12" i="214"/>
  <c r="E52" i="210"/>
  <c r="D52" i="210"/>
  <c r="G13" i="89" s="1"/>
  <c r="E48" i="210"/>
  <c r="E44" i="210"/>
  <c r="E40" i="210"/>
  <c r="D40" i="210"/>
  <c r="D36" i="210"/>
  <c r="D32" i="210"/>
  <c r="E28" i="210"/>
  <c r="D28" i="210"/>
  <c r="E24" i="210"/>
  <c r="D24" i="210"/>
  <c r="E20" i="210"/>
  <c r="D20" i="210"/>
  <c r="E16" i="210"/>
  <c r="D16" i="210"/>
  <c r="E12" i="210"/>
  <c r="D12" i="210"/>
  <c r="E7" i="210"/>
  <c r="D7" i="210"/>
  <c r="O6" i="124"/>
  <c r="H16" i="123"/>
  <c r="G16" i="123"/>
  <c r="B8" i="123"/>
  <c r="B7" i="123"/>
  <c r="B6" i="123"/>
  <c r="E31" i="122"/>
  <c r="C31" i="122"/>
  <c r="D31" i="122" s="1"/>
  <c r="E17" i="122"/>
  <c r="E12" i="122"/>
  <c r="D12" i="122"/>
  <c r="E11" i="122"/>
  <c r="D11" i="122"/>
  <c r="E8" i="122"/>
  <c r="E7" i="122"/>
  <c r="D33" i="121"/>
  <c r="E31" i="121"/>
  <c r="C31" i="121"/>
  <c r="D31" i="121" s="1"/>
  <c r="F21" i="121"/>
  <c r="E17" i="121"/>
  <c r="E12" i="121"/>
  <c r="D12" i="121"/>
  <c r="E11" i="121"/>
  <c r="D11" i="121"/>
  <c r="E8" i="121"/>
  <c r="E7" i="121"/>
  <c r="E30" i="120"/>
  <c r="C30" i="120"/>
  <c r="D30" i="120" s="1"/>
  <c r="F20" i="120"/>
  <c r="E17" i="120"/>
  <c r="E12" i="120"/>
  <c r="E11" i="120"/>
  <c r="E8" i="120"/>
  <c r="E7" i="120"/>
  <c r="B8" i="290"/>
  <c r="B9" i="290" s="1"/>
  <c r="B10" i="290" s="1"/>
  <c r="B11" i="290" s="1"/>
  <c r="C3" i="290"/>
  <c r="B7" i="291"/>
  <c r="B8" i="291" s="1"/>
  <c r="B9" i="291" s="1"/>
  <c r="B10" i="291" s="1"/>
  <c r="C2" i="289"/>
  <c r="B6" i="289"/>
  <c r="B7" i="289" s="1"/>
  <c r="B8" i="289" s="1"/>
  <c r="B9" i="289" s="1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68" i="2"/>
  <c r="G67" i="2"/>
  <c r="G66" i="2"/>
  <c r="G65" i="2"/>
  <c r="G64" i="2"/>
  <c r="G63" i="2"/>
  <c r="G62" i="2"/>
  <c r="G61" i="2"/>
  <c r="F61" i="2"/>
  <c r="E61" i="2"/>
  <c r="D61" i="2"/>
  <c r="G60" i="2"/>
  <c r="G59" i="2"/>
  <c r="G58" i="2"/>
  <c r="G55" i="2"/>
  <c r="G54" i="2"/>
  <c r="G52" i="2"/>
  <c r="G51" i="2"/>
  <c r="G50" i="2"/>
  <c r="G49" i="2"/>
  <c r="G48" i="2"/>
  <c r="G47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4" i="2"/>
  <c r="G13" i="2"/>
  <c r="G12" i="2"/>
  <c r="G11" i="2"/>
  <c r="G10" i="2"/>
  <c r="G9" i="2"/>
  <c r="G8" i="2"/>
  <c r="P7" i="2"/>
  <c r="O7" i="2"/>
  <c r="N7" i="2"/>
  <c r="M7" i="2"/>
  <c r="G7" i="2"/>
  <c r="B7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G6" i="2"/>
  <c r="L7" i="2" s="1"/>
  <c r="C3" i="2"/>
  <c r="G12" i="306"/>
  <c r="F11" i="306"/>
  <c r="G12" i="304"/>
  <c r="F11" i="304"/>
  <c r="G12" i="302"/>
  <c r="F11" i="302"/>
  <c r="G12" i="300"/>
  <c r="F11" i="300"/>
  <c r="G12" i="298"/>
  <c r="F11" i="298"/>
  <c r="G12" i="296"/>
  <c r="F11" i="296"/>
  <c r="G12" i="294"/>
  <c r="F11" i="294"/>
  <c r="G12" i="72"/>
  <c r="F11" i="72"/>
  <c r="G12" i="105"/>
  <c r="F11" i="105"/>
  <c r="J21" i="45"/>
  <c r="G12" i="45"/>
  <c r="F11" i="45"/>
  <c r="G12" i="74"/>
  <c r="F11" i="74"/>
  <c r="G12" i="62"/>
  <c r="F11" i="62"/>
  <c r="G12" i="102"/>
  <c r="F11" i="102"/>
  <c r="G12" i="106"/>
  <c r="F11" i="106"/>
  <c r="G12" i="36"/>
  <c r="F11" i="36"/>
  <c r="G12" i="104"/>
  <c r="F11" i="104"/>
  <c r="G12" i="103"/>
  <c r="F11" i="103"/>
  <c r="G10" i="103"/>
  <c r="G12" i="69"/>
  <c r="F11" i="69"/>
  <c r="G12" i="48"/>
  <c r="F11" i="48"/>
  <c r="G12" i="68"/>
  <c r="F11" i="68"/>
  <c r="G12" i="385"/>
  <c r="F11" i="385"/>
  <c r="G12" i="44"/>
  <c r="F11" i="44"/>
  <c r="C27" i="10"/>
  <c r="C29" i="10" s="1"/>
  <c r="G12" i="10"/>
  <c r="G12" i="381"/>
  <c r="F11" i="381"/>
  <c r="G12" i="379"/>
  <c r="F11" i="379"/>
  <c r="G12" i="377"/>
  <c r="F11" i="377"/>
  <c r="G12" i="374"/>
  <c r="F11" i="374"/>
  <c r="G12" i="372"/>
  <c r="F11" i="372"/>
  <c r="G12" i="370"/>
  <c r="F11" i="370"/>
  <c r="G12" i="368"/>
  <c r="F11" i="368"/>
  <c r="G12" i="366"/>
  <c r="F11" i="366"/>
  <c r="G12" i="364"/>
  <c r="F11" i="364"/>
  <c r="G12" i="362"/>
  <c r="F11" i="362"/>
  <c r="G12" i="360"/>
  <c r="F11" i="360"/>
  <c r="G12" i="358"/>
  <c r="F11" i="358"/>
  <c r="G12" i="356"/>
  <c r="F11" i="356"/>
  <c r="G12" i="354"/>
  <c r="F11" i="354"/>
  <c r="G12" i="352"/>
  <c r="F11" i="352"/>
  <c r="G12" i="350"/>
  <c r="F11" i="350"/>
  <c r="G12" i="348"/>
  <c r="F11" i="348"/>
  <c r="G12" i="346"/>
  <c r="F11" i="346"/>
  <c r="G12" i="344"/>
  <c r="F11" i="344"/>
  <c r="G12" i="342"/>
  <c r="F11" i="342"/>
  <c r="G12" i="340"/>
  <c r="F11" i="340"/>
  <c r="G12" i="338"/>
  <c r="F11" i="338"/>
  <c r="G12" i="336"/>
  <c r="F11" i="336"/>
  <c r="G12" i="334"/>
  <c r="F11" i="334"/>
  <c r="G12" i="332"/>
  <c r="F11" i="332"/>
  <c r="G12" i="330"/>
  <c r="F11" i="330"/>
  <c r="G12" i="328"/>
  <c r="F11" i="328"/>
  <c r="G12" i="326"/>
  <c r="F11" i="326"/>
  <c r="G12" i="324"/>
  <c r="F11" i="324"/>
  <c r="G12" i="322"/>
  <c r="F11" i="322"/>
  <c r="G12" i="320"/>
  <c r="F11" i="320"/>
  <c r="G12" i="318"/>
  <c r="F11" i="318"/>
  <c r="G12" i="316"/>
  <c r="F11" i="316"/>
  <c r="G12" i="42"/>
  <c r="F11" i="42"/>
  <c r="G12" i="82"/>
  <c r="F11" i="82"/>
  <c r="G12" i="101"/>
  <c r="F11" i="101"/>
  <c r="G12" i="280"/>
  <c r="F11" i="280"/>
  <c r="G12" i="278"/>
  <c r="F11" i="278"/>
  <c r="G12" i="276"/>
  <c r="F11" i="276"/>
  <c r="G12" i="274"/>
  <c r="F11" i="274"/>
  <c r="G12" i="272"/>
  <c r="F11" i="272"/>
  <c r="G12" i="269"/>
  <c r="F11" i="269"/>
  <c r="G12" i="267"/>
  <c r="F11" i="267"/>
  <c r="G12" i="265"/>
  <c r="F11" i="265"/>
  <c r="G12" i="263"/>
  <c r="F11" i="263"/>
  <c r="G12" i="261"/>
  <c r="F11" i="261"/>
  <c r="G12" i="259"/>
  <c r="F11" i="259"/>
  <c r="G12" i="257"/>
  <c r="F11" i="257"/>
  <c r="G12" i="255"/>
  <c r="F11" i="255"/>
  <c r="G12" i="253"/>
  <c r="F11" i="253"/>
  <c r="G12" i="251"/>
  <c r="F11" i="251"/>
  <c r="G12" i="285"/>
  <c r="F11" i="285"/>
  <c r="G12" i="248"/>
  <c r="F11" i="248"/>
  <c r="G12" i="247"/>
  <c r="F11" i="247"/>
  <c r="G12" i="245"/>
  <c r="F11" i="245"/>
  <c r="G12" i="243"/>
  <c r="F11" i="243"/>
  <c r="G12" i="241"/>
  <c r="F11" i="241"/>
  <c r="G12" i="239"/>
  <c r="F11" i="239"/>
  <c r="G12" i="237"/>
  <c r="F11" i="237"/>
  <c r="G12" i="235"/>
  <c r="F11" i="235"/>
  <c r="G12" i="34"/>
  <c r="F11" i="34"/>
  <c r="G12" i="73"/>
  <c r="F11" i="73"/>
  <c r="G12" i="43"/>
  <c r="F11" i="43"/>
  <c r="G12" i="59"/>
  <c r="F11" i="59"/>
  <c r="G12" i="314"/>
  <c r="F11" i="314"/>
  <c r="G12" i="312"/>
  <c r="F11" i="312"/>
  <c r="G12" i="383"/>
  <c r="F11" i="383"/>
  <c r="G12" i="310"/>
  <c r="F11" i="310"/>
  <c r="C27" i="16"/>
  <c r="C29" i="16" s="1"/>
  <c r="G12" i="16"/>
  <c r="G10" i="259"/>
  <c r="G5" i="16"/>
  <c r="G12" i="63"/>
  <c r="H8" i="63"/>
  <c r="G12" i="98"/>
  <c r="H8" i="98"/>
  <c r="G12" i="100"/>
  <c r="H8" i="100"/>
  <c r="G12" i="75"/>
  <c r="F11" i="75"/>
  <c r="H8" i="75"/>
  <c r="G12" i="97"/>
  <c r="F11" i="97"/>
  <c r="H8" i="97"/>
  <c r="G12" i="135"/>
  <c r="F11" i="135"/>
  <c r="H8" i="135"/>
  <c r="G12" i="96"/>
  <c r="F11" i="96"/>
  <c r="H8" i="96"/>
  <c r="G12" i="95"/>
  <c r="F11" i="95"/>
  <c r="H8" i="95"/>
  <c r="G12" i="41"/>
  <c r="H8" i="41"/>
  <c r="G12" i="232"/>
  <c r="H8" i="232"/>
  <c r="G12" i="234"/>
  <c r="H8" i="234"/>
  <c r="G12" i="32"/>
  <c r="H8" i="32"/>
  <c r="C27" i="18"/>
  <c r="C29" i="18" s="1"/>
  <c r="G12" i="18"/>
  <c r="G10" i="95"/>
  <c r="I8" i="18"/>
  <c r="G12" i="308"/>
  <c r="H8" i="308"/>
  <c r="C4" i="308"/>
  <c r="G12" i="51"/>
  <c r="H8" i="51"/>
  <c r="C4" i="51"/>
  <c r="G12" i="50"/>
  <c r="H8" i="50"/>
  <c r="C4" i="50"/>
  <c r="G12" i="230"/>
  <c r="H8" i="230"/>
  <c r="C4" i="230"/>
  <c r="G12" i="228"/>
  <c r="H8" i="228"/>
  <c r="C4" i="228"/>
  <c r="G12" i="226"/>
  <c r="H8" i="226"/>
  <c r="C4" i="226"/>
  <c r="G12" i="224"/>
  <c r="H8" i="224"/>
  <c r="C4" i="224"/>
  <c r="G12" i="222"/>
  <c r="H8" i="222"/>
  <c r="C4" i="222"/>
  <c r="G12" i="217"/>
  <c r="H8" i="217"/>
  <c r="C4" i="217"/>
  <c r="G12" i="93"/>
  <c r="H8" i="93"/>
  <c r="C4" i="93"/>
  <c r="G12" i="47"/>
  <c r="H8" i="47"/>
  <c r="C4" i="47"/>
  <c r="G12" i="39"/>
  <c r="H8" i="39"/>
  <c r="C4" i="39"/>
  <c r="G12" i="83"/>
  <c r="H8" i="83"/>
  <c r="C4" i="83"/>
  <c r="G12" i="53"/>
  <c r="H8" i="53"/>
  <c r="C4" i="53"/>
  <c r="G12" i="29"/>
  <c r="H8" i="29"/>
  <c r="C4" i="29"/>
  <c r="G12" i="91"/>
  <c r="H8" i="91"/>
  <c r="C4" i="91"/>
  <c r="G12" i="92"/>
  <c r="H8" i="92"/>
  <c r="C4" i="92"/>
  <c r="G12" i="77"/>
  <c r="H8" i="77"/>
  <c r="C4" i="77"/>
  <c r="G12" i="52"/>
  <c r="H8" i="52"/>
  <c r="C4" i="52"/>
  <c r="G12" i="81"/>
  <c r="H8" i="81"/>
  <c r="C4" i="81"/>
  <c r="G12" i="55"/>
  <c r="H8" i="55"/>
  <c r="C4" i="55"/>
  <c r="G12" i="38"/>
  <c r="H8" i="38"/>
  <c r="C4" i="38"/>
  <c r="G12" i="66"/>
  <c r="H8" i="66"/>
  <c r="C4" i="66"/>
  <c r="G12" i="89"/>
  <c r="H8" i="89"/>
  <c r="C4" i="89"/>
  <c r="G12" i="88"/>
  <c r="H8" i="88"/>
  <c r="C4" i="88"/>
  <c r="G12" i="87"/>
  <c r="H8" i="87"/>
  <c r="C4" i="87"/>
  <c r="G12" i="80"/>
  <c r="H8" i="80"/>
  <c r="C4" i="80"/>
  <c r="G12" i="54"/>
  <c r="H8" i="54"/>
  <c r="C4" i="54"/>
  <c r="G12" i="57"/>
  <c r="H8" i="57"/>
  <c r="C4" i="57"/>
  <c r="G12" i="61"/>
  <c r="H8" i="61"/>
  <c r="C4" i="61"/>
  <c r="G12" i="86"/>
  <c r="H8" i="86"/>
  <c r="C4" i="86"/>
  <c r="G12" i="56"/>
  <c r="H8" i="56"/>
  <c r="C4" i="56"/>
  <c r="G12" i="71"/>
  <c r="H8" i="71"/>
  <c r="C4" i="71"/>
  <c r="G36" i="182"/>
  <c r="E36" i="182"/>
  <c r="C36" i="182"/>
  <c r="B31" i="19"/>
  <c r="C29" i="19"/>
  <c r="L28" i="19"/>
  <c r="C27" i="19"/>
  <c r="L24" i="19"/>
  <c r="F21" i="92"/>
  <c r="E21" i="56"/>
  <c r="D21" i="88"/>
  <c r="L20" i="19"/>
  <c r="F17" i="54"/>
  <c r="E17" i="54"/>
  <c r="D17" i="54"/>
  <c r="L16" i="19"/>
  <c r="L12" i="19"/>
  <c r="G12" i="19"/>
  <c r="G10" i="38"/>
  <c r="M7" i="19"/>
  <c r="L7" i="19"/>
  <c r="C4" i="41"/>
  <c r="G12" i="211"/>
  <c r="G11" i="211"/>
  <c r="F9" i="211"/>
  <c r="E9" i="211"/>
  <c r="D9" i="211"/>
  <c r="G12" i="40"/>
  <c r="G11" i="40"/>
  <c r="F9" i="40"/>
  <c r="E9" i="40"/>
  <c r="D9" i="40"/>
  <c r="G12" i="49"/>
  <c r="G11" i="49"/>
  <c r="F9" i="49"/>
  <c r="E9" i="49"/>
  <c r="D9" i="49"/>
  <c r="G11" i="37"/>
  <c r="F11" i="37" s="1"/>
  <c r="F9" i="37"/>
  <c r="E9" i="37"/>
  <c r="D9" i="37"/>
  <c r="G11" i="27"/>
  <c r="E11" i="27" s="1"/>
  <c r="F9" i="27"/>
  <c r="E9" i="27"/>
  <c r="D9" i="27"/>
  <c r="G11" i="65"/>
  <c r="F11" i="65" s="1"/>
  <c r="F9" i="65"/>
  <c r="E9" i="65"/>
  <c r="D9" i="65"/>
  <c r="G11" i="85"/>
  <c r="F11" i="85" s="1"/>
  <c r="F9" i="85"/>
  <c r="E9" i="85"/>
  <c r="D9" i="85"/>
  <c r="G36" i="139"/>
  <c r="E36" i="139"/>
  <c r="C36" i="139"/>
  <c r="G18" i="139"/>
  <c r="E18" i="139"/>
  <c r="C18" i="139"/>
  <c r="G17" i="139"/>
  <c r="E17" i="139"/>
  <c r="C17" i="139"/>
  <c r="G16" i="139"/>
  <c r="E15" i="139"/>
  <c r="C15" i="139"/>
  <c r="E12" i="139"/>
  <c r="B4" i="139"/>
  <c r="G11" i="70"/>
  <c r="F9" i="70"/>
  <c r="E9" i="70"/>
  <c r="D9" i="70"/>
  <c r="G11" i="64"/>
  <c r="F11" i="64" s="1"/>
  <c r="F9" i="64"/>
  <c r="E9" i="64"/>
  <c r="D9" i="64"/>
  <c r="C4" i="64"/>
  <c r="C4" i="70" s="1"/>
  <c r="D55" i="137"/>
  <c r="G36" i="137"/>
  <c r="E36" i="137"/>
  <c r="C36" i="137"/>
  <c r="G18" i="137"/>
  <c r="E18" i="137"/>
  <c r="C18" i="137"/>
  <c r="G17" i="137"/>
  <c r="E17" i="137"/>
  <c r="C17" i="137"/>
  <c r="G16" i="137"/>
  <c r="E15" i="137"/>
  <c r="C15" i="137"/>
  <c r="G12" i="137"/>
  <c r="E12" i="137"/>
  <c r="B60" i="137"/>
  <c r="C28" i="17"/>
  <c r="C29" i="17" s="1"/>
  <c r="E28" i="137"/>
  <c r="G12" i="17"/>
  <c r="G11" i="17"/>
  <c r="F9" i="17"/>
  <c r="E9" i="17"/>
  <c r="D9" i="17"/>
  <c r="E35" i="293"/>
  <c r="F34" i="293"/>
  <c r="E34" i="293"/>
  <c r="D34" i="293"/>
  <c r="F29" i="293"/>
  <c r="F37" i="293" s="1"/>
  <c r="E29" i="293"/>
  <c r="D29" i="293"/>
  <c r="D37" i="293" s="1"/>
  <c r="L28" i="293"/>
  <c r="L25" i="293"/>
  <c r="L24" i="293"/>
  <c r="L23" i="293"/>
  <c r="L22" i="293"/>
  <c r="L21" i="293"/>
  <c r="L20" i="293"/>
  <c r="F17" i="293"/>
  <c r="F36" i="293" s="1"/>
  <c r="E17" i="293"/>
  <c r="E36" i="293" s="1"/>
  <c r="D17" i="293"/>
  <c r="D36" i="293" s="1"/>
  <c r="F35" i="293"/>
  <c r="D12" i="293"/>
  <c r="E72" i="130"/>
  <c r="E71" i="130"/>
  <c r="E70" i="130"/>
  <c r="E68" i="130"/>
  <c r="E67" i="130"/>
  <c r="E66" i="130"/>
  <c r="E65" i="130"/>
  <c r="E64" i="130"/>
  <c r="E53" i="130"/>
  <c r="E52" i="130"/>
  <c r="D71" i="129"/>
  <c r="D70" i="129"/>
  <c r="D69" i="129"/>
  <c r="D67" i="129"/>
  <c r="D66" i="129"/>
  <c r="D65" i="129"/>
  <c r="D64" i="129"/>
  <c r="D63" i="129"/>
  <c r="D53" i="129"/>
  <c r="D52" i="129"/>
  <c r="D34" i="129"/>
  <c r="D25" i="129"/>
  <c r="K11" i="23"/>
  <c r="M11" i="23" s="1"/>
  <c r="K10" i="23"/>
  <c r="M10" i="23" s="1"/>
  <c r="K9" i="23"/>
  <c r="M9" i="23" s="1"/>
  <c r="G4" i="23"/>
  <c r="D123" i="11"/>
  <c r="K122" i="11"/>
  <c r="L122" i="11" s="1"/>
  <c r="K121" i="11"/>
  <c r="L121" i="11" s="1"/>
  <c r="B121" i="11"/>
  <c r="D117" i="11"/>
  <c r="K115" i="11"/>
  <c r="L115" i="11" s="1"/>
  <c r="L117" i="11" s="1"/>
  <c r="D50" i="11"/>
  <c r="D65" i="11" s="1"/>
  <c r="M66" i="11" s="1"/>
  <c r="B43" i="11"/>
  <c r="B79" i="11" s="1"/>
  <c r="B107" i="11" s="1"/>
  <c r="K10" i="133"/>
  <c r="S10" i="133" s="1"/>
  <c r="V11" i="133" s="1"/>
  <c r="J10" i="133"/>
  <c r="R10" i="133" s="1"/>
  <c r="V10" i="133" s="1"/>
  <c r="C50" i="11"/>
  <c r="B50" i="11"/>
  <c r="B49" i="11"/>
  <c r="B85" i="11" s="1"/>
  <c r="B114" i="11" s="1"/>
  <c r="S10" i="20"/>
  <c r="V11" i="20" s="1"/>
  <c r="C9" i="11"/>
  <c r="B9" i="11"/>
  <c r="D28" i="129" l="1"/>
  <c r="J34" i="129"/>
  <c r="N67" i="11"/>
  <c r="S16" i="133"/>
  <c r="E23" i="132"/>
  <c r="E25" i="132" s="1"/>
  <c r="S16" i="20"/>
  <c r="D32" i="129"/>
  <c r="E33" i="130"/>
  <c r="H8" i="455"/>
  <c r="H8" i="477"/>
  <c r="H8" i="475"/>
  <c r="H8" i="473"/>
  <c r="H8" i="461"/>
  <c r="H8" i="469"/>
  <c r="H8" i="463"/>
  <c r="H8" i="471"/>
  <c r="H8" i="467"/>
  <c r="H8" i="459"/>
  <c r="H8" i="465"/>
  <c r="H8" i="34"/>
  <c r="H8" i="457"/>
  <c r="E24" i="389"/>
  <c r="E24" i="405"/>
  <c r="E24" i="397"/>
  <c r="E24" i="400"/>
  <c r="E24" i="404"/>
  <c r="E24" i="393"/>
  <c r="E24" i="391"/>
  <c r="E24" i="395"/>
  <c r="E24" i="402"/>
  <c r="G24" i="405"/>
  <c r="G24" i="397"/>
  <c r="G24" i="395"/>
  <c r="G24" i="400"/>
  <c r="G24" i="404"/>
  <c r="G24" i="393"/>
  <c r="G24" i="391"/>
  <c r="G24" i="402"/>
  <c r="G24" i="389"/>
  <c r="C24" i="389"/>
  <c r="C24" i="405"/>
  <c r="C24" i="400"/>
  <c r="C24" i="395"/>
  <c r="C24" i="404"/>
  <c r="C24" i="393"/>
  <c r="C24" i="402"/>
  <c r="C24" i="397"/>
  <c r="C24" i="391"/>
  <c r="D54" i="129"/>
  <c r="D55" i="129" s="1"/>
  <c r="E14" i="132"/>
  <c r="F14" i="132"/>
  <c r="D14" i="132"/>
  <c r="F21" i="40"/>
  <c r="E17" i="37"/>
  <c r="E28" i="212"/>
  <c r="E28" i="145"/>
  <c r="E28" i="142"/>
  <c r="E28" i="146"/>
  <c r="E28" i="144"/>
  <c r="E28" i="138"/>
  <c r="M8" i="19"/>
  <c r="D17" i="269"/>
  <c r="C28" i="382"/>
  <c r="C28" i="353"/>
  <c r="C28" i="347"/>
  <c r="C28" i="341"/>
  <c r="C28" i="335"/>
  <c r="C28" i="327"/>
  <c r="C28" i="319"/>
  <c r="C28" i="167"/>
  <c r="C28" i="262"/>
  <c r="C28" i="238"/>
  <c r="C28" i="165"/>
  <c r="C28" i="315"/>
  <c r="C28" i="376"/>
  <c r="C28" i="369"/>
  <c r="C28" i="361"/>
  <c r="C28" i="256"/>
  <c r="C28" i="250"/>
  <c r="C28" i="246"/>
  <c r="C28" i="333"/>
  <c r="C28" i="249"/>
  <c r="C28" i="355"/>
  <c r="C28" i="343"/>
  <c r="C28" i="329"/>
  <c r="C28" i="321"/>
  <c r="C28" i="168"/>
  <c r="C28" i="277"/>
  <c r="C28" i="271"/>
  <c r="C28" i="166"/>
  <c r="C28" i="384"/>
  <c r="C28" i="162"/>
  <c r="C28" i="254"/>
  <c r="C28" i="378"/>
  <c r="C28" i="371"/>
  <c r="C28" i="363"/>
  <c r="C28" i="349"/>
  <c r="C28" i="337"/>
  <c r="C28" i="264"/>
  <c r="C28" i="258"/>
  <c r="C28" i="252"/>
  <c r="C28" i="284"/>
  <c r="C28" i="240"/>
  <c r="C28" i="163"/>
  <c r="C28" i="331"/>
  <c r="C28" i="323"/>
  <c r="C28" i="169"/>
  <c r="C28" i="279"/>
  <c r="C28" i="351"/>
  <c r="C28" i="317"/>
  <c r="C28" i="380"/>
  <c r="C28" i="365"/>
  <c r="C28" i="357"/>
  <c r="C28" i="345"/>
  <c r="C28" i="339"/>
  <c r="C28" i="273"/>
  <c r="C28" i="266"/>
  <c r="C28" i="260"/>
  <c r="C28" i="242"/>
  <c r="C28" i="236"/>
  <c r="C28" i="313"/>
  <c r="C28" i="373"/>
  <c r="C28" i="325"/>
  <c r="C28" i="282"/>
  <c r="C28" i="164"/>
  <c r="C28" i="367"/>
  <c r="C28" i="359"/>
  <c r="C28" i="275"/>
  <c r="C28" i="268"/>
  <c r="C28" i="244"/>
  <c r="C28" i="311"/>
  <c r="E17" i="105"/>
  <c r="E28" i="301"/>
  <c r="E28" i="156"/>
  <c r="E28" i="148"/>
  <c r="E28" i="147"/>
  <c r="E28" i="150"/>
  <c r="E28" i="154"/>
  <c r="E28" i="297"/>
  <c r="E28" i="161"/>
  <c r="E28" i="152"/>
  <c r="E28" i="386"/>
  <c r="E28" i="149"/>
  <c r="E28" i="307"/>
  <c r="E28" i="303"/>
  <c r="E28" i="159"/>
  <c r="E28" i="157"/>
  <c r="E28" i="160"/>
  <c r="E28" i="158"/>
  <c r="E28" i="299"/>
  <c r="E28" i="155"/>
  <c r="E28" i="153"/>
  <c r="E28" i="295"/>
  <c r="E28" i="305"/>
  <c r="E28" i="151"/>
  <c r="F17" i="211"/>
  <c r="G28" i="146"/>
  <c r="G28" i="144"/>
  <c r="G28" i="138"/>
  <c r="G28" i="212"/>
  <c r="G28" i="145"/>
  <c r="G28" i="142"/>
  <c r="D21" i="211"/>
  <c r="D17" i="97"/>
  <c r="C28" i="177"/>
  <c r="C28" i="174"/>
  <c r="C28" i="233"/>
  <c r="C28" i="176"/>
  <c r="C28" i="221"/>
  <c r="C28" i="181"/>
  <c r="C28" i="173"/>
  <c r="C28" i="175"/>
  <c r="C28" i="179"/>
  <c r="C28" i="172"/>
  <c r="C28" i="171"/>
  <c r="C28" i="180"/>
  <c r="C28" i="170"/>
  <c r="F17" i="251"/>
  <c r="G28" i="355"/>
  <c r="G28" i="343"/>
  <c r="G28" i="329"/>
  <c r="G28" i="321"/>
  <c r="G28" i="168"/>
  <c r="G28" i="277"/>
  <c r="G28" i="271"/>
  <c r="G28" i="166"/>
  <c r="G28" i="384"/>
  <c r="G28" i="162"/>
  <c r="G28" i="378"/>
  <c r="G28" i="371"/>
  <c r="G28" i="363"/>
  <c r="G28" i="349"/>
  <c r="G28" i="337"/>
  <c r="G28" i="264"/>
  <c r="G28" i="258"/>
  <c r="G28" i="252"/>
  <c r="G28" i="284"/>
  <c r="G28" i="240"/>
  <c r="G28" i="163"/>
  <c r="G28" i="262"/>
  <c r="G28" i="315"/>
  <c r="G28" i="331"/>
  <c r="G28" i="323"/>
  <c r="G28" i="169"/>
  <c r="G28" i="279"/>
  <c r="G28" i="347"/>
  <c r="G28" i="238"/>
  <c r="G28" i="380"/>
  <c r="G28" i="365"/>
  <c r="G28" i="357"/>
  <c r="G28" i="345"/>
  <c r="G28" i="339"/>
  <c r="G28" i="273"/>
  <c r="G28" i="266"/>
  <c r="G28" i="260"/>
  <c r="G28" i="242"/>
  <c r="G28" i="236"/>
  <c r="G28" i="313"/>
  <c r="G28" i="373"/>
  <c r="G28" i="351"/>
  <c r="G28" i="333"/>
  <c r="G28" i="325"/>
  <c r="G28" i="317"/>
  <c r="G28" i="282"/>
  <c r="G28" i="254"/>
  <c r="G28" i="249"/>
  <c r="G28" i="164"/>
  <c r="G28" i="319"/>
  <c r="G28" i="165"/>
  <c r="G28" i="367"/>
  <c r="G28" i="359"/>
  <c r="G28" i="275"/>
  <c r="G28" i="268"/>
  <c r="G28" i="244"/>
  <c r="G28" i="311"/>
  <c r="G28" i="341"/>
  <c r="G28" i="376"/>
  <c r="G28" i="369"/>
  <c r="G28" i="361"/>
  <c r="G28" i="256"/>
  <c r="G28" i="250"/>
  <c r="G28" i="246"/>
  <c r="G28" i="382"/>
  <c r="G28" i="353"/>
  <c r="G28" i="335"/>
  <c r="G28" i="327"/>
  <c r="G28" i="167"/>
  <c r="E8" i="210"/>
  <c r="E17" i="257"/>
  <c r="E28" i="376"/>
  <c r="E28" i="369"/>
  <c r="E28" i="361"/>
  <c r="E28" i="256"/>
  <c r="E28" i="250"/>
  <c r="E28" i="246"/>
  <c r="E28" i="275"/>
  <c r="E28" i="244"/>
  <c r="E28" i="355"/>
  <c r="E28" i="343"/>
  <c r="E28" i="329"/>
  <c r="E28" i="321"/>
  <c r="E28" i="168"/>
  <c r="E28" i="277"/>
  <c r="E28" i="271"/>
  <c r="E28" i="166"/>
  <c r="E28" i="384"/>
  <c r="E28" i="162"/>
  <c r="E28" i="359"/>
  <c r="E28" i="378"/>
  <c r="E28" i="371"/>
  <c r="E28" i="363"/>
  <c r="E28" i="349"/>
  <c r="E28" i="337"/>
  <c r="E28" i="264"/>
  <c r="E28" i="258"/>
  <c r="E28" i="252"/>
  <c r="E28" i="284"/>
  <c r="E28" i="240"/>
  <c r="E28" i="163"/>
  <c r="E28" i="331"/>
  <c r="E28" i="323"/>
  <c r="E28" i="169"/>
  <c r="E28" i="279"/>
  <c r="E28" i="380"/>
  <c r="E28" i="365"/>
  <c r="E28" i="357"/>
  <c r="E28" i="345"/>
  <c r="E28" i="339"/>
  <c r="E28" i="273"/>
  <c r="E28" i="266"/>
  <c r="E28" i="260"/>
  <c r="E28" i="242"/>
  <c r="E28" i="236"/>
  <c r="E28" i="313"/>
  <c r="E28" i="311"/>
  <c r="E28" i="373"/>
  <c r="E28" i="351"/>
  <c r="E28" i="333"/>
  <c r="E28" i="325"/>
  <c r="E28" i="317"/>
  <c r="E28" i="282"/>
  <c r="E28" i="254"/>
  <c r="E28" i="249"/>
  <c r="E28" i="164"/>
  <c r="E28" i="367"/>
  <c r="E28" i="268"/>
  <c r="E28" i="382"/>
  <c r="E28" i="353"/>
  <c r="E28" i="347"/>
  <c r="E28" i="341"/>
  <c r="E28" i="335"/>
  <c r="E28" i="327"/>
  <c r="E28" i="319"/>
  <c r="E28" i="167"/>
  <c r="E28" i="262"/>
  <c r="E28" i="238"/>
  <c r="E28" i="165"/>
  <c r="E28" i="315"/>
  <c r="G28" i="154"/>
  <c r="G28" i="147"/>
  <c r="G28" i="297"/>
  <c r="G28" i="161"/>
  <c r="G28" i="152"/>
  <c r="G28" i="157"/>
  <c r="G28" i="307"/>
  <c r="G28" i="303"/>
  <c r="G28" i="159"/>
  <c r="G28" i="150"/>
  <c r="G28" i="386"/>
  <c r="G28" i="148"/>
  <c r="G28" i="299"/>
  <c r="G28" i="155"/>
  <c r="G28" i="153"/>
  <c r="G28" i="301"/>
  <c r="G28" i="156"/>
  <c r="G28" i="295"/>
  <c r="G28" i="305"/>
  <c r="G28" i="160"/>
  <c r="G28" i="158"/>
  <c r="G28" i="151"/>
  <c r="G28" i="149"/>
  <c r="C24" i="137"/>
  <c r="C24" i="146"/>
  <c r="C24" i="144"/>
  <c r="C24" i="138"/>
  <c r="C24" i="212"/>
  <c r="C24" i="145"/>
  <c r="C24" i="142"/>
  <c r="E24" i="137"/>
  <c r="E24" i="146"/>
  <c r="E24" i="144"/>
  <c r="E24" i="138"/>
  <c r="E24" i="212"/>
  <c r="E24" i="145"/>
  <c r="E24" i="142"/>
  <c r="E21" i="85"/>
  <c r="F11" i="49"/>
  <c r="E17" i="97"/>
  <c r="E28" i="177"/>
  <c r="E28" i="174"/>
  <c r="E28" i="233"/>
  <c r="E28" i="181"/>
  <c r="E28" i="175"/>
  <c r="E28" i="170"/>
  <c r="E28" i="179"/>
  <c r="E28" i="172"/>
  <c r="E28" i="171"/>
  <c r="E28" i="176"/>
  <c r="E28" i="173"/>
  <c r="E28" i="221"/>
  <c r="E28" i="180"/>
  <c r="F17" i="97"/>
  <c r="G28" i="181"/>
  <c r="G28" i="175"/>
  <c r="G28" i="179"/>
  <c r="G28" i="172"/>
  <c r="G28" i="171"/>
  <c r="G28" i="176"/>
  <c r="G28" i="173"/>
  <c r="G28" i="221"/>
  <c r="G28" i="180"/>
  <c r="G28" i="170"/>
  <c r="G28" i="177"/>
  <c r="G28" i="174"/>
  <c r="G28" i="233"/>
  <c r="G24" i="137"/>
  <c r="G24" i="146"/>
  <c r="G24" i="144"/>
  <c r="G24" i="138"/>
  <c r="G24" i="212"/>
  <c r="G24" i="145"/>
  <c r="G24" i="142"/>
  <c r="C24" i="140"/>
  <c r="C24" i="141"/>
  <c r="F11" i="17"/>
  <c r="E24" i="140"/>
  <c r="E24" i="141"/>
  <c r="F17" i="71"/>
  <c r="G24" i="141"/>
  <c r="G24" i="140"/>
  <c r="D17" i="27"/>
  <c r="C28" i="212"/>
  <c r="C28" i="145"/>
  <c r="C28" i="142"/>
  <c r="C28" i="146"/>
  <c r="C28" i="144"/>
  <c r="C28" i="138"/>
  <c r="F17" i="37"/>
  <c r="D17" i="105"/>
  <c r="C28" i="305"/>
  <c r="C28" i="160"/>
  <c r="C28" i="158"/>
  <c r="C28" i="151"/>
  <c r="C28" i="149"/>
  <c r="C28" i="148"/>
  <c r="C28" i="152"/>
  <c r="C28" i="301"/>
  <c r="C28" i="156"/>
  <c r="C28" i="154"/>
  <c r="C28" i="147"/>
  <c r="C28" i="297"/>
  <c r="C28" i="161"/>
  <c r="C28" i="307"/>
  <c r="C28" i="303"/>
  <c r="C28" i="159"/>
  <c r="C28" i="150"/>
  <c r="C28" i="386"/>
  <c r="C28" i="157"/>
  <c r="C28" i="299"/>
  <c r="C28" i="155"/>
  <c r="C28" i="153"/>
  <c r="C28" i="295"/>
  <c r="E28" i="141"/>
  <c r="E28" i="140"/>
  <c r="D42" i="129"/>
  <c r="D46" i="129" s="1"/>
  <c r="N10" i="133"/>
  <c r="P10" i="133" s="1"/>
  <c r="T10" i="133" s="1"/>
  <c r="E33" i="121"/>
  <c r="D17" i="34"/>
  <c r="E21" i="120"/>
  <c r="D11" i="17"/>
  <c r="D11" i="64"/>
  <c r="D11" i="211"/>
  <c r="D26" i="214"/>
  <c r="D29" i="216"/>
  <c r="D17" i="49"/>
  <c r="G10" i="73"/>
  <c r="F9" i="73" s="1"/>
  <c r="E22" i="121"/>
  <c r="E26" i="214"/>
  <c r="E29" i="216"/>
  <c r="F34" i="214"/>
  <c r="F26" i="214"/>
  <c r="E15" i="132"/>
  <c r="F11" i="27"/>
  <c r="D17" i="57"/>
  <c r="D11" i="85"/>
  <c r="E11" i="65"/>
  <c r="D9" i="16"/>
  <c r="H5" i="16" s="1"/>
  <c r="G10" i="68"/>
  <c r="F9" i="68" s="1"/>
  <c r="L29" i="293"/>
  <c r="E11" i="85"/>
  <c r="F11" i="211"/>
  <c r="E9" i="16"/>
  <c r="E11" i="64"/>
  <c r="D11" i="65"/>
  <c r="G13" i="38"/>
  <c r="G13" i="234"/>
  <c r="D17" i="237"/>
  <c r="G10" i="36"/>
  <c r="D9" i="36" s="1"/>
  <c r="D17" i="45"/>
  <c r="F29" i="216"/>
  <c r="F21" i="54"/>
  <c r="D17" i="106"/>
  <c r="D11" i="27"/>
  <c r="E21" i="61"/>
  <c r="D17" i="41"/>
  <c r="G10" i="135"/>
  <c r="E17" i="383"/>
  <c r="G10" i="235"/>
  <c r="E9" i="235" s="1"/>
  <c r="G10" i="385"/>
  <c r="D9" i="385" s="1"/>
  <c r="D17" i="68"/>
  <c r="G10" i="102"/>
  <c r="F9" i="102" s="1"/>
  <c r="L125" i="11"/>
  <c r="D30" i="293"/>
  <c r="F15" i="132"/>
  <c r="F21" i="85"/>
  <c r="D11" i="37"/>
  <c r="G13" i="87"/>
  <c r="E17" i="314"/>
  <c r="D9" i="10"/>
  <c r="G10" i="74"/>
  <c r="D9" i="74" s="1"/>
  <c r="E21" i="122"/>
  <c r="E35" i="216"/>
  <c r="E38" i="216" s="1"/>
  <c r="D17" i="62"/>
  <c r="E11" i="37"/>
  <c r="D11" i="49"/>
  <c r="D17" i="86"/>
  <c r="E17" i="43"/>
  <c r="G13" i="245"/>
  <c r="G10" i="44"/>
  <c r="F9" i="44" s="1"/>
  <c r="D17" i="69"/>
  <c r="H19" i="123"/>
  <c r="E55" i="130"/>
  <c r="E56" i="130" s="1"/>
  <c r="G13" i="56"/>
  <c r="G10" i="54"/>
  <c r="E9" i="54" s="1"/>
  <c r="F17" i="80"/>
  <c r="G10" i="267"/>
  <c r="E9" i="267" s="1"/>
  <c r="G10" i="48"/>
  <c r="E9" i="48" s="1"/>
  <c r="D17" i="44"/>
  <c r="E17" i="27"/>
  <c r="G13" i="71"/>
  <c r="F9" i="135"/>
  <c r="D17" i="96"/>
  <c r="D17" i="104"/>
  <c r="D21" i="66"/>
  <c r="D21" i="39" s="1"/>
  <c r="E44" i="130"/>
  <c r="E48" i="130" s="1"/>
  <c r="C4" i="65"/>
  <c r="C4" i="27" s="1"/>
  <c r="C4" i="37" s="1"/>
  <c r="C4" i="49" s="1"/>
  <c r="C4" i="85"/>
  <c r="D21" i="85"/>
  <c r="D21" i="40"/>
  <c r="D21" i="64"/>
  <c r="C42" i="137"/>
  <c r="D21" i="70"/>
  <c r="D21" i="49"/>
  <c r="D21" i="27"/>
  <c r="D21" i="37"/>
  <c r="D21" i="52"/>
  <c r="D21" i="29"/>
  <c r="D21" i="92"/>
  <c r="D21" i="83"/>
  <c r="D21" i="81"/>
  <c r="D21" i="50" s="1"/>
  <c r="D21" i="53"/>
  <c r="D21" i="91"/>
  <c r="D21" i="77"/>
  <c r="D21" i="55"/>
  <c r="D21" i="61"/>
  <c r="D21" i="56"/>
  <c r="D21" i="54"/>
  <c r="D21" i="38"/>
  <c r="D21" i="89"/>
  <c r="D21" i="87"/>
  <c r="D21" i="71"/>
  <c r="D15" i="132"/>
  <c r="D21" i="57"/>
  <c r="D21" i="86"/>
  <c r="D21" i="80"/>
  <c r="E36" i="215"/>
  <c r="E28" i="139"/>
  <c r="D21" i="65"/>
  <c r="F11" i="70"/>
  <c r="E11" i="70"/>
  <c r="D11" i="70"/>
  <c r="L123" i="11"/>
  <c r="L124" i="11" s="1"/>
  <c r="F11" i="40"/>
  <c r="E11" i="40"/>
  <c r="D11" i="40"/>
  <c r="E11" i="17"/>
  <c r="G28" i="137"/>
  <c r="D17" i="70"/>
  <c r="E21" i="65"/>
  <c r="F17" i="27"/>
  <c r="E17" i="49"/>
  <c r="E11" i="211"/>
  <c r="E21" i="211"/>
  <c r="E21" i="29"/>
  <c r="E21" i="92"/>
  <c r="E21" i="83"/>
  <c r="E21" i="81"/>
  <c r="E21" i="50" s="1"/>
  <c r="E21" i="53"/>
  <c r="E21" i="91"/>
  <c r="E21" i="77"/>
  <c r="E21" i="55"/>
  <c r="D17" i="71"/>
  <c r="G10" i="56"/>
  <c r="F21" i="56"/>
  <c r="E17" i="86"/>
  <c r="G10" i="61"/>
  <c r="F21" i="61"/>
  <c r="E17" i="57"/>
  <c r="D17" i="87"/>
  <c r="E21" i="88"/>
  <c r="D17" i="89"/>
  <c r="E21" i="66"/>
  <c r="E21" i="39" s="1"/>
  <c r="D17" i="38"/>
  <c r="E17" i="77"/>
  <c r="E17" i="308"/>
  <c r="D62" i="129"/>
  <c r="E63" i="130"/>
  <c r="D17" i="64"/>
  <c r="E17" i="70"/>
  <c r="F21" i="65"/>
  <c r="E21" i="37"/>
  <c r="F17" i="49"/>
  <c r="D17" i="40"/>
  <c r="F21" i="211"/>
  <c r="G13" i="306"/>
  <c r="G13" i="302"/>
  <c r="G13" i="298"/>
  <c r="G13" i="294"/>
  <c r="G13" i="304"/>
  <c r="G13" i="300"/>
  <c r="G13" i="296"/>
  <c r="G13" i="72"/>
  <c r="G13" i="45"/>
  <c r="G13" i="62"/>
  <c r="G13" i="106"/>
  <c r="G13" i="104"/>
  <c r="G13" i="69"/>
  <c r="G13" i="68"/>
  <c r="G13" i="44"/>
  <c r="G13" i="379"/>
  <c r="G13" i="105"/>
  <c r="G13" i="74"/>
  <c r="G13" i="102"/>
  <c r="G13" i="36"/>
  <c r="G13" i="103"/>
  <c r="G13" i="48"/>
  <c r="G13" i="385"/>
  <c r="G13" i="381"/>
  <c r="G13" i="377"/>
  <c r="G13" i="372"/>
  <c r="G13" i="368"/>
  <c r="G13" i="364"/>
  <c r="G13" i="360"/>
  <c r="G13" i="356"/>
  <c r="G13" i="352"/>
  <c r="G13" i="348"/>
  <c r="G13" i="344"/>
  <c r="G13" i="374"/>
  <c r="G13" i="370"/>
  <c r="G13" i="366"/>
  <c r="G13" i="362"/>
  <c r="G13" i="358"/>
  <c r="G13" i="354"/>
  <c r="G13" i="350"/>
  <c r="G13" i="334"/>
  <c r="G13" i="324"/>
  <c r="G13" i="269"/>
  <c r="G13" i="265"/>
  <c r="G13" i="261"/>
  <c r="G13" i="336"/>
  <c r="G13" i="320"/>
  <c r="G13" i="257"/>
  <c r="G13" i="253"/>
  <c r="G13" i="346"/>
  <c r="G13" i="326"/>
  <c r="G13" i="316"/>
  <c r="G13" i="338"/>
  <c r="G13" i="328"/>
  <c r="G13" i="82"/>
  <c r="G13" i="280"/>
  <c r="G13" i="276"/>
  <c r="G13" i="340"/>
  <c r="G13" i="272"/>
  <c r="G13" i="267"/>
  <c r="G13" i="263"/>
  <c r="G13" i="259"/>
  <c r="G13" i="330"/>
  <c r="G13" i="322"/>
  <c r="G13" i="255"/>
  <c r="G13" i="342"/>
  <c r="G13" i="332"/>
  <c r="G13" i="318"/>
  <c r="G13" i="42"/>
  <c r="G13" i="237"/>
  <c r="G13" i="34"/>
  <c r="G13" i="43"/>
  <c r="G13" i="314"/>
  <c r="G13" i="383"/>
  <c r="G13" i="100"/>
  <c r="G13" i="285"/>
  <c r="G13" i="247"/>
  <c r="G13" i="243"/>
  <c r="G13" i="239"/>
  <c r="G13" i="63"/>
  <c r="G13" i="235"/>
  <c r="G13" i="73"/>
  <c r="G13" i="75"/>
  <c r="G13" i="59"/>
  <c r="G13" i="312"/>
  <c r="G13" i="310"/>
  <c r="G13" i="98"/>
  <c r="G13" i="101"/>
  <c r="G13" i="96"/>
  <c r="G13" i="41"/>
  <c r="G13" i="47"/>
  <c r="G13" i="308"/>
  <c r="G13" i="226"/>
  <c r="G13" i="53"/>
  <c r="G13" i="91"/>
  <c r="G13" i="77"/>
  <c r="G13" i="217"/>
  <c r="G13" i="55"/>
  <c r="G13" i="278"/>
  <c r="G13" i="232"/>
  <c r="G13" i="32"/>
  <c r="G13" i="230"/>
  <c r="G13" i="39"/>
  <c r="G13" i="135"/>
  <c r="G13" i="95"/>
  <c r="G13" i="51"/>
  <c r="G13" i="224"/>
  <c r="G13" i="52"/>
  <c r="G13" i="93"/>
  <c r="G13" i="29"/>
  <c r="G13" i="92"/>
  <c r="G13" i="274"/>
  <c r="G13" i="228"/>
  <c r="G13" i="83"/>
  <c r="F21" i="83"/>
  <c r="F21" i="81"/>
  <c r="F21" i="50" s="1"/>
  <c r="F21" i="53"/>
  <c r="F21" i="91"/>
  <c r="F21" i="77"/>
  <c r="F21" i="55"/>
  <c r="F21" i="52"/>
  <c r="D24" i="182"/>
  <c r="E17" i="71"/>
  <c r="F17" i="86"/>
  <c r="F17" i="57"/>
  <c r="G13" i="54"/>
  <c r="E21" i="80"/>
  <c r="E17" i="87"/>
  <c r="G10" i="88"/>
  <c r="F21" i="88"/>
  <c r="E17" i="89"/>
  <c r="G10" i="66"/>
  <c r="F21" i="66"/>
  <c r="F21" i="39" s="1"/>
  <c r="E17" i="38"/>
  <c r="F17" i="55"/>
  <c r="G13" i="81"/>
  <c r="G10" i="93"/>
  <c r="G13" i="50"/>
  <c r="C4" i="97"/>
  <c r="E17" i="64"/>
  <c r="F17" i="70"/>
  <c r="D17" i="85"/>
  <c r="E21" i="27"/>
  <c r="F21" i="37"/>
  <c r="E17" i="40"/>
  <c r="G13" i="61"/>
  <c r="G10" i="80"/>
  <c r="F21" i="80"/>
  <c r="F17" i="87"/>
  <c r="F17" i="89"/>
  <c r="F17" i="38"/>
  <c r="E21" i="52"/>
  <c r="E17" i="226"/>
  <c r="G13" i="248"/>
  <c r="F17" i="64"/>
  <c r="E17" i="85"/>
  <c r="F21" i="27"/>
  <c r="E11" i="49"/>
  <c r="E21" i="49"/>
  <c r="F17" i="40"/>
  <c r="D7" i="132"/>
  <c r="D17" i="308"/>
  <c r="D17" i="226"/>
  <c r="D17" i="53"/>
  <c r="D17" i="91"/>
  <c r="D17" i="77"/>
  <c r="D17" i="217"/>
  <c r="D17" i="55"/>
  <c r="D17" i="230"/>
  <c r="D17" i="39"/>
  <c r="D17" i="51"/>
  <c r="D17" i="224"/>
  <c r="D17" i="52"/>
  <c r="D17" i="93"/>
  <c r="D17" i="29"/>
  <c r="D17" i="92"/>
  <c r="D17" i="228"/>
  <c r="D17" i="83"/>
  <c r="D17" i="50"/>
  <c r="D17" i="222"/>
  <c r="D17" i="81"/>
  <c r="D17" i="56"/>
  <c r="E21" i="86"/>
  <c r="D17" i="61"/>
  <c r="E21" i="57"/>
  <c r="G13" i="88"/>
  <c r="G13" i="66"/>
  <c r="D17" i="47"/>
  <c r="F17" i="217"/>
  <c r="G13" i="222"/>
  <c r="E21" i="70"/>
  <c r="F17" i="85"/>
  <c r="D17" i="65"/>
  <c r="F21" i="49"/>
  <c r="D17" i="211"/>
  <c r="E7" i="132"/>
  <c r="E17" i="217"/>
  <c r="E17" i="55"/>
  <c r="E17" i="230"/>
  <c r="E17" i="39"/>
  <c r="E17" i="51"/>
  <c r="E17" i="224"/>
  <c r="E17" i="52"/>
  <c r="E17" i="93"/>
  <c r="E17" i="29"/>
  <c r="E17" i="92"/>
  <c r="E17" i="228"/>
  <c r="E17" i="83"/>
  <c r="E17" i="50"/>
  <c r="E17" i="222"/>
  <c r="E17" i="81"/>
  <c r="E17" i="47"/>
  <c r="E21" i="71"/>
  <c r="E17" i="56"/>
  <c r="G10" i="86"/>
  <c r="F21" i="86"/>
  <c r="E17" i="61"/>
  <c r="G10" i="57"/>
  <c r="F21" i="57"/>
  <c r="G13" i="80"/>
  <c r="E21" i="87"/>
  <c r="D17" i="88"/>
  <c r="E21" i="89"/>
  <c r="D17" i="66"/>
  <c r="E21" i="38"/>
  <c r="G10" i="29"/>
  <c r="E17" i="53"/>
  <c r="G13" i="241"/>
  <c r="E42" i="137"/>
  <c r="E21" i="64"/>
  <c r="F21" i="70"/>
  <c r="E17" i="65"/>
  <c r="D17" i="37"/>
  <c r="E21" i="40"/>
  <c r="E17" i="211"/>
  <c r="C4" i="100"/>
  <c r="C4" i="63"/>
  <c r="C4" i="75"/>
  <c r="C4" i="98"/>
  <c r="C4" i="96"/>
  <c r="C4" i="232"/>
  <c r="C4" i="32"/>
  <c r="C4" i="135"/>
  <c r="C4" i="95"/>
  <c r="C4" i="234"/>
  <c r="F7" i="132"/>
  <c r="F17" i="230"/>
  <c r="F17" i="39"/>
  <c r="F17" i="51"/>
  <c r="F17" i="224"/>
  <c r="F17" i="52"/>
  <c r="F17" i="93"/>
  <c r="F17" i="29"/>
  <c r="F17" i="92"/>
  <c r="F17" i="228"/>
  <c r="F17" i="83"/>
  <c r="F17" i="50"/>
  <c r="F17" i="222"/>
  <c r="F17" i="81"/>
  <c r="F17" i="47"/>
  <c r="F17" i="308"/>
  <c r="F17" i="226"/>
  <c r="F17" i="53"/>
  <c r="F17" i="91"/>
  <c r="F17" i="77"/>
  <c r="G10" i="71"/>
  <c r="F21" i="71"/>
  <c r="F17" i="56"/>
  <c r="F17" i="61"/>
  <c r="D17" i="80"/>
  <c r="G10" i="87"/>
  <c r="F21" i="87"/>
  <c r="E17" i="88"/>
  <c r="G10" i="89"/>
  <c r="F21" i="89"/>
  <c r="E17" i="66"/>
  <c r="F21" i="38"/>
  <c r="G13" i="97"/>
  <c r="G13" i="251"/>
  <c r="E30" i="293"/>
  <c r="C28" i="137"/>
  <c r="G42" i="137"/>
  <c r="F21" i="64"/>
  <c r="F17" i="65"/>
  <c r="G10" i="228"/>
  <c r="G10" i="83"/>
  <c r="G10" i="50"/>
  <c r="G10" i="222"/>
  <c r="G10" i="81"/>
  <c r="G10" i="47"/>
  <c r="G10" i="308"/>
  <c r="G10" i="226"/>
  <c r="G10" i="53"/>
  <c r="G10" i="91"/>
  <c r="G10" i="77"/>
  <c r="G10" i="217"/>
  <c r="G10" i="55"/>
  <c r="G10" i="230"/>
  <c r="G10" i="39"/>
  <c r="G10" i="51"/>
  <c r="G10" i="224"/>
  <c r="G10" i="52"/>
  <c r="G13" i="86"/>
  <c r="G13" i="57"/>
  <c r="E21" i="54"/>
  <c r="E17" i="80"/>
  <c r="F17" i="88"/>
  <c r="F17" i="66"/>
  <c r="G10" i="92"/>
  <c r="E17" i="91"/>
  <c r="F21" i="29"/>
  <c r="G10" i="98"/>
  <c r="G10" i="100"/>
  <c r="G10" i="63"/>
  <c r="D17" i="234"/>
  <c r="E17" i="41"/>
  <c r="E17" i="96"/>
  <c r="G10" i="32"/>
  <c r="E17" i="234"/>
  <c r="G10" i="232"/>
  <c r="F17" i="41"/>
  <c r="F17" i="96"/>
  <c r="F17" i="234"/>
  <c r="D17" i="100"/>
  <c r="D17" i="63"/>
  <c r="D17" i="75"/>
  <c r="D17" i="98"/>
  <c r="D17" i="95"/>
  <c r="G10" i="96"/>
  <c r="D9" i="96" s="1"/>
  <c r="D17" i="135"/>
  <c r="H8" i="379"/>
  <c r="H8" i="374"/>
  <c r="H8" i="381"/>
  <c r="H8" i="377"/>
  <c r="H8" i="372"/>
  <c r="H8" i="370"/>
  <c r="H8" i="368"/>
  <c r="H8" i="364"/>
  <c r="H8" i="360"/>
  <c r="H8" i="356"/>
  <c r="H8" i="352"/>
  <c r="H8" i="348"/>
  <c r="H8" i="344"/>
  <c r="H8" i="340"/>
  <c r="H8" i="336"/>
  <c r="H8" i="332"/>
  <c r="H8" i="328"/>
  <c r="H8" i="324"/>
  <c r="H8" i="366"/>
  <c r="H8" i="362"/>
  <c r="H8" i="358"/>
  <c r="H8" i="354"/>
  <c r="H8" i="350"/>
  <c r="H8" i="346"/>
  <c r="H8" i="342"/>
  <c r="H8" i="320"/>
  <c r="H8" i="257"/>
  <c r="H8" i="253"/>
  <c r="H8" i="330"/>
  <c r="H8" i="316"/>
  <c r="H8" i="82"/>
  <c r="H8" i="280"/>
  <c r="H8" i="276"/>
  <c r="H8" i="272"/>
  <c r="H8" i="267"/>
  <c r="H8" i="263"/>
  <c r="H8" i="259"/>
  <c r="H8" i="334"/>
  <c r="H8" i="322"/>
  <c r="H8" i="255"/>
  <c r="H8" i="318"/>
  <c r="H8" i="42"/>
  <c r="H8" i="326"/>
  <c r="H8" i="101"/>
  <c r="H8" i="278"/>
  <c r="H8" i="274"/>
  <c r="H8" i="43"/>
  <c r="H8" i="314"/>
  <c r="H8" i="383"/>
  <c r="H8" i="269"/>
  <c r="H8" i="338"/>
  <c r="H8" i="285"/>
  <c r="H8" i="247"/>
  <c r="H8" i="243"/>
  <c r="H8" i="239"/>
  <c r="H8" i="261"/>
  <c r="H8" i="235"/>
  <c r="H8" i="73"/>
  <c r="H8" i="59"/>
  <c r="H8" i="312"/>
  <c r="H8" i="310"/>
  <c r="I8" i="16"/>
  <c r="H8" i="265"/>
  <c r="H8" i="251"/>
  <c r="H8" i="248"/>
  <c r="H8" i="245"/>
  <c r="H8" i="241"/>
  <c r="E17" i="63"/>
  <c r="E17" i="75"/>
  <c r="E17" i="98"/>
  <c r="D17" i="32"/>
  <c r="D17" i="232"/>
  <c r="G10" i="41"/>
  <c r="E17" i="95"/>
  <c r="E17" i="135"/>
  <c r="G10" i="97"/>
  <c r="F9" i="259"/>
  <c r="E9" i="259"/>
  <c r="D9" i="259"/>
  <c r="H8" i="237"/>
  <c r="D9" i="18"/>
  <c r="F17" i="63"/>
  <c r="F17" i="75"/>
  <c r="F17" i="98"/>
  <c r="F17" i="100"/>
  <c r="E17" i="32"/>
  <c r="G10" i="234"/>
  <c r="E17" i="232"/>
  <c r="F17" i="95"/>
  <c r="F17" i="135"/>
  <c r="G10" i="75"/>
  <c r="E17" i="100"/>
  <c r="E9" i="18"/>
  <c r="F17" i="32"/>
  <c r="F17" i="232"/>
  <c r="F17" i="383"/>
  <c r="F17" i="314"/>
  <c r="F17" i="43"/>
  <c r="E17" i="34"/>
  <c r="E17" i="237"/>
  <c r="G10" i="239"/>
  <c r="D17" i="241"/>
  <c r="G10" i="243"/>
  <c r="D17" i="245"/>
  <c r="G10" i="247"/>
  <c r="D17" i="248"/>
  <c r="G10" i="285"/>
  <c r="D17" i="251"/>
  <c r="D17" i="379"/>
  <c r="D17" i="374"/>
  <c r="D17" i="381"/>
  <c r="D17" i="377"/>
  <c r="D17" i="372"/>
  <c r="D17" i="368"/>
  <c r="D17" i="364"/>
  <c r="D17" i="360"/>
  <c r="D17" i="356"/>
  <c r="D17" i="352"/>
  <c r="D17" i="348"/>
  <c r="D17" i="344"/>
  <c r="D17" i="340"/>
  <c r="D17" i="336"/>
  <c r="D17" i="332"/>
  <c r="D17" i="328"/>
  <c r="D17" i="324"/>
  <c r="D17" i="370"/>
  <c r="D17" i="366"/>
  <c r="D17" i="362"/>
  <c r="D17" i="358"/>
  <c r="D17" i="354"/>
  <c r="D17" i="350"/>
  <c r="D17" i="346"/>
  <c r="D17" i="342"/>
  <c r="D17" i="320"/>
  <c r="D17" i="257"/>
  <c r="D17" i="253"/>
  <c r="D17" i="326"/>
  <c r="D17" i="316"/>
  <c r="D17" i="338"/>
  <c r="D17" i="82"/>
  <c r="D17" i="280"/>
  <c r="D17" i="276"/>
  <c r="D17" i="272"/>
  <c r="D17" i="267"/>
  <c r="D17" i="263"/>
  <c r="D17" i="259"/>
  <c r="D17" i="330"/>
  <c r="D17" i="322"/>
  <c r="D17" i="255"/>
  <c r="D17" i="318"/>
  <c r="D17" i="42"/>
  <c r="D17" i="101"/>
  <c r="D17" i="278"/>
  <c r="D17" i="274"/>
  <c r="F17" i="34"/>
  <c r="F17" i="237"/>
  <c r="E17" i="241"/>
  <c r="E17" i="245"/>
  <c r="E17" i="248"/>
  <c r="E17" i="251"/>
  <c r="G10" i="340"/>
  <c r="E17" i="370"/>
  <c r="E17" i="381"/>
  <c r="E17" i="377"/>
  <c r="E17" i="368"/>
  <c r="E17" i="364"/>
  <c r="E17" i="360"/>
  <c r="E17" i="356"/>
  <c r="E17" i="352"/>
  <c r="E17" i="348"/>
  <c r="E17" i="344"/>
  <c r="E17" i="340"/>
  <c r="E17" i="336"/>
  <c r="E17" i="332"/>
  <c r="E17" i="328"/>
  <c r="E17" i="324"/>
  <c r="E17" i="374"/>
  <c r="E17" i="372"/>
  <c r="E17" i="366"/>
  <c r="E17" i="362"/>
  <c r="E17" i="358"/>
  <c r="E17" i="354"/>
  <c r="E17" i="350"/>
  <c r="E17" i="346"/>
  <c r="E17" i="342"/>
  <c r="E17" i="379"/>
  <c r="E17" i="338"/>
  <c r="E17" i="334"/>
  <c r="E17" i="330"/>
  <c r="E17" i="326"/>
  <c r="E17" i="316"/>
  <c r="E17" i="82"/>
  <c r="E17" i="280"/>
  <c r="E17" i="276"/>
  <c r="E17" i="272"/>
  <c r="E17" i="267"/>
  <c r="E17" i="263"/>
  <c r="E17" i="259"/>
  <c r="E17" i="322"/>
  <c r="E17" i="255"/>
  <c r="E17" i="318"/>
  <c r="E17" i="42"/>
  <c r="E17" i="101"/>
  <c r="E17" i="278"/>
  <c r="E17" i="274"/>
  <c r="E17" i="269"/>
  <c r="E17" i="265"/>
  <c r="E17" i="261"/>
  <c r="D17" i="310"/>
  <c r="G10" i="383"/>
  <c r="D17" i="312"/>
  <c r="G10" i="314"/>
  <c r="D17" i="59"/>
  <c r="G10" i="43"/>
  <c r="F17" i="241"/>
  <c r="F17" i="245"/>
  <c r="F17" i="248"/>
  <c r="G10" i="263"/>
  <c r="E17" i="320"/>
  <c r="F17" i="381"/>
  <c r="F17" i="377"/>
  <c r="F17" i="379"/>
  <c r="F17" i="374"/>
  <c r="F17" i="348"/>
  <c r="F17" i="344"/>
  <c r="F17" i="340"/>
  <c r="F17" i="336"/>
  <c r="F17" i="332"/>
  <c r="F17" i="328"/>
  <c r="F17" i="324"/>
  <c r="F17" i="372"/>
  <c r="F17" i="370"/>
  <c r="F17" i="366"/>
  <c r="F17" i="362"/>
  <c r="F17" i="358"/>
  <c r="F17" i="354"/>
  <c r="F17" i="350"/>
  <c r="F17" i="346"/>
  <c r="F17" i="338"/>
  <c r="F17" i="334"/>
  <c r="F17" i="330"/>
  <c r="F17" i="326"/>
  <c r="F17" i="356"/>
  <c r="F17" i="82"/>
  <c r="F17" i="280"/>
  <c r="F17" i="276"/>
  <c r="F17" i="368"/>
  <c r="F17" i="272"/>
  <c r="F17" i="267"/>
  <c r="F17" i="263"/>
  <c r="F17" i="259"/>
  <c r="F17" i="322"/>
  <c r="F17" i="255"/>
  <c r="F17" i="360"/>
  <c r="F17" i="318"/>
  <c r="F17" i="42"/>
  <c r="F17" i="101"/>
  <c r="F17" i="278"/>
  <c r="F17" i="274"/>
  <c r="F17" i="352"/>
  <c r="F17" i="342"/>
  <c r="F17" i="269"/>
  <c r="F17" i="265"/>
  <c r="F17" i="261"/>
  <c r="F17" i="364"/>
  <c r="F17" i="320"/>
  <c r="F17" i="257"/>
  <c r="F17" i="253"/>
  <c r="E17" i="310"/>
  <c r="E17" i="312"/>
  <c r="E17" i="59"/>
  <c r="D17" i="73"/>
  <c r="G10" i="34"/>
  <c r="D17" i="235"/>
  <c r="G10" i="237"/>
  <c r="E17" i="253"/>
  <c r="D17" i="265"/>
  <c r="D17" i="334"/>
  <c r="F17" i="310"/>
  <c r="F17" i="312"/>
  <c r="F17" i="59"/>
  <c r="E17" i="73"/>
  <c r="E17" i="235"/>
  <c r="D17" i="239"/>
  <c r="G10" i="241"/>
  <c r="D17" i="243"/>
  <c r="G10" i="245"/>
  <c r="D17" i="247"/>
  <c r="G10" i="248"/>
  <c r="D17" i="285"/>
  <c r="G10" i="251"/>
  <c r="G10" i="272"/>
  <c r="F17" i="316"/>
  <c r="F17" i="73"/>
  <c r="F17" i="235"/>
  <c r="E17" i="239"/>
  <c r="E17" i="243"/>
  <c r="E17" i="247"/>
  <c r="E17" i="285"/>
  <c r="G10" i="377"/>
  <c r="G10" i="372"/>
  <c r="G10" i="379"/>
  <c r="G10" i="374"/>
  <c r="G10" i="370"/>
  <c r="G10" i="366"/>
  <c r="G10" i="362"/>
  <c r="G10" i="358"/>
  <c r="G10" i="354"/>
  <c r="G10" i="350"/>
  <c r="G10" i="381"/>
  <c r="G10" i="346"/>
  <c r="G10" i="342"/>
  <c r="G10" i="338"/>
  <c r="G10" i="334"/>
  <c r="G10" i="330"/>
  <c r="G10" i="326"/>
  <c r="G10" i="368"/>
  <c r="G10" i="364"/>
  <c r="G10" i="360"/>
  <c r="G10" i="356"/>
  <c r="G10" i="352"/>
  <c r="G10" i="348"/>
  <c r="G10" i="344"/>
  <c r="G10" i="322"/>
  <c r="G10" i="255"/>
  <c r="G10" i="332"/>
  <c r="G10" i="318"/>
  <c r="G10" i="42"/>
  <c r="G10" i="101"/>
  <c r="G10" i="278"/>
  <c r="G10" i="274"/>
  <c r="G10" i="324"/>
  <c r="G10" i="269"/>
  <c r="G10" i="265"/>
  <c r="G10" i="261"/>
  <c r="G10" i="336"/>
  <c r="G10" i="320"/>
  <c r="G10" i="257"/>
  <c r="G10" i="253"/>
  <c r="G10" i="316"/>
  <c r="G10" i="328"/>
  <c r="G10" i="82"/>
  <c r="G10" i="280"/>
  <c r="G10" i="276"/>
  <c r="G10" i="310"/>
  <c r="D17" i="383"/>
  <c r="G10" i="312"/>
  <c r="D17" i="314"/>
  <c r="G10" i="59"/>
  <c r="D17" i="43"/>
  <c r="F17" i="239"/>
  <c r="F17" i="243"/>
  <c r="F17" i="247"/>
  <c r="F17" i="285"/>
  <c r="D17" i="261"/>
  <c r="F9" i="103"/>
  <c r="E9" i="103"/>
  <c r="D9" i="103"/>
  <c r="F17" i="304"/>
  <c r="F17" i="300"/>
  <c r="F17" i="296"/>
  <c r="F17" i="105"/>
  <c r="F17" i="298"/>
  <c r="F17" i="74"/>
  <c r="F17" i="102"/>
  <c r="F17" i="36"/>
  <c r="F17" i="103"/>
  <c r="F17" i="48"/>
  <c r="F17" i="385"/>
  <c r="F17" i="72"/>
  <c r="F17" i="306"/>
  <c r="F17" i="294"/>
  <c r="F17" i="45"/>
  <c r="F17" i="62"/>
  <c r="F17" i="106"/>
  <c r="F17" i="104"/>
  <c r="F17" i="69"/>
  <c r="F17" i="68"/>
  <c r="F17" i="44"/>
  <c r="F17" i="302"/>
  <c r="E17" i="44"/>
  <c r="E17" i="68"/>
  <c r="E17" i="69"/>
  <c r="E17" i="104"/>
  <c r="E17" i="106"/>
  <c r="E17" i="62"/>
  <c r="E17" i="45"/>
  <c r="G10" i="105"/>
  <c r="E34" i="214"/>
  <c r="G10" i="304"/>
  <c r="G10" i="300"/>
  <c r="G10" i="296"/>
  <c r="G10" i="72"/>
  <c r="G10" i="306"/>
  <c r="G10" i="302"/>
  <c r="G10" i="298"/>
  <c r="G10" i="294"/>
  <c r="D17" i="385"/>
  <c r="D17" i="48"/>
  <c r="G10" i="69"/>
  <c r="D17" i="103"/>
  <c r="G10" i="104"/>
  <c r="D17" i="36"/>
  <c r="G10" i="106"/>
  <c r="D17" i="102"/>
  <c r="G10" i="62"/>
  <c r="D17" i="74"/>
  <c r="G10" i="45"/>
  <c r="E17" i="385"/>
  <c r="E17" i="48"/>
  <c r="E17" i="103"/>
  <c r="E17" i="36"/>
  <c r="E17" i="102"/>
  <c r="E17" i="74"/>
  <c r="D17" i="306"/>
  <c r="D17" i="302"/>
  <c r="D17" i="298"/>
  <c r="D17" i="294"/>
  <c r="D17" i="304"/>
  <c r="D17" i="300"/>
  <c r="D17" i="296"/>
  <c r="D17" i="72"/>
  <c r="E17" i="306"/>
  <c r="E17" i="302"/>
  <c r="E17" i="298"/>
  <c r="E17" i="294"/>
  <c r="E17" i="304"/>
  <c r="E17" i="300"/>
  <c r="E17" i="296"/>
  <c r="E17" i="72"/>
  <c r="E13" i="122"/>
  <c r="E20" i="122" s="1"/>
  <c r="T7" i="2"/>
  <c r="D35" i="216"/>
  <c r="D38" i="216" s="1"/>
  <c r="F35" i="216"/>
  <c r="F38" i="216" s="1"/>
  <c r="D31" i="214"/>
  <c r="D34" i="214" s="1"/>
  <c r="E13" i="121"/>
  <c r="E21" i="121" s="1"/>
  <c r="E37" i="293"/>
  <c r="E38" i="293" s="1"/>
  <c r="F30" i="293"/>
  <c r="D35" i="293"/>
  <c r="D38" i="293" s="1"/>
  <c r="F38" i="293"/>
  <c r="C24" i="139"/>
  <c r="E24" i="139"/>
  <c r="G24" i="139"/>
  <c r="E13" i="120"/>
  <c r="E20" i="120" s="1"/>
  <c r="P10" i="20"/>
  <c r="Q10" i="20" s="1"/>
  <c r="E9" i="11" s="1"/>
  <c r="E29" i="11" s="1"/>
  <c r="T16" i="133" l="1"/>
  <c r="U16" i="133" s="1"/>
  <c r="E13" i="456"/>
  <c r="C13" i="562"/>
  <c r="K37" i="130"/>
  <c r="D9" i="452"/>
  <c r="D9" i="561"/>
  <c r="E9" i="452"/>
  <c r="E9" i="561"/>
  <c r="F9" i="235"/>
  <c r="D33" i="129"/>
  <c r="J35" i="129" s="1"/>
  <c r="E24" i="215"/>
  <c r="H8" i="516"/>
  <c r="H8" i="558"/>
  <c r="H8" i="548"/>
  <c r="H8" i="518"/>
  <c r="H8" i="500"/>
  <c r="H8" i="542"/>
  <c r="H8" i="532"/>
  <c r="H8" i="524"/>
  <c r="H8" i="512"/>
  <c r="H8" i="502"/>
  <c r="H8" i="550"/>
  <c r="H8" i="534"/>
  <c r="H8" i="536"/>
  <c r="H8" i="520"/>
  <c r="H8" i="504"/>
  <c r="H8" i="552"/>
  <c r="H8" i="544"/>
  <c r="H8" i="526"/>
  <c r="H8" i="506"/>
  <c r="H8" i="554"/>
  <c r="H8" i="538"/>
  <c r="H8" i="528"/>
  <c r="H8" i="514"/>
  <c r="H8" i="508"/>
  <c r="H8" i="498"/>
  <c r="H8" i="556"/>
  <c r="H8" i="530"/>
  <c r="H8" i="522"/>
  <c r="H8" i="510"/>
  <c r="H8" i="540"/>
  <c r="H8" i="546"/>
  <c r="E19" i="182"/>
  <c r="E13" i="462"/>
  <c r="D9" i="102"/>
  <c r="E9" i="102"/>
  <c r="E13" i="432"/>
  <c r="E13" i="448"/>
  <c r="F21" i="435"/>
  <c r="F21" i="429"/>
  <c r="F21" i="449"/>
  <c r="F21" i="437"/>
  <c r="F21" i="443"/>
  <c r="F21" i="441"/>
  <c r="F21" i="439"/>
  <c r="F21" i="431"/>
  <c r="F21" i="421"/>
  <c r="F21" i="419"/>
  <c r="F21" i="423"/>
  <c r="F21" i="433"/>
  <c r="F21" i="425"/>
  <c r="F21" i="417"/>
  <c r="F21" i="411"/>
  <c r="F21" i="413"/>
  <c r="F21" i="447"/>
  <c r="F21" i="445"/>
  <c r="F21" i="415"/>
  <c r="E21" i="447"/>
  <c r="E21" i="435"/>
  <c r="E21" i="429"/>
  <c r="E21" i="449"/>
  <c r="E21" i="437"/>
  <c r="E21" i="443"/>
  <c r="E21" i="441"/>
  <c r="E21" i="439"/>
  <c r="E21" i="431"/>
  <c r="E21" i="421"/>
  <c r="E21" i="419"/>
  <c r="E21" i="433"/>
  <c r="E21" i="415"/>
  <c r="E21" i="425"/>
  <c r="E21" i="417"/>
  <c r="E21" i="411"/>
  <c r="E21" i="423"/>
  <c r="E21" i="413"/>
  <c r="E21" i="445"/>
  <c r="D21" i="445"/>
  <c r="D21" i="433"/>
  <c r="D21" i="425"/>
  <c r="D21" i="447"/>
  <c r="D21" i="435"/>
  <c r="D21" i="429"/>
  <c r="D21" i="449"/>
  <c r="D21" i="437"/>
  <c r="D21" i="443"/>
  <c r="D21" i="441"/>
  <c r="D21" i="439"/>
  <c r="D21" i="431"/>
  <c r="D21" i="421"/>
  <c r="D21" i="419"/>
  <c r="D21" i="417"/>
  <c r="D21" i="411"/>
  <c r="D21" i="415"/>
  <c r="D21" i="423"/>
  <c r="D21" i="413"/>
  <c r="D21" i="409"/>
  <c r="F21" i="409"/>
  <c r="E21" i="409"/>
  <c r="E9" i="36"/>
  <c r="E25" i="400"/>
  <c r="E22" i="400" s="1"/>
  <c r="E25" i="395"/>
  <c r="E22" i="395" s="1"/>
  <c r="E25" i="404"/>
  <c r="E22" i="404" s="1"/>
  <c r="E25" i="393"/>
  <c r="E22" i="393" s="1"/>
  <c r="E25" i="391"/>
  <c r="E22" i="391" s="1"/>
  <c r="E25" i="402"/>
  <c r="E22" i="402" s="1"/>
  <c r="E25" i="389"/>
  <c r="E22" i="389" s="1"/>
  <c r="E25" i="405"/>
  <c r="E22" i="405" s="1"/>
  <c r="E25" i="397"/>
  <c r="E22" i="397" s="1"/>
  <c r="C4" i="398"/>
  <c r="C4" i="403"/>
  <c r="C4" i="401"/>
  <c r="C4" i="399"/>
  <c r="C4" i="396"/>
  <c r="C4" i="390"/>
  <c r="C4" i="408"/>
  <c r="C4" i="392"/>
  <c r="C4" i="394"/>
  <c r="E13" i="400"/>
  <c r="E13" i="405"/>
  <c r="G25" i="404"/>
  <c r="G22" i="404" s="1"/>
  <c r="G25" i="393"/>
  <c r="G22" i="393" s="1"/>
  <c r="G25" i="391"/>
  <c r="G22" i="391" s="1"/>
  <c r="G25" i="402"/>
  <c r="G22" i="402" s="1"/>
  <c r="G25" i="389"/>
  <c r="G22" i="389" s="1"/>
  <c r="G25" i="405"/>
  <c r="G22" i="405" s="1"/>
  <c r="G25" i="395"/>
  <c r="G22" i="395" s="1"/>
  <c r="G25" i="397"/>
  <c r="G22" i="397" s="1"/>
  <c r="G25" i="400"/>
  <c r="G22" i="400" s="1"/>
  <c r="C25" i="397"/>
  <c r="C22" i="397" s="1"/>
  <c r="C25" i="400"/>
  <c r="C22" i="400" s="1"/>
  <c r="C25" i="395"/>
  <c r="C22" i="395" s="1"/>
  <c r="C25" i="404"/>
  <c r="C22" i="404" s="1"/>
  <c r="C25" i="393"/>
  <c r="C22" i="393" s="1"/>
  <c r="C25" i="402"/>
  <c r="C22" i="402" s="1"/>
  <c r="C25" i="391"/>
  <c r="C22" i="391" s="1"/>
  <c r="C25" i="405"/>
  <c r="C22" i="405" s="1"/>
  <c r="C25" i="389"/>
  <c r="C22" i="389" s="1"/>
  <c r="F9" i="74"/>
  <c r="E24" i="121"/>
  <c r="G23" i="312" s="1"/>
  <c r="E34" i="130"/>
  <c r="K36" i="130" s="1"/>
  <c r="R16" i="133"/>
  <c r="F9" i="54"/>
  <c r="E23" i="120"/>
  <c r="I5" i="18"/>
  <c r="H5" i="18"/>
  <c r="E9" i="74"/>
  <c r="G43" i="141"/>
  <c r="G43" i="139"/>
  <c r="G43" i="140"/>
  <c r="E43" i="139"/>
  <c r="E43" i="141"/>
  <c r="E43" i="140"/>
  <c r="C43" i="139"/>
  <c r="C43" i="140"/>
  <c r="C43" i="141"/>
  <c r="E16" i="132"/>
  <c r="E32" i="132" s="1"/>
  <c r="D39" i="11"/>
  <c r="Q10" i="133"/>
  <c r="E50" i="11" s="1"/>
  <c r="E65" i="11" s="1"/>
  <c r="L39" i="11"/>
  <c r="D23" i="132"/>
  <c r="L75" i="11"/>
  <c r="D75" i="11"/>
  <c r="E58" i="130"/>
  <c r="E57" i="130" s="1"/>
  <c r="E51" i="130" s="1"/>
  <c r="G8" i="325"/>
  <c r="G8" i="180"/>
  <c r="G8" i="152"/>
  <c r="G8" i="200"/>
  <c r="G8" i="190"/>
  <c r="G8" i="227"/>
  <c r="G8" i="157"/>
  <c r="G8" i="205"/>
  <c r="G8" i="353"/>
  <c r="G8" i="218"/>
  <c r="G8" i="384"/>
  <c r="G8" i="189"/>
  <c r="G8" i="359"/>
  <c r="G8" i="238"/>
  <c r="G8" i="151"/>
  <c r="G8" i="347"/>
  <c r="G8" i="147"/>
  <c r="G8" i="142"/>
  <c r="G8" i="341"/>
  <c r="G8" i="164"/>
  <c r="G8" i="160"/>
  <c r="G8" i="223"/>
  <c r="G8" i="145"/>
  <c r="G8" i="221"/>
  <c r="G8" i="301"/>
  <c r="G8" i="207"/>
  <c r="G8" i="139"/>
  <c r="G8" i="193"/>
  <c r="G8" i="175"/>
  <c r="G8" i="158"/>
  <c r="G8" i="212"/>
  <c r="G8" i="363"/>
  <c r="G8" i="268"/>
  <c r="G8" i="333"/>
  <c r="G8" i="204"/>
  <c r="G8" i="337"/>
  <c r="G8" i="357"/>
  <c r="G8" i="246"/>
  <c r="G8" i="307"/>
  <c r="G8" i="170"/>
  <c r="G8" i="295"/>
  <c r="G8" i="179"/>
  <c r="G8" i="168"/>
  <c r="G8" i="173"/>
  <c r="G8" i="154"/>
  <c r="G8" i="225"/>
  <c r="G8" i="242"/>
  <c r="G8" i="167"/>
  <c r="G8" i="386"/>
  <c r="G8" i="196"/>
  <c r="G8" i="146"/>
  <c r="G8" i="365"/>
  <c r="G8" i="165"/>
  <c r="G8" i="369"/>
  <c r="G8" i="373"/>
  <c r="G8" i="260"/>
  <c r="G8" i="319"/>
  <c r="G8" i="176"/>
  <c r="G8" i="279"/>
  <c r="G8" i="163"/>
  <c r="G8" i="329"/>
  <c r="G8" i="162"/>
  <c r="G8" i="339"/>
  <c r="G8" i="177"/>
  <c r="G8" i="273"/>
  <c r="G8" i="343"/>
  <c r="G8" i="150"/>
  <c r="G8" i="198"/>
  <c r="G8" i="144"/>
  <c r="G8" i="199"/>
  <c r="G8" i="236"/>
  <c r="G8" i="201"/>
  <c r="G8" i="148"/>
  <c r="G8" i="195"/>
  <c r="G8" i="192"/>
  <c r="G8" i="335"/>
  <c r="G8" i="313"/>
  <c r="G8" i="323"/>
  <c r="G8" i="244"/>
  <c r="G8" i="345"/>
  <c r="G8" i="166"/>
  <c r="G8" i="371"/>
  <c r="G8" i="159"/>
  <c r="G8" i="376"/>
  <c r="G8" i="299"/>
  <c r="G8" i="231"/>
  <c r="G8" i="284"/>
  <c r="G8" i="309"/>
  <c r="G8" i="262"/>
  <c r="G8" i="256"/>
  <c r="G8" i="155"/>
  <c r="G8" i="203"/>
  <c r="G8" i="183"/>
  <c r="G8" i="351"/>
  <c r="G8" i="240"/>
  <c r="G8" i="355"/>
  <c r="G8" i="258"/>
  <c r="G8" i="361"/>
  <c r="G8" i="249"/>
  <c r="G8" i="275"/>
  <c r="G8" i="317"/>
  <c r="G8" i="250"/>
  <c r="G8" i="206"/>
  <c r="G8" i="303"/>
  <c r="G8" i="208"/>
  <c r="G8" i="186"/>
  <c r="G8" i="191"/>
  <c r="G8" i="266"/>
  <c r="G8" i="140"/>
  <c r="G8" i="297"/>
  <c r="G8" i="229"/>
  <c r="G8" i="141"/>
  <c r="G8" i="367"/>
  <c r="G8" i="254"/>
  <c r="G8" i="194"/>
  <c r="G8" i="185"/>
  <c r="G8" i="378"/>
  <c r="G8" i="264"/>
  <c r="G8" i="161"/>
  <c r="G8" i="349"/>
  <c r="G8" i="171"/>
  <c r="G8" i="172"/>
  <c r="G8" i="327"/>
  <c r="G8" i="181"/>
  <c r="G8" i="188"/>
  <c r="G8" i="156"/>
  <c r="G8" i="184"/>
  <c r="G8" i="380"/>
  <c r="G8" i="282"/>
  <c r="G8" i="233"/>
  <c r="G8" i="138"/>
  <c r="G8" i="277"/>
  <c r="G8" i="271"/>
  <c r="G8" i="202"/>
  <c r="G8" i="149"/>
  <c r="G8" i="197"/>
  <c r="G8" i="187"/>
  <c r="G8" i="321"/>
  <c r="G8" i="382"/>
  <c r="G8" i="305"/>
  <c r="G8" i="252"/>
  <c r="G8" i="331"/>
  <c r="G8" i="311"/>
  <c r="G8" i="315"/>
  <c r="G8" i="169"/>
  <c r="G8" i="153"/>
  <c r="G8" i="174"/>
  <c r="G14" i="279"/>
  <c r="G14" i="221"/>
  <c r="G14" i="151"/>
  <c r="G14" i="199"/>
  <c r="G14" i="189"/>
  <c r="G14" i="299"/>
  <c r="G14" i="231"/>
  <c r="G14" i="140"/>
  <c r="G14" i="171"/>
  <c r="G14" i="345"/>
  <c r="G14" i="190"/>
  <c r="G14" i="164"/>
  <c r="G14" i="240"/>
  <c r="G14" i="200"/>
  <c r="G14" i="319"/>
  <c r="G14" i="266"/>
  <c r="G14" i="192"/>
  <c r="G14" i="144"/>
  <c r="G14" i="152"/>
  <c r="G14" i="323"/>
  <c r="G14" i="179"/>
  <c r="G14" i="159"/>
  <c r="G14" i="218"/>
  <c r="G14" i="146"/>
  <c r="G14" i="167"/>
  <c r="G14" i="172"/>
  <c r="G14" i="161"/>
  <c r="G14" i="177"/>
  <c r="G14" i="378"/>
  <c r="G14" i="141"/>
  <c r="G14" i="264"/>
  <c r="G14" i="271"/>
  <c r="G14" i="313"/>
  <c r="G14" i="347"/>
  <c r="G14" i="212"/>
  <c r="G14" i="303"/>
  <c r="G14" i="137"/>
  <c r="G14" i="335"/>
  <c r="G14" i="339"/>
  <c r="G14" i="163"/>
  <c r="G14" i="305"/>
  <c r="G14" i="309"/>
  <c r="G14" i="153"/>
  <c r="G14" i="327"/>
  <c r="G14" i="181"/>
  <c r="G14" i="147"/>
  <c r="G14" i="315"/>
  <c r="G14" i="205"/>
  <c r="G14" i="155"/>
  <c r="G14" i="145"/>
  <c r="G14" i="139"/>
  <c r="G14" i="351"/>
  <c r="G14" i="138"/>
  <c r="G14" i="307"/>
  <c r="G14" i="149"/>
  <c r="G14" i="367"/>
  <c r="G14" i="355"/>
  <c r="G14" i="244"/>
  <c r="G14" i="317"/>
  <c r="G14" i="175"/>
  <c r="G14" i="337"/>
  <c r="G14" i="343"/>
  <c r="G14" i="165"/>
  <c r="G14" i="321"/>
  <c r="G14" i="242"/>
  <c r="G14" i="173"/>
  <c r="G14" i="282"/>
  <c r="G14" i="277"/>
  <c r="G14" i="325"/>
  <c r="G14" i="260"/>
  <c r="G14" i="380"/>
  <c r="G14" i="148"/>
  <c r="G14" i="331"/>
  <c r="G14" i="301"/>
  <c r="G14" i="170"/>
  <c r="G14" i="371"/>
  <c r="G14" i="258"/>
  <c r="G14" i="333"/>
  <c r="G14" i="384"/>
  <c r="G14" i="369"/>
  <c r="G14" i="359"/>
  <c r="G14" i="284"/>
  <c r="G14" i="353"/>
  <c r="G14" i="256"/>
  <c r="G14" i="166"/>
  <c r="G14" i="341"/>
  <c r="G14" i="223"/>
  <c r="G14" i="195"/>
  <c r="G14" i="183"/>
  <c r="G14" i="206"/>
  <c r="G14" i="297"/>
  <c r="G14" i="363"/>
  <c r="G14" i="329"/>
  <c r="G14" i="194"/>
  <c r="G14" i="275"/>
  <c r="G14" i="349"/>
  <c r="G14" i="238"/>
  <c r="G14" i="273"/>
  <c r="G14" i="376"/>
  <c r="G14" i="262"/>
  <c r="G14" i="193"/>
  <c r="G14" i="191"/>
  <c r="G14" i="250"/>
  <c r="G14" i="373"/>
  <c r="G14" i="176"/>
  <c r="G14" i="229"/>
  <c r="G14" i="158"/>
  <c r="G14" i="174"/>
  <c r="G14" i="357"/>
  <c r="G14" i="198"/>
  <c r="G14" i="361"/>
  <c r="G14" i="154"/>
  <c r="G14" i="202"/>
  <c r="G14" i="185"/>
  <c r="G14" i="365"/>
  <c r="G14" i="252"/>
  <c r="G14" i="386"/>
  <c r="G14" i="196"/>
  <c r="G14" i="186"/>
  <c r="G14" i="201"/>
  <c r="G14" i="157"/>
  <c r="G14" i="254"/>
  <c r="G14" i="203"/>
  <c r="G14" i="187"/>
  <c r="G14" i="160"/>
  <c r="G14" i="207"/>
  <c r="G14" i="180"/>
  <c r="G14" i="208"/>
  <c r="G14" i="197"/>
  <c r="G14" i="295"/>
  <c r="G14" i="227"/>
  <c r="G14" i="142"/>
  <c r="G14" i="382"/>
  <c r="G14" i="268"/>
  <c r="G14" i="156"/>
  <c r="G14" i="204"/>
  <c r="G14" i="184"/>
  <c r="G14" i="225"/>
  <c r="G14" i="168"/>
  <c r="G14" i="188"/>
  <c r="G14" i="233"/>
  <c r="G14" i="162"/>
  <c r="G14" i="150"/>
  <c r="G14" i="169"/>
  <c r="G14" i="236"/>
  <c r="G14" i="249"/>
  <c r="G14" i="311"/>
  <c r="G14" i="246"/>
  <c r="G7" i="380"/>
  <c r="G7" i="266"/>
  <c r="G7" i="325"/>
  <c r="G7" i="180"/>
  <c r="G7" i="157"/>
  <c r="G7" i="152"/>
  <c r="G7" i="200"/>
  <c r="G7" i="190"/>
  <c r="G7" i="264"/>
  <c r="G7" i="163"/>
  <c r="G7" i="177"/>
  <c r="G7" i="284"/>
  <c r="G7" i="159"/>
  <c r="G7" i="139"/>
  <c r="G7" i="146"/>
  <c r="G7" i="275"/>
  <c r="G7" i="140"/>
  <c r="G7" i="194"/>
  <c r="G7" i="150"/>
  <c r="G7" i="198"/>
  <c r="G7" i="188"/>
  <c r="G7" i="341"/>
  <c r="G7" i="164"/>
  <c r="G7" i="168"/>
  <c r="G7" i="160"/>
  <c r="G7" i="223"/>
  <c r="G7" i="145"/>
  <c r="G7" i="262"/>
  <c r="G7" i="258"/>
  <c r="G7" i="337"/>
  <c r="G7" i="317"/>
  <c r="G7" i="227"/>
  <c r="G7" i="151"/>
  <c r="G7" i="156"/>
  <c r="G7" i="244"/>
  <c r="G7" i="158"/>
  <c r="G7" i="206"/>
  <c r="G7" i="212"/>
  <c r="G7" i="357"/>
  <c r="G7" i="246"/>
  <c r="G7" i="378"/>
  <c r="G7" i="307"/>
  <c r="G7" i="170"/>
  <c r="G7" i="301"/>
  <c r="G7" i="154"/>
  <c r="G7" i="184"/>
  <c r="G7" i="185"/>
  <c r="G7" i="369"/>
  <c r="G7" i="349"/>
  <c r="G7" i="299"/>
  <c r="G7" i="179"/>
  <c r="G7" i="305"/>
  <c r="G7" i="376"/>
  <c r="G7" i="199"/>
  <c r="G7" i="303"/>
  <c r="G7" i="208"/>
  <c r="G7" i="149"/>
  <c r="G7" i="373"/>
  <c r="G7" i="260"/>
  <c r="G7" i="197"/>
  <c r="G7" i="319"/>
  <c r="G7" i="176"/>
  <c r="G7" i="329"/>
  <c r="G7" i="279"/>
  <c r="G7" i="161"/>
  <c r="G7" i="386"/>
  <c r="G7" i="171"/>
  <c r="G7" i="382"/>
  <c r="G7" i="327"/>
  <c r="G7" i="186"/>
  <c r="G7" i="333"/>
  <c r="G7" i="172"/>
  <c r="G7" i="191"/>
  <c r="G7" i="169"/>
  <c r="G7" i="174"/>
  <c r="G7" i="148"/>
  <c r="G7" i="195"/>
  <c r="G7" i="192"/>
  <c r="G7" i="207"/>
  <c r="G7" i="335"/>
  <c r="G7" i="313"/>
  <c r="G7" i="345"/>
  <c r="G7" i="339"/>
  <c r="G7" i="321"/>
  <c r="G7" i="181"/>
  <c r="G7" i="167"/>
  <c r="G7" i="218"/>
  <c r="G7" i="359"/>
  <c r="G7" i="153"/>
  <c r="G7" i="365"/>
  <c r="G7" i="142"/>
  <c r="G7" i="204"/>
  <c r="G7" i="331"/>
  <c r="G7" i="311"/>
  <c r="G7" i="155"/>
  <c r="G7" i="203"/>
  <c r="G7" i="183"/>
  <c r="G7" i="173"/>
  <c r="G7" i="351"/>
  <c r="G7" i="240"/>
  <c r="G7" i="361"/>
  <c r="G7" i="371"/>
  <c r="G7" i="353"/>
  <c r="G7" i="166"/>
  <c r="G7" i="343"/>
  <c r="G7" i="175"/>
  <c r="G7" i="196"/>
  <c r="G7" i="147"/>
  <c r="G7" i="309"/>
  <c r="G7" i="295"/>
  <c r="G7" i="165"/>
  <c r="G7" i="347"/>
  <c r="G7" i="236"/>
  <c r="G7" i="297"/>
  <c r="G7" i="229"/>
  <c r="G7" i="141"/>
  <c r="G7" i="249"/>
  <c r="G7" i="367"/>
  <c r="G7" i="254"/>
  <c r="G7" i="205"/>
  <c r="G7" i="202"/>
  <c r="G7" i="193"/>
  <c r="G7" i="268"/>
  <c r="G7" i="252"/>
  <c r="G7" i="242"/>
  <c r="G7" i="231"/>
  <c r="G7" i="201"/>
  <c r="G7" i="384"/>
  <c r="G7" i="323"/>
  <c r="G7" i="363"/>
  <c r="G7" i="250"/>
  <c r="G7" i="282"/>
  <c r="G7" i="233"/>
  <c r="G7" i="138"/>
  <c r="G7" i="187"/>
  <c r="G7" i="277"/>
  <c r="G7" i="271"/>
  <c r="G7" i="162"/>
  <c r="G7" i="221"/>
  <c r="G7" i="225"/>
  <c r="G7" i="144"/>
  <c r="G7" i="189"/>
  <c r="G7" i="273"/>
  <c r="G7" i="238"/>
  <c r="G7" i="315"/>
  <c r="G7" i="256"/>
  <c r="G7" i="355"/>
  <c r="G13" i="149"/>
  <c r="G13" i="153"/>
  <c r="G13" i="157"/>
  <c r="G13" i="161"/>
  <c r="G13" i="301"/>
  <c r="G13" i="147"/>
  <c r="G13" i="168"/>
  <c r="G13" i="321"/>
  <c r="G13" i="329"/>
  <c r="G13" i="337"/>
  <c r="G13" i="345"/>
  <c r="G13" i="353"/>
  <c r="G13" i="361"/>
  <c r="G13" i="369"/>
  <c r="G13" i="378"/>
  <c r="G13" i="193"/>
  <c r="G13" i="197"/>
  <c r="G13" i="201"/>
  <c r="G13" i="205"/>
  <c r="G13" i="225"/>
  <c r="G13" i="207"/>
  <c r="G13" i="171"/>
  <c r="G13" i="173"/>
  <c r="G13" i="177"/>
  <c r="G13" i="162"/>
  <c r="G13" i="315"/>
  <c r="G13" i="166"/>
  <c r="G13" i="242"/>
  <c r="G13" i="249"/>
  <c r="G13" i="256"/>
  <c r="G13" i="264"/>
  <c r="G13" i="273"/>
  <c r="G13" i="187"/>
  <c r="G13" i="191"/>
  <c r="G13" i="144"/>
  <c r="G13" i="139"/>
  <c r="G13" i="150"/>
  <c r="G13" i="154"/>
  <c r="G13" i="158"/>
  <c r="G13" i="295"/>
  <c r="G13" i="303"/>
  <c r="G13" i="279"/>
  <c r="G13" i="169"/>
  <c r="G13" i="323"/>
  <c r="G13" i="331"/>
  <c r="G13" i="339"/>
  <c r="G13" i="347"/>
  <c r="G13" i="355"/>
  <c r="G13" i="363"/>
  <c r="G13" i="371"/>
  <c r="G13" i="380"/>
  <c r="G13" i="194"/>
  <c r="G13" i="198"/>
  <c r="G13" i="202"/>
  <c r="G13" i="206"/>
  <c r="G13" i="227"/>
  <c r="G13" i="208"/>
  <c r="G13" i="221"/>
  <c r="G13" i="174"/>
  <c r="G13" i="179"/>
  <c r="G13" i="311"/>
  <c r="G13" i="163"/>
  <c r="G13" i="236"/>
  <c r="G13" i="244"/>
  <c r="G13" i="250"/>
  <c r="G13" i="258"/>
  <c r="G13" i="266"/>
  <c r="G13" i="275"/>
  <c r="G13" i="188"/>
  <c r="G13" i="185"/>
  <c r="G13" i="212"/>
  <c r="G13" i="142"/>
  <c r="G13" i="138"/>
  <c r="G13" i="148"/>
  <c r="G13" i="151"/>
  <c r="G13" i="155"/>
  <c r="G13" i="159"/>
  <c r="G13" i="297"/>
  <c r="G13" i="305"/>
  <c r="G13" i="282"/>
  <c r="G13" i="317"/>
  <c r="G13" i="325"/>
  <c r="G13" i="333"/>
  <c r="G13" i="341"/>
  <c r="G13" i="349"/>
  <c r="G13" i="357"/>
  <c r="G13" i="365"/>
  <c r="G13" i="373"/>
  <c r="G13" i="382"/>
  <c r="G13" i="195"/>
  <c r="G13" i="199"/>
  <c r="G13" i="203"/>
  <c r="G13" i="218"/>
  <c r="G13" i="229"/>
  <c r="G13" i="309"/>
  <c r="G13" i="233"/>
  <c r="G13" i="175"/>
  <c r="G13" i="180"/>
  <c r="G13" i="384"/>
  <c r="G13" i="164"/>
  <c r="G13" i="238"/>
  <c r="G13" i="246"/>
  <c r="G13" i="252"/>
  <c r="G13" i="260"/>
  <c r="G13" i="268"/>
  <c r="G13" i="192"/>
  <c r="G13" i="189"/>
  <c r="G13" i="183"/>
  <c r="G13" i="146"/>
  <c r="G13" i="141"/>
  <c r="G13" i="137"/>
  <c r="G13" i="386"/>
  <c r="G13" i="152"/>
  <c r="G13" i="156"/>
  <c r="G13" i="160"/>
  <c r="G13" i="299"/>
  <c r="G13" i="307"/>
  <c r="G13" i="167"/>
  <c r="G13" i="319"/>
  <c r="G13" i="327"/>
  <c r="G13" i="335"/>
  <c r="G13" i="343"/>
  <c r="G13" i="351"/>
  <c r="G13" i="359"/>
  <c r="G13" i="367"/>
  <c r="G13" i="376"/>
  <c r="G13" i="277"/>
  <c r="G13" i="196"/>
  <c r="G13" i="200"/>
  <c r="G13" i="204"/>
  <c r="G13" i="223"/>
  <c r="G13" i="231"/>
  <c r="G13" i="170"/>
  <c r="G13" i="172"/>
  <c r="G13" i="176"/>
  <c r="G13" i="181"/>
  <c r="G13" i="313"/>
  <c r="G13" i="165"/>
  <c r="G13" i="240"/>
  <c r="G13" i="284"/>
  <c r="G13" i="254"/>
  <c r="G13" i="262"/>
  <c r="G13" i="271"/>
  <c r="G13" i="186"/>
  <c r="G13" i="190"/>
  <c r="G13" i="184"/>
  <c r="G13" i="145"/>
  <c r="G13" i="140"/>
  <c r="E73" i="130"/>
  <c r="E69" i="130" s="1"/>
  <c r="F9" i="36"/>
  <c r="D9" i="73"/>
  <c r="F42" i="293"/>
  <c r="F41" i="293" s="1"/>
  <c r="D9" i="267"/>
  <c r="F9" i="267"/>
  <c r="F9" i="48"/>
  <c r="D103" i="11"/>
  <c r="D9" i="48"/>
  <c r="F16" i="132"/>
  <c r="F32" i="132" s="1"/>
  <c r="C25" i="140"/>
  <c r="C22" i="140" s="1"/>
  <c r="C25" i="141"/>
  <c r="C22" i="141" s="1"/>
  <c r="E25" i="137"/>
  <c r="E25" i="138"/>
  <c r="E22" i="138" s="1"/>
  <c r="E25" i="212"/>
  <c r="E22" i="212" s="1"/>
  <c r="E25" i="145"/>
  <c r="E22" i="145" s="1"/>
  <c r="E25" i="142"/>
  <c r="E22" i="142" s="1"/>
  <c r="E25" i="146"/>
  <c r="E22" i="146" s="1"/>
  <c r="E25" i="144"/>
  <c r="E22" i="144" s="1"/>
  <c r="E25" i="140"/>
  <c r="E22" i="140" s="1"/>
  <c r="E25" i="141"/>
  <c r="E22" i="141" s="1"/>
  <c r="G25" i="137"/>
  <c r="G25" i="212"/>
  <c r="G22" i="212" s="1"/>
  <c r="G25" i="145"/>
  <c r="G22" i="145" s="1"/>
  <c r="G25" i="142"/>
  <c r="G22" i="142" s="1"/>
  <c r="G25" i="146"/>
  <c r="G22" i="146" s="1"/>
  <c r="G25" i="144"/>
  <c r="G22" i="144" s="1"/>
  <c r="G25" i="138"/>
  <c r="G22" i="138" s="1"/>
  <c r="G25" i="140"/>
  <c r="G22" i="140" s="1"/>
  <c r="G25" i="141"/>
  <c r="G22" i="141" s="1"/>
  <c r="C25" i="137"/>
  <c r="C25" i="146"/>
  <c r="C22" i="146" s="1"/>
  <c r="C25" i="144"/>
  <c r="C22" i="144" s="1"/>
  <c r="C25" i="138"/>
  <c r="C22" i="138" s="1"/>
  <c r="C25" i="212"/>
  <c r="C22" i="212" s="1"/>
  <c r="C25" i="145"/>
  <c r="C22" i="145" s="1"/>
  <c r="C25" i="142"/>
  <c r="C22" i="142" s="1"/>
  <c r="D16" i="132"/>
  <c r="D32" i="132" s="1"/>
  <c r="G28" i="141"/>
  <c r="G28" i="140"/>
  <c r="C28" i="140"/>
  <c r="C28" i="141"/>
  <c r="E9" i="68"/>
  <c r="D9" i="68"/>
  <c r="D9" i="235"/>
  <c r="F9" i="63"/>
  <c r="L103" i="11"/>
  <c r="D58" i="129"/>
  <c r="D56" i="129" s="1"/>
  <c r="D50" i="129" s="1"/>
  <c r="D44" i="129" s="1"/>
  <c r="L126" i="11"/>
  <c r="H29" i="214"/>
  <c r="E24" i="122"/>
  <c r="G23" i="561" s="1"/>
  <c r="C40" i="562" s="1"/>
  <c r="E9" i="385"/>
  <c r="F9" i="385"/>
  <c r="E9" i="73"/>
  <c r="G25" i="139"/>
  <c r="D9" i="44"/>
  <c r="F9" i="100"/>
  <c r="F9" i="98"/>
  <c r="E9" i="44"/>
  <c r="F9" i="96"/>
  <c r="F9" i="75"/>
  <c r="F9" i="41"/>
  <c r="E25" i="139"/>
  <c r="F9" i="97"/>
  <c r="F9" i="95"/>
  <c r="F9" i="310"/>
  <c r="E9" i="310"/>
  <c r="D9" i="310"/>
  <c r="F9" i="278"/>
  <c r="E9" i="278"/>
  <c r="D9" i="278"/>
  <c r="E9" i="334"/>
  <c r="D9" i="334"/>
  <c r="F9" i="334"/>
  <c r="F9" i="251"/>
  <c r="E9" i="251"/>
  <c r="D9" i="251"/>
  <c r="F9" i="237"/>
  <c r="E9" i="237"/>
  <c r="D9" i="237"/>
  <c r="E9" i="56"/>
  <c r="D9" i="56"/>
  <c r="F9" i="56"/>
  <c r="D9" i="352"/>
  <c r="F9" i="352"/>
  <c r="E9" i="352"/>
  <c r="F9" i="383"/>
  <c r="E9" i="383"/>
  <c r="D9" i="383"/>
  <c r="F9" i="304"/>
  <c r="E9" i="304"/>
  <c r="D9" i="304"/>
  <c r="E9" i="105"/>
  <c r="D9" i="105"/>
  <c r="F9" i="105"/>
  <c r="E9" i="276"/>
  <c r="D9" i="276"/>
  <c r="F9" i="276"/>
  <c r="E9" i="336"/>
  <c r="D9" i="336"/>
  <c r="F9" i="336"/>
  <c r="F9" i="42"/>
  <c r="E9" i="42"/>
  <c r="D9" i="42"/>
  <c r="D9" i="356"/>
  <c r="F9" i="356"/>
  <c r="E9" i="356"/>
  <c r="F9" i="342"/>
  <c r="D9" i="342"/>
  <c r="E9" i="342"/>
  <c r="D9" i="370"/>
  <c r="F9" i="370"/>
  <c r="E9" i="370"/>
  <c r="F9" i="248"/>
  <c r="E9" i="248"/>
  <c r="D9" i="248"/>
  <c r="F9" i="34"/>
  <c r="E9" i="34"/>
  <c r="D9" i="34"/>
  <c r="E9" i="340"/>
  <c r="D9" i="340"/>
  <c r="F9" i="340"/>
  <c r="E9" i="75"/>
  <c r="E9" i="98"/>
  <c r="E9" i="100"/>
  <c r="E9" i="135"/>
  <c r="E9" i="95"/>
  <c r="E9" i="97"/>
  <c r="E9" i="41"/>
  <c r="E9" i="96"/>
  <c r="E9" i="63"/>
  <c r="H8" i="306"/>
  <c r="H8" i="302"/>
  <c r="H8" i="298"/>
  <c r="H8" i="294"/>
  <c r="H8" i="304"/>
  <c r="H8" i="300"/>
  <c r="H8" i="296"/>
  <c r="H8" i="72"/>
  <c r="I8" i="10"/>
  <c r="H8" i="105"/>
  <c r="H8" i="74"/>
  <c r="H8" i="102"/>
  <c r="H8" i="36"/>
  <c r="H8" i="103"/>
  <c r="H8" i="48"/>
  <c r="H8" i="385"/>
  <c r="H8" i="62"/>
  <c r="H8" i="104"/>
  <c r="H8" i="44"/>
  <c r="H8" i="68"/>
  <c r="H8" i="45"/>
  <c r="H8" i="106"/>
  <c r="H8" i="69"/>
  <c r="F9" i="89"/>
  <c r="E9" i="89"/>
  <c r="F9" i="80"/>
  <c r="E9" i="80"/>
  <c r="D21" i="51"/>
  <c r="D21" i="308"/>
  <c r="D9" i="294"/>
  <c r="F9" i="294"/>
  <c r="E9" i="294"/>
  <c r="E9" i="280"/>
  <c r="D9" i="280"/>
  <c r="F9" i="280"/>
  <c r="F9" i="261"/>
  <c r="E9" i="261"/>
  <c r="D9" i="261"/>
  <c r="F9" i="318"/>
  <c r="E9" i="318"/>
  <c r="D9" i="318"/>
  <c r="D9" i="360"/>
  <c r="F9" i="360"/>
  <c r="E9" i="360"/>
  <c r="F9" i="346"/>
  <c r="E9" i="346"/>
  <c r="D9" i="346"/>
  <c r="F9" i="374"/>
  <c r="E9" i="374"/>
  <c r="D9" i="374"/>
  <c r="E9" i="247"/>
  <c r="D9" i="247"/>
  <c r="F9" i="247"/>
  <c r="F9" i="232"/>
  <c r="E9" i="232"/>
  <c r="F9" i="71"/>
  <c r="E9" i="71"/>
  <c r="D9" i="71"/>
  <c r="F9" i="86"/>
  <c r="E9" i="86"/>
  <c r="F9" i="296"/>
  <c r="E9" i="296"/>
  <c r="D9" i="296"/>
  <c r="F9" i="257"/>
  <c r="E9" i="257"/>
  <c r="D9" i="257"/>
  <c r="F9" i="362"/>
  <c r="E9" i="362"/>
  <c r="D9" i="362"/>
  <c r="D9" i="230"/>
  <c r="D9" i="39"/>
  <c r="D9" i="51"/>
  <c r="D9" i="224"/>
  <c r="D9" i="52"/>
  <c r="D9" i="93"/>
  <c r="D9" i="29"/>
  <c r="D9" i="92"/>
  <c r="D9" i="228"/>
  <c r="D9" i="83"/>
  <c r="D9" i="50"/>
  <c r="D9" i="222"/>
  <c r="D9" i="81"/>
  <c r="D9" i="47"/>
  <c r="D9" i="226"/>
  <c r="D9" i="53"/>
  <c r="D9" i="91"/>
  <c r="D9" i="77"/>
  <c r="D9" i="66"/>
  <c r="D9" i="88"/>
  <c r="D9" i="61"/>
  <c r="D9" i="54"/>
  <c r="D9" i="38"/>
  <c r="D9" i="89"/>
  <c r="D9" i="87"/>
  <c r="D9" i="217"/>
  <c r="D9" i="57"/>
  <c r="D9" i="86"/>
  <c r="D9" i="55"/>
  <c r="D9" i="80"/>
  <c r="E21" i="93"/>
  <c r="E21" i="228"/>
  <c r="E21" i="222"/>
  <c r="E21" i="47"/>
  <c r="E21" i="226"/>
  <c r="E21" i="217"/>
  <c r="E21" i="230"/>
  <c r="E21" i="224"/>
  <c r="F9" i="45"/>
  <c r="E9" i="45"/>
  <c r="D9" i="45"/>
  <c r="F9" i="104"/>
  <c r="E9" i="104"/>
  <c r="D9" i="104"/>
  <c r="D9" i="298"/>
  <c r="F9" i="298"/>
  <c r="E9" i="298"/>
  <c r="F9" i="59"/>
  <c r="E9" i="59"/>
  <c r="D9" i="59"/>
  <c r="E9" i="82"/>
  <c r="D9" i="82"/>
  <c r="F9" i="82"/>
  <c r="F9" i="265"/>
  <c r="E9" i="265"/>
  <c r="D9" i="265"/>
  <c r="E9" i="332"/>
  <c r="D9" i="332"/>
  <c r="F9" i="332"/>
  <c r="D9" i="364"/>
  <c r="F9" i="364"/>
  <c r="E9" i="364"/>
  <c r="F9" i="381"/>
  <c r="E9" i="381"/>
  <c r="D9" i="381"/>
  <c r="F9" i="379"/>
  <c r="E9" i="379"/>
  <c r="D9" i="379"/>
  <c r="F9" i="245"/>
  <c r="E9" i="245"/>
  <c r="D9" i="245"/>
  <c r="F21" i="308"/>
  <c r="F21" i="51"/>
  <c r="F21" i="228"/>
  <c r="F21" i="222"/>
  <c r="F21" i="47"/>
  <c r="F21" i="226"/>
  <c r="F21" i="217"/>
  <c r="F21" i="230"/>
  <c r="F21" i="224"/>
  <c r="F21" i="93"/>
  <c r="F9" i="106"/>
  <c r="E9" i="106"/>
  <c r="D9" i="106"/>
  <c r="F9" i="300"/>
  <c r="E9" i="300"/>
  <c r="D9" i="300"/>
  <c r="F9" i="320"/>
  <c r="E9" i="320"/>
  <c r="D9" i="320"/>
  <c r="E9" i="338"/>
  <c r="D9" i="338"/>
  <c r="F9" i="338"/>
  <c r="F9" i="263"/>
  <c r="E9" i="263"/>
  <c r="D9" i="263"/>
  <c r="C4" i="379"/>
  <c r="C4" i="381"/>
  <c r="C4" i="377"/>
  <c r="C4" i="372"/>
  <c r="C4" i="374"/>
  <c r="C4" i="370"/>
  <c r="C4" i="368"/>
  <c r="C4" i="364"/>
  <c r="C4" i="360"/>
  <c r="C4" i="356"/>
  <c r="C4" i="352"/>
  <c r="C4" i="348"/>
  <c r="C4" i="344"/>
  <c r="C4" i="366"/>
  <c r="C4" i="362"/>
  <c r="C4" i="358"/>
  <c r="C4" i="354"/>
  <c r="C4" i="350"/>
  <c r="C4" i="338"/>
  <c r="C4" i="328"/>
  <c r="C4" i="269"/>
  <c r="C4" i="265"/>
  <c r="C4" i="261"/>
  <c r="C4" i="340"/>
  <c r="C4" i="320"/>
  <c r="C4" i="257"/>
  <c r="C4" i="253"/>
  <c r="C4" i="342"/>
  <c r="C4" i="330"/>
  <c r="C4" i="316"/>
  <c r="C4" i="332"/>
  <c r="C4" i="82"/>
  <c r="C4" i="280"/>
  <c r="C4" i="276"/>
  <c r="C4" i="272"/>
  <c r="C4" i="267"/>
  <c r="C4" i="263"/>
  <c r="C4" i="259"/>
  <c r="C4" i="346"/>
  <c r="C4" i="334"/>
  <c r="C4" i="324"/>
  <c r="C4" i="322"/>
  <c r="C4" i="255"/>
  <c r="C4" i="336"/>
  <c r="C4" i="318"/>
  <c r="C4" i="42"/>
  <c r="C4" i="237"/>
  <c r="C4" i="34"/>
  <c r="C4" i="43"/>
  <c r="C4" i="314"/>
  <c r="C4" i="383"/>
  <c r="C4" i="326"/>
  <c r="C4" i="101"/>
  <c r="C4" i="278"/>
  <c r="C4" i="274"/>
  <c r="C4" i="285"/>
  <c r="C4" i="247"/>
  <c r="C4" i="243"/>
  <c r="C4" i="239"/>
  <c r="C4" i="235"/>
  <c r="C4" i="73"/>
  <c r="C4" i="59"/>
  <c r="C4" i="312"/>
  <c r="C4" i="310"/>
  <c r="C4" i="251"/>
  <c r="C4" i="248"/>
  <c r="C4" i="245"/>
  <c r="C4" i="241"/>
  <c r="D9" i="302"/>
  <c r="F9" i="302"/>
  <c r="E9" i="302"/>
  <c r="F9" i="269"/>
  <c r="E9" i="269"/>
  <c r="D9" i="269"/>
  <c r="F9" i="350"/>
  <c r="E9" i="350"/>
  <c r="D9" i="350"/>
  <c r="F9" i="43"/>
  <c r="E9" i="43"/>
  <c r="D9" i="43"/>
  <c r="E9" i="243"/>
  <c r="D9" i="243"/>
  <c r="F9" i="243"/>
  <c r="D9" i="32"/>
  <c r="F9" i="32"/>
  <c r="E9" i="32"/>
  <c r="F9" i="87"/>
  <c r="E9" i="87"/>
  <c r="E9" i="61"/>
  <c r="F9" i="61"/>
  <c r="C25" i="139"/>
  <c r="F9" i="62"/>
  <c r="E9" i="62"/>
  <c r="D9" i="62"/>
  <c r="F9" i="69"/>
  <c r="E9" i="69"/>
  <c r="D9" i="69"/>
  <c r="D9" i="306"/>
  <c r="F9" i="306"/>
  <c r="E9" i="306"/>
  <c r="F9" i="312"/>
  <c r="E9" i="312"/>
  <c r="D9" i="312"/>
  <c r="D9" i="316"/>
  <c r="F9" i="316"/>
  <c r="E9" i="316"/>
  <c r="E9" i="324"/>
  <c r="D9" i="324"/>
  <c r="F9" i="324"/>
  <c r="F9" i="322"/>
  <c r="E9" i="322"/>
  <c r="D9" i="322"/>
  <c r="E9" i="326"/>
  <c r="D9" i="326"/>
  <c r="F9" i="326"/>
  <c r="F9" i="354"/>
  <c r="E9" i="354"/>
  <c r="D9" i="354"/>
  <c r="F9" i="377"/>
  <c r="E9" i="377"/>
  <c r="D9" i="377"/>
  <c r="F9" i="241"/>
  <c r="E9" i="241"/>
  <c r="D9" i="241"/>
  <c r="D9" i="63"/>
  <c r="D9" i="75"/>
  <c r="D9" i="98"/>
  <c r="D9" i="100"/>
  <c r="D9" i="232"/>
  <c r="D9" i="135"/>
  <c r="D9" i="95"/>
  <c r="D9" i="97"/>
  <c r="D9" i="41"/>
  <c r="D36" i="215"/>
  <c r="C28" i="139"/>
  <c r="E9" i="51"/>
  <c r="E9" i="224"/>
  <c r="E9" i="52"/>
  <c r="E9" i="93"/>
  <c r="E9" i="29"/>
  <c r="E9" i="92"/>
  <c r="E9" i="228"/>
  <c r="E9" i="83"/>
  <c r="E9" i="50"/>
  <c r="E9" i="222"/>
  <c r="E9" i="81"/>
  <c r="E9" i="47"/>
  <c r="E9" i="308"/>
  <c r="E9" i="226"/>
  <c r="E9" i="53"/>
  <c r="E9" i="91"/>
  <c r="E9" i="77"/>
  <c r="E9" i="217"/>
  <c r="E9" i="55"/>
  <c r="E9" i="38"/>
  <c r="E9" i="39"/>
  <c r="E9" i="66"/>
  <c r="E9" i="230"/>
  <c r="D7" i="215"/>
  <c r="E7" i="215"/>
  <c r="E21" i="308"/>
  <c r="E21" i="51"/>
  <c r="D21" i="224"/>
  <c r="D21" i="93"/>
  <c r="D21" i="228"/>
  <c r="D21" i="222"/>
  <c r="D21" i="47"/>
  <c r="D21" i="226"/>
  <c r="D21" i="217"/>
  <c r="D21" i="230"/>
  <c r="E9" i="348"/>
  <c r="D9" i="348"/>
  <c r="F9" i="348"/>
  <c r="F9" i="234"/>
  <c r="E9" i="234"/>
  <c r="D9" i="234"/>
  <c r="F9" i="57"/>
  <c r="E9" i="57"/>
  <c r="G28" i="139"/>
  <c r="F17" i="215"/>
  <c r="F36" i="215" s="1"/>
  <c r="F9" i="101"/>
  <c r="E9" i="101"/>
  <c r="D9" i="101"/>
  <c r="F9" i="366"/>
  <c r="E9" i="366"/>
  <c r="D9" i="366"/>
  <c r="E9" i="285"/>
  <c r="D9" i="285"/>
  <c r="F9" i="285"/>
  <c r="C4" i="211"/>
  <c r="C4" i="40"/>
  <c r="E9" i="328"/>
  <c r="D9" i="328"/>
  <c r="F9" i="328"/>
  <c r="F9" i="255"/>
  <c r="E9" i="255"/>
  <c r="D9" i="255"/>
  <c r="D9" i="368"/>
  <c r="F9" i="368"/>
  <c r="E9" i="368"/>
  <c r="E9" i="372"/>
  <c r="D9" i="372"/>
  <c r="F9" i="372"/>
  <c r="D9" i="72"/>
  <c r="F9" i="72"/>
  <c r="E9" i="72"/>
  <c r="F9" i="253"/>
  <c r="E9" i="253"/>
  <c r="D9" i="253"/>
  <c r="F9" i="274"/>
  <c r="E9" i="274"/>
  <c r="D9" i="274"/>
  <c r="D9" i="344"/>
  <c r="F9" i="344"/>
  <c r="E9" i="344"/>
  <c r="E9" i="330"/>
  <c r="D9" i="330"/>
  <c r="F9" i="330"/>
  <c r="F9" i="358"/>
  <c r="E9" i="358"/>
  <c r="D9" i="358"/>
  <c r="F9" i="272"/>
  <c r="E9" i="272"/>
  <c r="D9" i="272"/>
  <c r="F9" i="314"/>
  <c r="E9" i="314"/>
  <c r="D9" i="314"/>
  <c r="E9" i="239"/>
  <c r="D9" i="239"/>
  <c r="F9" i="239"/>
  <c r="F9" i="93"/>
  <c r="F9" i="29"/>
  <c r="F9" i="92"/>
  <c r="F9" i="228"/>
  <c r="F9" i="83"/>
  <c r="F9" i="50"/>
  <c r="F9" i="222"/>
  <c r="F9" i="81"/>
  <c r="F9" i="47"/>
  <c r="F9" i="308"/>
  <c r="F9" i="226"/>
  <c r="F9" i="53"/>
  <c r="F9" i="91"/>
  <c r="F9" i="77"/>
  <c r="F9" i="217"/>
  <c r="F9" i="55"/>
  <c r="F9" i="230"/>
  <c r="F9" i="39"/>
  <c r="F9" i="38"/>
  <c r="F9" i="224"/>
  <c r="F9" i="51"/>
  <c r="F9" i="52"/>
  <c r="F9" i="66"/>
  <c r="F9" i="88"/>
  <c r="E9" i="88"/>
  <c r="I50" i="11"/>
  <c r="E42" i="130"/>
  <c r="J50" i="11"/>
  <c r="E76" i="130"/>
  <c r="E49" i="130" s="1"/>
  <c r="D75" i="129"/>
  <c r="D47" i="129" s="1"/>
  <c r="J9" i="11"/>
  <c r="D40" i="129"/>
  <c r="D72" i="129"/>
  <c r="D68" i="129" s="1"/>
  <c r="I9" i="11"/>
  <c r="T10" i="20"/>
  <c r="T16" i="20" s="1"/>
  <c r="T17" i="20" s="1"/>
  <c r="T17" i="133" l="1"/>
  <c r="E13" i="412"/>
  <c r="E13" i="420"/>
  <c r="E13" i="460"/>
  <c r="E13" i="397"/>
  <c r="E13" i="410"/>
  <c r="E13" i="430"/>
  <c r="E13" i="470"/>
  <c r="E13" i="389"/>
  <c r="E13" i="438"/>
  <c r="E13" i="450"/>
  <c r="E13" i="468"/>
  <c r="E13" i="543"/>
  <c r="E13" i="402"/>
  <c r="E13" i="440"/>
  <c r="E13" i="527"/>
  <c r="E13" i="395"/>
  <c r="E13" i="442"/>
  <c r="E13" i="434"/>
  <c r="E13" i="422"/>
  <c r="E13" i="478"/>
  <c r="E13" i="418"/>
  <c r="E13" i="436"/>
  <c r="U16" i="20"/>
  <c r="E13" i="537"/>
  <c r="E13" i="539"/>
  <c r="E13" i="509"/>
  <c r="E13" i="535"/>
  <c r="E13" i="474"/>
  <c r="E13" i="547"/>
  <c r="E13" i="515"/>
  <c r="E13" i="533"/>
  <c r="E13" i="501"/>
  <c r="E13" i="541"/>
  <c r="E13" i="545"/>
  <c r="E13" i="519"/>
  <c r="E13" i="476"/>
  <c r="E13" i="453"/>
  <c r="E13" i="559"/>
  <c r="E13" i="182"/>
  <c r="E13" i="507"/>
  <c r="E13" i="560"/>
  <c r="E13" i="529"/>
  <c r="E13" i="531"/>
  <c r="E13" i="393"/>
  <c r="E13" i="414"/>
  <c r="E13" i="446"/>
  <c r="E13" i="464"/>
  <c r="E13" i="517"/>
  <c r="E13" i="549"/>
  <c r="E13" i="511"/>
  <c r="E13" i="551"/>
  <c r="E13" i="562"/>
  <c r="E13" i="225"/>
  <c r="E13" i="404"/>
  <c r="E13" i="416"/>
  <c r="E13" i="424"/>
  <c r="E13" i="472"/>
  <c r="E13" i="503"/>
  <c r="E13" i="521"/>
  <c r="E13" i="525"/>
  <c r="E13" i="557"/>
  <c r="E13" i="391"/>
  <c r="E13" i="426"/>
  <c r="E13" i="444"/>
  <c r="E13" i="454"/>
  <c r="E13" i="466"/>
  <c r="E13" i="513"/>
  <c r="E13" i="499"/>
  <c r="E13" i="555"/>
  <c r="E46" i="130"/>
  <c r="E19" i="562"/>
  <c r="C13" i="560"/>
  <c r="G11" i="561"/>
  <c r="E11" i="561" s="1"/>
  <c r="E40" i="562"/>
  <c r="E41" i="562" s="1"/>
  <c r="G40" i="562"/>
  <c r="G41" i="562" s="1"/>
  <c r="C41" i="562"/>
  <c r="C14" i="562"/>
  <c r="C20" i="562" s="1"/>
  <c r="E14" i="562"/>
  <c r="E26" i="215"/>
  <c r="F23" i="561"/>
  <c r="E23" i="561"/>
  <c r="D23" i="561"/>
  <c r="K50" i="11"/>
  <c r="L50" i="11" s="1"/>
  <c r="L65" i="11" s="1"/>
  <c r="E19" i="560"/>
  <c r="E13" i="523"/>
  <c r="E13" i="505"/>
  <c r="E23" i="312"/>
  <c r="E29" i="312" s="1"/>
  <c r="D23" i="312"/>
  <c r="F23" i="312"/>
  <c r="E14" i="182"/>
  <c r="E14" i="560"/>
  <c r="G23" i="554"/>
  <c r="G23" i="540"/>
  <c r="G23" i="504"/>
  <c r="G23" i="530"/>
  <c r="G23" i="506"/>
  <c r="G23" i="538"/>
  <c r="G23" i="532"/>
  <c r="G23" i="520"/>
  <c r="G23" i="510"/>
  <c r="G23" i="550"/>
  <c r="G23" i="546"/>
  <c r="G23" i="526"/>
  <c r="G23" i="518"/>
  <c r="G23" i="508"/>
  <c r="G23" i="498"/>
  <c r="G23" i="544"/>
  <c r="G23" i="502"/>
  <c r="G23" i="516"/>
  <c r="G23" i="558"/>
  <c r="G23" i="536"/>
  <c r="G23" i="556"/>
  <c r="G23" i="524"/>
  <c r="G23" i="548"/>
  <c r="G23" i="534"/>
  <c r="G23" i="528"/>
  <c r="G23" i="514"/>
  <c r="G23" i="552"/>
  <c r="G23" i="542"/>
  <c r="G23" i="522"/>
  <c r="G23" i="500"/>
  <c r="G11" i="257"/>
  <c r="G11" i="552"/>
  <c r="G11" i="542"/>
  <c r="G11" i="528"/>
  <c r="G11" i="514"/>
  <c r="G11" i="500"/>
  <c r="G11" i="558"/>
  <c r="G11" i="550"/>
  <c r="G11" i="554"/>
  <c r="G11" i="548"/>
  <c r="G11" i="540"/>
  <c r="G11" i="522"/>
  <c r="G11" i="538"/>
  <c r="G11" i="520"/>
  <c r="G11" i="512"/>
  <c r="G11" i="510"/>
  <c r="G11" i="536"/>
  <c r="G11" i="532"/>
  <c r="G11" i="526"/>
  <c r="G11" i="518"/>
  <c r="G11" i="508"/>
  <c r="G11" i="504"/>
  <c r="G11" i="498"/>
  <c r="G11" i="546"/>
  <c r="G11" i="516"/>
  <c r="G11" i="544"/>
  <c r="G11" i="530"/>
  <c r="G11" i="506"/>
  <c r="G11" i="502"/>
  <c r="G11" i="556"/>
  <c r="G11" i="534"/>
  <c r="G11" i="524"/>
  <c r="E14" i="549"/>
  <c r="E14" i="545"/>
  <c r="E14" i="537"/>
  <c r="E14" i="529"/>
  <c r="E14" i="525"/>
  <c r="E14" i="509"/>
  <c r="E14" i="559"/>
  <c r="E14" i="531"/>
  <c r="E14" i="521"/>
  <c r="E14" i="511"/>
  <c r="E14" i="533"/>
  <c r="E14" i="519"/>
  <c r="E14" i="547"/>
  <c r="E14" i="517"/>
  <c r="E14" i="555"/>
  <c r="E14" i="541"/>
  <c r="E14" i="507"/>
  <c r="E14" i="551"/>
  <c r="E14" i="539"/>
  <c r="E14" i="535"/>
  <c r="E14" i="505"/>
  <c r="E14" i="543"/>
  <c r="E14" i="513"/>
  <c r="E14" i="501"/>
  <c r="E14" i="499"/>
  <c r="E14" i="557"/>
  <c r="E14" i="527"/>
  <c r="E14" i="523"/>
  <c r="E14" i="515"/>
  <c r="E14" i="503"/>
  <c r="C13" i="545"/>
  <c r="C13" i="543"/>
  <c r="C13" i="517"/>
  <c r="C13" i="549"/>
  <c r="C13" i="535"/>
  <c r="C13" i="531"/>
  <c r="C13" i="529"/>
  <c r="C13" i="523"/>
  <c r="C13" i="505"/>
  <c r="C13" i="501"/>
  <c r="C13" i="557"/>
  <c r="C13" i="539"/>
  <c r="C13" i="519"/>
  <c r="C13" i="551"/>
  <c r="C13" i="541"/>
  <c r="C13" i="525"/>
  <c r="C13" i="515"/>
  <c r="C13" i="513"/>
  <c r="C13" i="511"/>
  <c r="C13" i="509"/>
  <c r="C13" i="507"/>
  <c r="C13" i="547"/>
  <c r="C13" i="533"/>
  <c r="C13" i="559"/>
  <c r="C13" i="537"/>
  <c r="C13" i="555"/>
  <c r="C13" i="499"/>
  <c r="C13" i="527"/>
  <c r="C13" i="521"/>
  <c r="C13" i="503"/>
  <c r="E19" i="545"/>
  <c r="E19" i="537"/>
  <c r="E19" i="535"/>
  <c r="E19" i="513"/>
  <c r="E19" i="499"/>
  <c r="E19" i="541"/>
  <c r="E19" i="529"/>
  <c r="E19" i="507"/>
  <c r="E19" i="555"/>
  <c r="E19" i="551"/>
  <c r="E19" i="531"/>
  <c r="E19" i="547"/>
  <c r="E19" i="527"/>
  <c r="E19" i="525"/>
  <c r="E19" i="505"/>
  <c r="E19" i="509"/>
  <c r="E19" i="549"/>
  <c r="E19" i="543"/>
  <c r="E19" i="539"/>
  <c r="E19" i="523"/>
  <c r="E19" i="511"/>
  <c r="E19" i="503"/>
  <c r="E19" i="521"/>
  <c r="E19" i="501"/>
  <c r="E19" i="519"/>
  <c r="E19" i="515"/>
  <c r="E19" i="559"/>
  <c r="E19" i="557"/>
  <c r="E19" i="533"/>
  <c r="E19" i="517"/>
  <c r="G11" i="455"/>
  <c r="G11" i="477"/>
  <c r="G11" i="475"/>
  <c r="G11" i="473"/>
  <c r="G11" i="465"/>
  <c r="G11" i="469"/>
  <c r="G11" i="461"/>
  <c r="G11" i="463"/>
  <c r="G11" i="471"/>
  <c r="G11" i="467"/>
  <c r="G11" i="459"/>
  <c r="E14" i="453"/>
  <c r="E14" i="460"/>
  <c r="E14" i="478"/>
  <c r="E14" i="454"/>
  <c r="E14" i="476"/>
  <c r="E14" i="462"/>
  <c r="E14" i="474"/>
  <c r="E14" i="468"/>
  <c r="E14" i="470"/>
  <c r="E14" i="464"/>
  <c r="E14" i="472"/>
  <c r="E14" i="466"/>
  <c r="E14" i="456"/>
  <c r="E19" i="453"/>
  <c r="E19" i="474"/>
  <c r="E19" i="468"/>
  <c r="E19" i="470"/>
  <c r="E19" i="466"/>
  <c r="E19" i="472"/>
  <c r="E19" i="464"/>
  <c r="E19" i="460"/>
  <c r="E19" i="456"/>
  <c r="E19" i="478"/>
  <c r="E19" i="462"/>
  <c r="E19" i="476"/>
  <c r="E19" i="454"/>
  <c r="G23" i="455"/>
  <c r="G23" i="477"/>
  <c r="G23" i="473"/>
  <c r="G23" i="465"/>
  <c r="G23" i="463"/>
  <c r="G23" i="475"/>
  <c r="G23" i="471"/>
  <c r="G23" i="459"/>
  <c r="G23" i="461"/>
  <c r="G23" i="467"/>
  <c r="G23" i="469"/>
  <c r="C13" i="453"/>
  <c r="C13" i="462"/>
  <c r="C13" i="474"/>
  <c r="C13" i="468"/>
  <c r="C13" i="470"/>
  <c r="C13" i="466"/>
  <c r="C13" i="472"/>
  <c r="C13" i="464"/>
  <c r="C13" i="460"/>
  <c r="C13" i="478"/>
  <c r="C13" i="454"/>
  <c r="C13" i="456"/>
  <c r="C13" i="476"/>
  <c r="G11" i="310"/>
  <c r="C13" i="389"/>
  <c r="G23" i="452"/>
  <c r="G23" i="457"/>
  <c r="G11" i="452"/>
  <c r="E11" i="452" s="1"/>
  <c r="G11" i="457"/>
  <c r="C13" i="391"/>
  <c r="C13" i="434"/>
  <c r="C13" i="426"/>
  <c r="C13" i="450"/>
  <c r="C13" i="430"/>
  <c r="C13" i="432"/>
  <c r="C13" i="420"/>
  <c r="C13" i="436"/>
  <c r="C13" i="444"/>
  <c r="C13" i="424"/>
  <c r="C13" i="446"/>
  <c r="C13" i="422"/>
  <c r="C13" i="410"/>
  <c r="C13" i="448"/>
  <c r="C13" i="416"/>
  <c r="C13" i="414"/>
  <c r="C13" i="418"/>
  <c r="C13" i="438"/>
  <c r="C13" i="442"/>
  <c r="C13" i="412"/>
  <c r="C13" i="440"/>
  <c r="C32" i="120"/>
  <c r="C34" i="120" s="1"/>
  <c r="G11" i="447"/>
  <c r="E11" i="447" s="1"/>
  <c r="G11" i="435"/>
  <c r="E11" i="435" s="1"/>
  <c r="G11" i="429"/>
  <c r="E11" i="429" s="1"/>
  <c r="G11" i="449"/>
  <c r="E11" i="449" s="1"/>
  <c r="G11" i="437"/>
  <c r="E11" i="437" s="1"/>
  <c r="G11" i="431"/>
  <c r="E11" i="431" s="1"/>
  <c r="G11" i="423"/>
  <c r="E11" i="423" s="1"/>
  <c r="G11" i="421"/>
  <c r="E11" i="421" s="1"/>
  <c r="G11" i="419"/>
  <c r="E11" i="419" s="1"/>
  <c r="G11" i="443"/>
  <c r="E11" i="443" s="1"/>
  <c r="G11" i="417"/>
  <c r="E11" i="417" s="1"/>
  <c r="G11" i="441"/>
  <c r="E11" i="441" s="1"/>
  <c r="G11" i="439"/>
  <c r="E11" i="439" s="1"/>
  <c r="G11" i="445"/>
  <c r="E11" i="445" s="1"/>
  <c r="G11" i="425"/>
  <c r="E11" i="425" s="1"/>
  <c r="G11" i="433"/>
  <c r="E11" i="433" s="1"/>
  <c r="G11" i="413"/>
  <c r="E11" i="413" s="1"/>
  <c r="G11" i="411"/>
  <c r="E11" i="411" s="1"/>
  <c r="G11" i="415"/>
  <c r="E11" i="415" s="1"/>
  <c r="G23" i="429"/>
  <c r="G23" i="421"/>
  <c r="G23" i="419"/>
  <c r="G23" i="449"/>
  <c r="G23" i="443"/>
  <c r="G23" i="441"/>
  <c r="G23" i="439"/>
  <c r="G23" i="437"/>
  <c r="G23" i="431"/>
  <c r="G23" i="425"/>
  <c r="G23" i="423"/>
  <c r="G23" i="445"/>
  <c r="G23" i="433"/>
  <c r="G23" i="435"/>
  <c r="G23" i="411"/>
  <c r="G23" i="417"/>
  <c r="G23" i="413"/>
  <c r="G23" i="447"/>
  <c r="G23" i="415"/>
  <c r="E14" i="436"/>
  <c r="E14" i="444"/>
  <c r="E14" i="424"/>
  <c r="E14" i="446"/>
  <c r="E14" i="448"/>
  <c r="E14" i="442"/>
  <c r="E14" i="440"/>
  <c r="E14" i="438"/>
  <c r="E14" i="434"/>
  <c r="E14" i="426"/>
  <c r="E14" i="450"/>
  <c r="E14" i="430"/>
  <c r="E14" i="432"/>
  <c r="E14" i="414"/>
  <c r="E14" i="420"/>
  <c r="E14" i="418"/>
  <c r="E14" i="412"/>
  <c r="E14" i="410"/>
  <c r="E14" i="422"/>
  <c r="E14" i="416"/>
  <c r="E19" i="450"/>
  <c r="E19" i="430"/>
  <c r="E19" i="432"/>
  <c r="E19" i="420"/>
  <c r="E19" i="436"/>
  <c r="E19" i="422"/>
  <c r="E19" i="444"/>
  <c r="E19" i="424"/>
  <c r="E19" i="446"/>
  <c r="E19" i="448"/>
  <c r="E19" i="442"/>
  <c r="E19" i="440"/>
  <c r="E19" i="438"/>
  <c r="E19" i="410"/>
  <c r="E19" i="434"/>
  <c r="E19" i="416"/>
  <c r="E19" i="414"/>
  <c r="E19" i="418"/>
  <c r="E19" i="426"/>
  <c r="E19" i="412"/>
  <c r="C13" i="405"/>
  <c r="C13" i="404"/>
  <c r="C13" i="400"/>
  <c r="C13" i="397"/>
  <c r="C13" i="182"/>
  <c r="C13" i="395"/>
  <c r="C13" i="402"/>
  <c r="G11" i="344"/>
  <c r="G11" i="82"/>
  <c r="G23" i="314"/>
  <c r="G23" i="409"/>
  <c r="G11" i="71"/>
  <c r="E11" i="71" s="1"/>
  <c r="G11" i="379"/>
  <c r="G23" i="383"/>
  <c r="G23" i="310"/>
  <c r="G11" i="62"/>
  <c r="G29" i="312"/>
  <c r="G11" i="228"/>
  <c r="E11" i="228" s="1"/>
  <c r="G24" i="17"/>
  <c r="G23" i="19" s="1"/>
  <c r="C33" i="121"/>
  <c r="C40" i="313"/>
  <c r="G40" i="313" s="1"/>
  <c r="G41" i="313" s="1"/>
  <c r="G11" i="100"/>
  <c r="E11" i="100" s="1"/>
  <c r="G11" i="237"/>
  <c r="G11" i="302"/>
  <c r="G11" i="409"/>
  <c r="E11" i="409" s="1"/>
  <c r="G11" i="91"/>
  <c r="E11" i="91" s="1"/>
  <c r="G11" i="338"/>
  <c r="G23" i="300"/>
  <c r="C13" i="393"/>
  <c r="G11" i="346"/>
  <c r="G11" i="87"/>
  <c r="E11" i="87" s="1"/>
  <c r="G11" i="308"/>
  <c r="E11" i="308" s="1"/>
  <c r="G11" i="50"/>
  <c r="E11" i="50" s="1"/>
  <c r="J10" i="50" s="1"/>
  <c r="E14" i="402"/>
  <c r="E14" i="405"/>
  <c r="E14" i="389"/>
  <c r="E14" i="397"/>
  <c r="E14" i="400"/>
  <c r="E14" i="395"/>
  <c r="E14" i="393"/>
  <c r="E14" i="404"/>
  <c r="E14" i="391"/>
  <c r="G23" i="56"/>
  <c r="G23" i="390"/>
  <c r="G23" i="403"/>
  <c r="G23" i="401"/>
  <c r="G23" i="398"/>
  <c r="G23" i="396"/>
  <c r="G23" i="399"/>
  <c r="G23" i="394"/>
  <c r="G23" i="408"/>
  <c r="G23" i="392"/>
  <c r="C19" i="405"/>
  <c r="C19" i="389"/>
  <c r="C19" i="397"/>
  <c r="C19" i="400"/>
  <c r="C19" i="404"/>
  <c r="C19" i="393"/>
  <c r="C19" i="391"/>
  <c r="C19" i="402"/>
  <c r="C19" i="395"/>
  <c r="G11" i="296"/>
  <c r="G11" i="106"/>
  <c r="G11" i="73"/>
  <c r="G11" i="230"/>
  <c r="E11" i="230" s="1"/>
  <c r="G11" i="42"/>
  <c r="G11" i="362"/>
  <c r="G11" i="52"/>
  <c r="E11" i="52" s="1"/>
  <c r="G11" i="105"/>
  <c r="G11" i="102"/>
  <c r="G11" i="350"/>
  <c r="G11" i="261"/>
  <c r="G11" i="247"/>
  <c r="G11" i="18"/>
  <c r="E11" i="18" s="1"/>
  <c r="E25" i="562" s="1"/>
  <c r="G11" i="316"/>
  <c r="G11" i="92"/>
  <c r="E11" i="92" s="1"/>
  <c r="G11" i="336"/>
  <c r="G11" i="364"/>
  <c r="G11" i="44"/>
  <c r="G11" i="95"/>
  <c r="G11" i="255"/>
  <c r="G11" i="372"/>
  <c r="G11" i="81"/>
  <c r="E11" i="81" s="1"/>
  <c r="G11" i="232"/>
  <c r="E11" i="232" s="1"/>
  <c r="G11" i="285"/>
  <c r="G11" i="366"/>
  <c r="G11" i="53"/>
  <c r="E11" i="53" s="1"/>
  <c r="G11" i="16"/>
  <c r="E11" i="16" s="1"/>
  <c r="E25" i="454" s="1"/>
  <c r="G11" i="265"/>
  <c r="G11" i="320"/>
  <c r="G11" i="36"/>
  <c r="G11" i="68"/>
  <c r="G11" i="314"/>
  <c r="G11" i="241"/>
  <c r="G11" i="294"/>
  <c r="G11" i="66"/>
  <c r="E11" i="66" s="1"/>
  <c r="G11" i="251"/>
  <c r="G11" i="360"/>
  <c r="G11" i="74"/>
  <c r="G11" i="332"/>
  <c r="G11" i="80"/>
  <c r="E11" i="80" s="1"/>
  <c r="G11" i="29"/>
  <c r="E11" i="29" s="1"/>
  <c r="G11" i="86"/>
  <c r="E11" i="86" s="1"/>
  <c r="G11" i="96"/>
  <c r="G11" i="259"/>
  <c r="G11" i="377"/>
  <c r="G11" i="77"/>
  <c r="E11" i="77" s="1"/>
  <c r="G11" i="63"/>
  <c r="E11" i="63" s="1"/>
  <c r="G11" i="269"/>
  <c r="G11" i="370"/>
  <c r="G11" i="83"/>
  <c r="E11" i="83" s="1"/>
  <c r="G11" i="383"/>
  <c r="G11" i="276"/>
  <c r="G11" i="324"/>
  <c r="G11" i="48"/>
  <c r="G11" i="45"/>
  <c r="G11" i="300"/>
  <c r="G11" i="103"/>
  <c r="G11" i="239"/>
  <c r="G11" i="56"/>
  <c r="E11" i="56" s="1"/>
  <c r="G11" i="51"/>
  <c r="E11" i="51" s="1"/>
  <c r="G11" i="267"/>
  <c r="G11" i="55"/>
  <c r="E11" i="55" s="1"/>
  <c r="G11" i="263"/>
  <c r="G11" i="235"/>
  <c r="G11" i="88"/>
  <c r="E11" i="88" s="1"/>
  <c r="G11" i="135"/>
  <c r="G11" i="318"/>
  <c r="G11" i="381"/>
  <c r="G11" i="93"/>
  <c r="E11" i="93" s="1"/>
  <c r="G11" i="312"/>
  <c r="G11" i="272"/>
  <c r="G11" i="385"/>
  <c r="G11" i="39"/>
  <c r="E11" i="39" s="1"/>
  <c r="G11" i="59"/>
  <c r="G11" i="278"/>
  <c r="G11" i="328"/>
  <c r="G11" i="32"/>
  <c r="E11" i="32" s="1"/>
  <c r="G11" i="342"/>
  <c r="G11" i="354"/>
  <c r="G11" i="245"/>
  <c r="G11" i="368"/>
  <c r="G11" i="274"/>
  <c r="G11" i="243"/>
  <c r="G11" i="89"/>
  <c r="E11" i="89" s="1"/>
  <c r="G11" i="97"/>
  <c r="G11" i="322"/>
  <c r="G11" i="10"/>
  <c r="D11" i="10" s="1"/>
  <c r="C25" i="560" s="1"/>
  <c r="C22" i="560" s="1"/>
  <c r="G11" i="217"/>
  <c r="E11" i="217" s="1"/>
  <c r="G11" i="43"/>
  <c r="G11" i="330"/>
  <c r="G11" i="57"/>
  <c r="E11" i="57" s="1"/>
  <c r="G11" i="47"/>
  <c r="E11" i="47" s="1"/>
  <c r="G11" i="248"/>
  <c r="G11" i="280"/>
  <c r="G11" i="358"/>
  <c r="G11" i="72"/>
  <c r="G11" i="306"/>
  <c r="G11" i="298"/>
  <c r="G11" i="356"/>
  <c r="G11" i="38"/>
  <c r="E11" i="38" s="1"/>
  <c r="G11" i="41"/>
  <c r="E11" i="41" s="1"/>
  <c r="G11" i="98"/>
  <c r="E11" i="98" s="1"/>
  <c r="G11" i="352"/>
  <c r="G11" i="234"/>
  <c r="E11" i="234" s="1"/>
  <c r="G11" i="61"/>
  <c r="E11" i="61" s="1"/>
  <c r="G11" i="348"/>
  <c r="G11" i="340"/>
  <c r="G11" i="226"/>
  <c r="E11" i="226" s="1"/>
  <c r="G11" i="75"/>
  <c r="G11" i="326"/>
  <c r="G11" i="19"/>
  <c r="D11" i="19" s="1"/>
  <c r="G11" i="222"/>
  <c r="E11" i="222" s="1"/>
  <c r="G11" i="34"/>
  <c r="G11" i="334"/>
  <c r="G11" i="54"/>
  <c r="E11" i="54" s="1"/>
  <c r="G11" i="224"/>
  <c r="E11" i="224" s="1"/>
  <c r="G11" i="253"/>
  <c r="G11" i="101"/>
  <c r="G11" i="374"/>
  <c r="G11" i="69"/>
  <c r="G11" i="104"/>
  <c r="G11" i="304"/>
  <c r="K38" i="130"/>
  <c r="E42" i="175"/>
  <c r="E42" i="181"/>
  <c r="E42" i="170"/>
  <c r="E42" i="176"/>
  <c r="E42" i="177"/>
  <c r="E42" i="221"/>
  <c r="E42" i="179"/>
  <c r="E42" i="174"/>
  <c r="E42" i="233"/>
  <c r="E42" i="180"/>
  <c r="E42" i="172"/>
  <c r="E42" i="173"/>
  <c r="E42" i="171"/>
  <c r="C42" i="221"/>
  <c r="C42" i="174"/>
  <c r="C42" i="179"/>
  <c r="C42" i="170"/>
  <c r="C42" i="181"/>
  <c r="C42" i="171"/>
  <c r="C42" i="173"/>
  <c r="C42" i="233"/>
  <c r="C42" i="175"/>
  <c r="C42" i="180"/>
  <c r="C42" i="176"/>
  <c r="C42" i="177"/>
  <c r="C42" i="172"/>
  <c r="D25" i="132"/>
  <c r="D33" i="132" s="1"/>
  <c r="D26" i="215"/>
  <c r="E27" i="215"/>
  <c r="G42" i="174"/>
  <c r="G42" i="170"/>
  <c r="G42" i="180"/>
  <c r="G42" i="177"/>
  <c r="G42" i="173"/>
  <c r="G42" i="172"/>
  <c r="G42" i="181"/>
  <c r="G42" i="233"/>
  <c r="G42" i="175"/>
  <c r="G42" i="171"/>
  <c r="G42" i="221"/>
  <c r="G42" i="179"/>
  <c r="G42" i="176"/>
  <c r="D24" i="215"/>
  <c r="E39" i="11"/>
  <c r="E75" i="11"/>
  <c r="C13" i="192"/>
  <c r="C13" i="317"/>
  <c r="C13" i="171"/>
  <c r="C13" i="260"/>
  <c r="C13" i="151"/>
  <c r="C13" i="154"/>
  <c r="C13" i="169"/>
  <c r="C13" i="179"/>
  <c r="C13" i="262"/>
  <c r="C13" i="187"/>
  <c r="C13" i="273"/>
  <c r="C13" i="231"/>
  <c r="E13" i="369"/>
  <c r="E13" i="194"/>
  <c r="E13" i="384"/>
  <c r="E13" i="258"/>
  <c r="E13" i="196"/>
  <c r="E13" i="266"/>
  <c r="E13" i="268"/>
  <c r="E13" i="367"/>
  <c r="E13" i="149"/>
  <c r="E13" i="284"/>
  <c r="E13" i="203"/>
  <c r="E13" i="347"/>
  <c r="E13" i="169"/>
  <c r="E13" i="207"/>
  <c r="E13" i="177"/>
  <c r="E13" i="205"/>
  <c r="E13" i="275"/>
  <c r="E13" i="260"/>
  <c r="E13" i="229"/>
  <c r="E13" i="341"/>
  <c r="E13" i="299"/>
  <c r="E13" i="155"/>
  <c r="E13" i="138"/>
  <c r="E13" i="221"/>
  <c r="E13" i="325"/>
  <c r="E13" i="154"/>
  <c r="E13" i="264"/>
  <c r="E13" i="227"/>
  <c r="E13" i="365"/>
  <c r="E13" i="331"/>
  <c r="E13" i="176"/>
  <c r="E13" i="166"/>
  <c r="E13" i="223"/>
  <c r="E13" i="321"/>
  <c r="E13" i="277"/>
  <c r="E13" i="309"/>
  <c r="E13" i="343"/>
  <c r="E13" i="301"/>
  <c r="E13" i="156"/>
  <c r="E13" i="142"/>
  <c r="E13" i="204"/>
  <c r="E13" i="161"/>
  <c r="E13" i="148"/>
  <c r="E13" i="167"/>
  <c r="E13" i="313"/>
  <c r="E13" i="382"/>
  <c r="E13" i="349"/>
  <c r="E13" i="271"/>
  <c r="E13" i="256"/>
  <c r="E13" i="231"/>
  <c r="E13" i="373"/>
  <c r="E13" i="279"/>
  <c r="E13" i="233"/>
  <c r="E13" i="147"/>
  <c r="E13" i="303"/>
  <c r="E13" i="157"/>
  <c r="E13" i="327"/>
  <c r="E13" i="315"/>
  <c r="E13" i="199"/>
  <c r="E13" i="317"/>
  <c r="E13" i="273"/>
  <c r="E13" i="171"/>
  <c r="E13" i="184"/>
  <c r="E13" i="323"/>
  <c r="E13" i="181"/>
  <c r="E13" i="307"/>
  <c r="E13" i="305"/>
  <c r="E13" i="146"/>
  <c r="E13" i="380"/>
  <c r="E13" i="163"/>
  <c r="E13" i="206"/>
  <c r="E13" i="191"/>
  <c r="E13" i="333"/>
  <c r="E13" i="319"/>
  <c r="E13" i="238"/>
  <c r="E13" i="190"/>
  <c r="E13" i="339"/>
  <c r="E13" i="246"/>
  <c r="E13" i="158"/>
  <c r="E13" i="212"/>
  <c r="E13" i="150"/>
  <c r="E13" i="186"/>
  <c r="E13" i="189"/>
  <c r="E13" i="249"/>
  <c r="E13" i="174"/>
  <c r="E13" i="351"/>
  <c r="E13" i="335"/>
  <c r="E13" i="240"/>
  <c r="E13" i="197"/>
  <c r="E13" i="359"/>
  <c r="E13" i="262"/>
  <c r="E13" i="159"/>
  <c r="E13" i="140"/>
  <c r="E13" i="151"/>
  <c r="E13" i="195"/>
  <c r="E13" i="172"/>
  <c r="E13" i="192"/>
  <c r="E13" i="250"/>
  <c r="E13" i="252"/>
  <c r="E13" i="202"/>
  <c r="E13" i="353"/>
  <c r="E13" i="187"/>
  <c r="E13" i="242"/>
  <c r="E13" i="201"/>
  <c r="E13" i="193"/>
  <c r="E13" i="282"/>
  <c r="E13" i="160"/>
  <c r="E13" i="153"/>
  <c r="E13" i="145"/>
  <c r="C19" i="299"/>
  <c r="G23" i="342"/>
  <c r="I24" i="122"/>
  <c r="J29" i="122"/>
  <c r="K29" i="122" s="1"/>
  <c r="J27" i="122"/>
  <c r="K27" i="122" s="1"/>
  <c r="E13" i="200"/>
  <c r="E13" i="345"/>
  <c r="E13" i="208"/>
  <c r="E13" i="168"/>
  <c r="E13" i="175"/>
  <c r="E13" i="185"/>
  <c r="E13" i="165"/>
  <c r="E13" i="198"/>
  <c r="E13" i="355"/>
  <c r="E13" i="179"/>
  <c r="E13" i="337"/>
  <c r="E13" i="180"/>
  <c r="E13" i="376"/>
  <c r="E13" i="162"/>
  <c r="E13" i="361"/>
  <c r="E13" i="295"/>
  <c r="E13" i="141"/>
  <c r="E13" i="386"/>
  <c r="E13" i="144"/>
  <c r="E13" i="218"/>
  <c r="E13" i="363"/>
  <c r="E13" i="173"/>
  <c r="E13" i="329"/>
  <c r="E13" i="164"/>
  <c r="E13" i="188"/>
  <c r="E13" i="254"/>
  <c r="E13" i="170"/>
  <c r="E13" i="371"/>
  <c r="E13" i="236"/>
  <c r="E13" i="357"/>
  <c r="E13" i="244"/>
  <c r="E13" i="183"/>
  <c r="E13" i="311"/>
  <c r="E13" i="378"/>
  <c r="E13" i="297"/>
  <c r="E13" i="152"/>
  <c r="C13" i="343"/>
  <c r="C13" i="149"/>
  <c r="C13" i="315"/>
  <c r="C13" i="208"/>
  <c r="C13" i="150"/>
  <c r="C13" i="203"/>
  <c r="C13" i="246"/>
  <c r="C13" i="225"/>
  <c r="C13" i="183"/>
  <c r="C13" i="345"/>
  <c r="C13" i="252"/>
  <c r="C13" i="152"/>
  <c r="C13" i="365"/>
  <c r="C13" i="325"/>
  <c r="C13" i="173"/>
  <c r="C13" i="200"/>
  <c r="C13" i="386"/>
  <c r="C13" i="297"/>
  <c r="C13" i="373"/>
  <c r="C13" i="341"/>
  <c r="C13" i="353"/>
  <c r="C13" i="244"/>
  <c r="C13" i="157"/>
  <c r="C13" i="155"/>
  <c r="C13" i="163"/>
  <c r="C13" i="202"/>
  <c r="C13" i="361"/>
  <c r="C13" i="168"/>
  <c r="C13" i="303"/>
  <c r="C13" i="236"/>
  <c r="C13" i="223"/>
  <c r="C13" i="378"/>
  <c r="C13" i="380"/>
  <c r="C13" i="142"/>
  <c r="C13" i="323"/>
  <c r="C13" i="271"/>
  <c r="C13" i="359"/>
  <c r="C13" i="184"/>
  <c r="C13" i="188"/>
  <c r="C13" i="206"/>
  <c r="C13" i="175"/>
  <c r="C13" i="144"/>
  <c r="C13" i="153"/>
  <c r="C13" i="191"/>
  <c r="C13" i="197"/>
  <c r="C13" i="172"/>
  <c r="C13" i="311"/>
  <c r="C13" i="249"/>
  <c r="C13" i="165"/>
  <c r="C13" i="329"/>
  <c r="C13" i="277"/>
  <c r="C13" i="305"/>
  <c r="C13" i="138"/>
  <c r="C13" i="198"/>
  <c r="C13" i="204"/>
  <c r="C13" i="162"/>
  <c r="C13" i="164"/>
  <c r="C13" i="167"/>
  <c r="C13" i="250"/>
  <c r="C13" i="337"/>
  <c r="C13" i="347"/>
  <c r="C13" i="307"/>
  <c r="C13" i="186"/>
  <c r="C13" i="279"/>
  <c r="C13" i="382"/>
  <c r="C13" i="254"/>
  <c r="C13" i="170"/>
  <c r="C13" i="333"/>
  <c r="C13" i="177"/>
  <c r="C13" i="351"/>
  <c r="C13" i="242"/>
  <c r="C13" i="369"/>
  <c r="C13" i="384"/>
  <c r="C13" i="193"/>
  <c r="C13" i="321"/>
  <c r="C13" i="199"/>
  <c r="C13" i="268"/>
  <c r="C13" i="158"/>
  <c r="C13" i="159"/>
  <c r="C13" i="161"/>
  <c r="C13" i="299"/>
  <c r="C13" i="205"/>
  <c r="C13" i="331"/>
  <c r="C13" i="227"/>
  <c r="C13" i="349"/>
  <c r="C13" i="238"/>
  <c r="C13" i="367"/>
  <c r="C13" i="240"/>
  <c r="C13" i="189"/>
  <c r="C13" i="319"/>
  <c r="C13" i="194"/>
  <c r="C13" i="258"/>
  <c r="C13" i="207"/>
  <c r="C13" i="355"/>
  <c r="C13" i="180"/>
  <c r="C13" i="301"/>
  <c r="C13" i="145"/>
  <c r="C13" i="140"/>
  <c r="C13" i="295"/>
  <c r="C13" i="229"/>
  <c r="C13" i="339"/>
  <c r="C13" i="176"/>
  <c r="C13" i="185"/>
  <c r="C13" i="284"/>
  <c r="C13" i="376"/>
  <c r="C13" i="256"/>
  <c r="C13" i="195"/>
  <c r="C13" i="327"/>
  <c r="C13" i="201"/>
  <c r="C13" i="266"/>
  <c r="C13" i="221"/>
  <c r="C13" i="363"/>
  <c r="C13" i="313"/>
  <c r="C13" i="147"/>
  <c r="C13" i="146"/>
  <c r="C13" i="160"/>
  <c r="C13" i="156"/>
  <c r="C13" i="233"/>
  <c r="C13" i="357"/>
  <c r="C13" i="181"/>
  <c r="C13" i="190"/>
  <c r="C13" i="282"/>
  <c r="C13" i="196"/>
  <c r="C13" i="264"/>
  <c r="C13" i="309"/>
  <c r="C13" i="335"/>
  <c r="C13" i="218"/>
  <c r="C13" i="275"/>
  <c r="C13" i="174"/>
  <c r="C13" i="371"/>
  <c r="C13" i="166"/>
  <c r="C13" i="148"/>
  <c r="C13" i="212"/>
  <c r="C13" i="141"/>
  <c r="U10" i="133"/>
  <c r="G23" i="86"/>
  <c r="G23" i="257"/>
  <c r="G23" i="372"/>
  <c r="G23" i="64"/>
  <c r="G23" i="36"/>
  <c r="C33" i="122"/>
  <c r="D33" i="122" s="1"/>
  <c r="E33" i="122" s="1"/>
  <c r="G23" i="34"/>
  <c r="G23" i="29"/>
  <c r="G23" i="379"/>
  <c r="G23" i="267"/>
  <c r="G23" i="97"/>
  <c r="G23" i="39"/>
  <c r="G23" i="95"/>
  <c r="G23" i="135"/>
  <c r="G23" i="374"/>
  <c r="G23" i="344"/>
  <c r="G23" i="80"/>
  <c r="G23" i="55"/>
  <c r="G23" i="61"/>
  <c r="G23" i="308"/>
  <c r="G23" i="32"/>
  <c r="G23" i="73"/>
  <c r="G23" i="101"/>
  <c r="G23" i="381"/>
  <c r="G23" i="77"/>
  <c r="G23" i="338"/>
  <c r="G23" i="366"/>
  <c r="G23" i="72"/>
  <c r="G23" i="43"/>
  <c r="G23" i="53"/>
  <c r="G23" i="261"/>
  <c r="G23" i="104"/>
  <c r="G23" i="237"/>
  <c r="G23" i="66"/>
  <c r="G23" i="82"/>
  <c r="G23" i="57"/>
  <c r="G23" i="274"/>
  <c r="G23" i="42"/>
  <c r="G23" i="328"/>
  <c r="E42" i="293"/>
  <c r="E41" i="293" s="1"/>
  <c r="G23" i="326"/>
  <c r="G23" i="68"/>
  <c r="G23" i="217"/>
  <c r="G23" i="98"/>
  <c r="G23" i="334"/>
  <c r="G23" i="362"/>
  <c r="G23" i="356"/>
  <c r="G23" i="265"/>
  <c r="G23" i="269"/>
  <c r="G23" i="377"/>
  <c r="G23" i="41"/>
  <c r="G23" i="332"/>
  <c r="G23" i="259"/>
  <c r="G23" i="96"/>
  <c r="G23" i="251"/>
  <c r="G23" i="83"/>
  <c r="G23" i="88"/>
  <c r="G23" i="230"/>
  <c r="G23" i="272"/>
  <c r="G23" i="280"/>
  <c r="G23" i="224"/>
  <c r="G23" i="276"/>
  <c r="G23" i="211"/>
  <c r="G23" i="93"/>
  <c r="G23" i="100"/>
  <c r="G23" i="37"/>
  <c r="G23" i="294"/>
  <c r="G23" i="368"/>
  <c r="G23" i="47"/>
  <c r="G23" i="253"/>
  <c r="G23" i="87"/>
  <c r="G23" i="91"/>
  <c r="G23" i="340"/>
  <c r="G23" i="81"/>
  <c r="G23" i="304"/>
  <c r="G23" i="385"/>
  <c r="G23" i="352"/>
  <c r="G23" i="228"/>
  <c r="G23" i="296"/>
  <c r="G23" i="360"/>
  <c r="G23" i="51"/>
  <c r="G23" i="241"/>
  <c r="G23" i="40"/>
  <c r="G23" i="105"/>
  <c r="G23" i="89"/>
  <c r="G23" i="234"/>
  <c r="G23" i="348"/>
  <c r="G23" i="235"/>
  <c r="G23" i="74"/>
  <c r="G23" i="52"/>
  <c r="G23" i="302"/>
  <c r="G23" i="255"/>
  <c r="G23" i="106"/>
  <c r="G23" i="239"/>
  <c r="G23" i="320"/>
  <c r="G23" i="322"/>
  <c r="G23" i="63"/>
  <c r="G23" i="92"/>
  <c r="G23" i="318"/>
  <c r="G23" i="370"/>
  <c r="G23" i="330"/>
  <c r="G23" i="48"/>
  <c r="G23" i="243"/>
  <c r="G23" i="62"/>
  <c r="G23" i="354"/>
  <c r="G23" i="27"/>
  <c r="G23" i="38"/>
  <c r="G23" i="49"/>
  <c r="G23" i="316"/>
  <c r="G23" i="103"/>
  <c r="C13" i="137"/>
  <c r="G23" i="245"/>
  <c r="G23" i="247"/>
  <c r="G23" i="346"/>
  <c r="G23" i="278"/>
  <c r="G23" i="298"/>
  <c r="G23" i="44"/>
  <c r="G23" i="364"/>
  <c r="G23" i="336"/>
  <c r="G23" i="45"/>
  <c r="G23" i="85"/>
  <c r="G23" i="50"/>
  <c r="G23" i="358"/>
  <c r="G23" i="102"/>
  <c r="G23" i="59"/>
  <c r="G23" i="71"/>
  <c r="G23" i="350"/>
  <c r="G23" i="69"/>
  <c r="G23" i="54"/>
  <c r="G23" i="222"/>
  <c r="G23" i="285"/>
  <c r="G23" i="248"/>
  <c r="G23" i="75"/>
  <c r="G23" i="232"/>
  <c r="G23" i="263"/>
  <c r="G23" i="226"/>
  <c r="G23" i="324"/>
  <c r="G23" i="306"/>
  <c r="C13" i="139"/>
  <c r="D21" i="75"/>
  <c r="D21" i="59"/>
  <c r="D21" i="312"/>
  <c r="D21" i="310"/>
  <c r="D21" i="98"/>
  <c r="D21" i="314"/>
  <c r="D21" i="383"/>
  <c r="D21" i="100"/>
  <c r="D21" i="135"/>
  <c r="D21" i="95"/>
  <c r="D21" i="97"/>
  <c r="D21" i="234"/>
  <c r="D21" i="63"/>
  <c r="D21" i="96"/>
  <c r="D21" i="41"/>
  <c r="D21" i="232"/>
  <c r="D21" i="32"/>
  <c r="C4" i="306"/>
  <c r="C4" i="302"/>
  <c r="C4" i="298"/>
  <c r="C4" i="294"/>
  <c r="C4" i="304"/>
  <c r="C4" i="300"/>
  <c r="C4" i="296"/>
  <c r="C4" i="45"/>
  <c r="C4" i="62"/>
  <c r="C4" i="106"/>
  <c r="C4" i="104"/>
  <c r="C4" i="69"/>
  <c r="C4" i="68"/>
  <c r="C4" i="44"/>
  <c r="C4" i="105"/>
  <c r="C4" i="74"/>
  <c r="C4" i="102"/>
  <c r="C4" i="36"/>
  <c r="C4" i="103"/>
  <c r="C4" i="48"/>
  <c r="C4" i="385"/>
  <c r="C4" i="72"/>
  <c r="E21" i="59"/>
  <c r="E21" i="312"/>
  <c r="E21" i="310"/>
  <c r="E21" i="98"/>
  <c r="E21" i="314"/>
  <c r="E21" i="383"/>
  <c r="E21" i="100"/>
  <c r="E21" i="63"/>
  <c r="E21" i="97"/>
  <c r="E21" i="234"/>
  <c r="E21" i="96"/>
  <c r="E21" i="41"/>
  <c r="E21" i="75"/>
  <c r="E21" i="232"/>
  <c r="E21" i="32"/>
  <c r="E21" i="95"/>
  <c r="E21" i="135"/>
  <c r="E13" i="139"/>
  <c r="E13" i="137"/>
  <c r="F21" i="98"/>
  <c r="F21" i="314"/>
  <c r="F21" i="383"/>
  <c r="F21" i="100"/>
  <c r="F21" i="63"/>
  <c r="F21" i="75"/>
  <c r="F21" i="59"/>
  <c r="F21" i="97"/>
  <c r="F21" i="234"/>
  <c r="F21" i="96"/>
  <c r="F21" i="41"/>
  <c r="F21" i="310"/>
  <c r="F21" i="232"/>
  <c r="F21" i="32"/>
  <c r="F21" i="312"/>
  <c r="F21" i="135"/>
  <c r="F21" i="95"/>
  <c r="E22" i="137"/>
  <c r="E103" i="11"/>
  <c r="E62" i="130"/>
  <c r="E61" i="130" s="1"/>
  <c r="E47" i="130" s="1"/>
  <c r="U10" i="20"/>
  <c r="K9" i="11"/>
  <c r="D61" i="129"/>
  <c r="D60" i="129" s="1"/>
  <c r="D45" i="129" s="1"/>
  <c r="E20" i="182" l="1"/>
  <c r="E20" i="562"/>
  <c r="E29" i="215"/>
  <c r="D27" i="215"/>
  <c r="D29" i="215" s="1"/>
  <c r="C14" i="389"/>
  <c r="C20" i="389" s="1"/>
  <c r="C14" i="410"/>
  <c r="C20" i="410" s="1"/>
  <c r="C14" i="450"/>
  <c r="C20" i="450" s="1"/>
  <c r="C14" i="424"/>
  <c r="C20" i="424" s="1"/>
  <c r="C14" i="478"/>
  <c r="C20" i="478" s="1"/>
  <c r="C14" i="557"/>
  <c r="C14" i="397"/>
  <c r="C20" i="397" s="1"/>
  <c r="C14" i="430"/>
  <c r="C20" i="430" s="1"/>
  <c r="C14" i="446"/>
  <c r="C20" i="446" s="1"/>
  <c r="C14" i="476"/>
  <c r="C20" i="476" s="1"/>
  <c r="C14" i="539"/>
  <c r="C20" i="539" s="1"/>
  <c r="C14" i="551"/>
  <c r="C20" i="551" s="1"/>
  <c r="C14" i="560"/>
  <c r="C20" i="560" s="1"/>
  <c r="C14" i="405"/>
  <c r="C14" i="412"/>
  <c r="C20" i="412" s="1"/>
  <c r="C14" i="426"/>
  <c r="C20" i="426" s="1"/>
  <c r="C14" i="444"/>
  <c r="C20" i="444" s="1"/>
  <c r="C14" i="474"/>
  <c r="C20" i="474" s="1"/>
  <c r="C14" i="456"/>
  <c r="C20" i="456" s="1"/>
  <c r="C14" i="531"/>
  <c r="C20" i="531" s="1"/>
  <c r="C14" i="393"/>
  <c r="C20" i="393" s="1"/>
  <c r="C14" i="418"/>
  <c r="C14" i="438"/>
  <c r="C20" i="438" s="1"/>
  <c r="C14" i="436"/>
  <c r="C20" i="436" s="1"/>
  <c r="C14" i="466"/>
  <c r="C20" i="466" s="1"/>
  <c r="C14" i="464"/>
  <c r="C20" i="464" s="1"/>
  <c r="C14" i="549"/>
  <c r="C20" i="549" s="1"/>
  <c r="C14" i="432"/>
  <c r="C20" i="432" s="1"/>
  <c r="C14" i="422"/>
  <c r="C20" i="422" s="1"/>
  <c r="C14" i="470"/>
  <c r="C20" i="470" s="1"/>
  <c r="C14" i="535"/>
  <c r="C20" i="535" s="1"/>
  <c r="C14" i="395"/>
  <c r="C20" i="395" s="1"/>
  <c r="C14" i="404"/>
  <c r="C20" i="404" s="1"/>
  <c r="C14" i="420"/>
  <c r="C20" i="420" s="1"/>
  <c r="C14" i="440"/>
  <c r="C20" i="440" s="1"/>
  <c r="C14" i="468"/>
  <c r="C20" i="468" s="1"/>
  <c r="C14" i="472"/>
  <c r="C20" i="472" s="1"/>
  <c r="C14" i="545"/>
  <c r="C20" i="545" s="1"/>
  <c r="C14" i="402"/>
  <c r="C20" i="402" s="1"/>
  <c r="C14" i="434"/>
  <c r="C20" i="434" s="1"/>
  <c r="C14" i="460"/>
  <c r="C20" i="460" s="1"/>
  <c r="C14" i="400"/>
  <c r="C20" i="400" s="1"/>
  <c r="C14" i="414"/>
  <c r="C20" i="414" s="1"/>
  <c r="C14" i="442"/>
  <c r="C20" i="442" s="1"/>
  <c r="C14" i="454"/>
  <c r="C20" i="454" s="1"/>
  <c r="C14" i="453"/>
  <c r="C20" i="453" s="1"/>
  <c r="C14" i="517"/>
  <c r="C20" i="517" s="1"/>
  <c r="C14" i="182"/>
  <c r="C14" i="391"/>
  <c r="C20" i="391" s="1"/>
  <c r="C14" i="416"/>
  <c r="C20" i="416" s="1"/>
  <c r="C14" i="448"/>
  <c r="C20" i="448" s="1"/>
  <c r="C14" i="462"/>
  <c r="C20" i="462" s="1"/>
  <c r="C14" i="499"/>
  <c r="C20" i="499" s="1"/>
  <c r="C14" i="543"/>
  <c r="C20" i="543" s="1"/>
  <c r="C14" i="503"/>
  <c r="C20" i="503" s="1"/>
  <c r="C14" i="505"/>
  <c r="C20" i="505" s="1"/>
  <c r="C14" i="519"/>
  <c r="C20" i="519" s="1"/>
  <c r="C14" i="533"/>
  <c r="C20" i="533" s="1"/>
  <c r="C14" i="547"/>
  <c r="C20" i="547" s="1"/>
  <c r="C14" i="559"/>
  <c r="C20" i="559" s="1"/>
  <c r="C14" i="507"/>
  <c r="C20" i="507" s="1"/>
  <c r="C14" i="509"/>
  <c r="C20" i="509" s="1"/>
  <c r="C14" i="515"/>
  <c r="C20" i="515" s="1"/>
  <c r="C14" i="511"/>
  <c r="C20" i="511" s="1"/>
  <c r="C14" i="529"/>
  <c r="C20" i="529" s="1"/>
  <c r="C14" i="501"/>
  <c r="C20" i="501" s="1"/>
  <c r="C14" i="513"/>
  <c r="C20" i="513" s="1"/>
  <c r="C14" i="521"/>
  <c r="C20" i="521" s="1"/>
  <c r="C14" i="555"/>
  <c r="C20" i="555" s="1"/>
  <c r="C14" i="525"/>
  <c r="C20" i="525" s="1"/>
  <c r="C14" i="523"/>
  <c r="C20" i="523" s="1"/>
  <c r="C14" i="527"/>
  <c r="C20" i="527" s="1"/>
  <c r="C14" i="537"/>
  <c r="C20" i="537" s="1"/>
  <c r="C14" i="541"/>
  <c r="C20" i="541" s="1"/>
  <c r="C7" i="562"/>
  <c r="E8" i="562"/>
  <c r="F8" i="562" s="1"/>
  <c r="E7" i="137"/>
  <c r="D11" i="561"/>
  <c r="E20" i="560"/>
  <c r="E8" i="137"/>
  <c r="E20" i="519"/>
  <c r="E20" i="513"/>
  <c r="E7" i="560"/>
  <c r="F23" i="554"/>
  <c r="E23" i="554"/>
  <c r="D23" i="554"/>
  <c r="F23" i="556"/>
  <c r="D23" i="556"/>
  <c r="E23" i="556"/>
  <c r="D23" i="558"/>
  <c r="F23" i="558"/>
  <c r="E23" i="558"/>
  <c r="C40" i="359"/>
  <c r="F23" i="358"/>
  <c r="E23" i="358"/>
  <c r="D23" i="358"/>
  <c r="C40" i="305"/>
  <c r="E40" i="305" s="1"/>
  <c r="E41" i="305" s="1"/>
  <c r="D23" i="304"/>
  <c r="F23" i="304"/>
  <c r="E23" i="304"/>
  <c r="C40" i="367"/>
  <c r="C41" i="367" s="1"/>
  <c r="F23" i="366"/>
  <c r="E23" i="366"/>
  <c r="D23" i="366"/>
  <c r="C40" i="456"/>
  <c r="G40" i="456" s="1"/>
  <c r="G41" i="456" s="1"/>
  <c r="D23" i="455"/>
  <c r="F23" i="455"/>
  <c r="E23" i="455"/>
  <c r="F23" i="540"/>
  <c r="E23" i="540"/>
  <c r="D23" i="540"/>
  <c r="C40" i="307"/>
  <c r="C41" i="307" s="1"/>
  <c r="F23" i="306"/>
  <c r="E23" i="306"/>
  <c r="D23" i="306"/>
  <c r="C40" i="223"/>
  <c r="G40" i="223" s="1"/>
  <c r="G41" i="223" s="1"/>
  <c r="F23" i="222"/>
  <c r="E23" i="222"/>
  <c r="D23" i="222"/>
  <c r="C40" i="207"/>
  <c r="C41" i="207" s="1"/>
  <c r="D23" i="50"/>
  <c r="F23" i="50"/>
  <c r="E23" i="50"/>
  <c r="C40" i="347"/>
  <c r="C41" i="347" s="1"/>
  <c r="D23" i="346"/>
  <c r="E23" i="346"/>
  <c r="F23" i="346"/>
  <c r="C40" i="199"/>
  <c r="C41" i="199" s="1"/>
  <c r="F23" i="92"/>
  <c r="E23" i="92"/>
  <c r="D23" i="92"/>
  <c r="C40" i="197"/>
  <c r="C41" i="197" s="1"/>
  <c r="D23" i="52"/>
  <c r="F23" i="52"/>
  <c r="E23" i="52"/>
  <c r="C40" i="242"/>
  <c r="C41" i="242" s="1"/>
  <c r="F23" i="241"/>
  <c r="E23" i="241"/>
  <c r="D23" i="241"/>
  <c r="C40" i="196"/>
  <c r="E40" i="196" s="1"/>
  <c r="E41" i="196" s="1"/>
  <c r="F23" i="81"/>
  <c r="E23" i="81"/>
  <c r="D23" i="81"/>
  <c r="C40" i="231"/>
  <c r="C41" i="231" s="1"/>
  <c r="F23" i="230"/>
  <c r="E23" i="230"/>
  <c r="D23" i="230"/>
  <c r="C40" i="378"/>
  <c r="E40" i="378" s="1"/>
  <c r="E41" i="378" s="1"/>
  <c r="F23" i="377"/>
  <c r="E23" i="377"/>
  <c r="D23" i="377"/>
  <c r="F23" i="68"/>
  <c r="E23" i="68"/>
  <c r="D23" i="68"/>
  <c r="C40" i="193"/>
  <c r="G40" i="193" s="1"/>
  <c r="G41" i="193" s="1"/>
  <c r="F23" i="66"/>
  <c r="E23" i="66"/>
  <c r="D23" i="66"/>
  <c r="C40" i="339"/>
  <c r="C41" i="339" s="1"/>
  <c r="F23" i="338"/>
  <c r="E23" i="338"/>
  <c r="D23" i="338"/>
  <c r="C40" i="195"/>
  <c r="E40" i="195" s="1"/>
  <c r="E41" i="195" s="1"/>
  <c r="F23" i="55"/>
  <c r="E23" i="55"/>
  <c r="D23" i="55"/>
  <c r="C40" i="268"/>
  <c r="E40" i="268" s="1"/>
  <c r="E41" i="268" s="1"/>
  <c r="F23" i="267"/>
  <c r="E23" i="267"/>
  <c r="D23" i="267"/>
  <c r="C40" i="258"/>
  <c r="C41" i="258" s="1"/>
  <c r="F23" i="257"/>
  <c r="E23" i="257"/>
  <c r="D23" i="257"/>
  <c r="C40" i="343"/>
  <c r="C41" i="343" s="1"/>
  <c r="F23" i="342"/>
  <c r="E23" i="342"/>
  <c r="D23" i="342"/>
  <c r="F23" i="392"/>
  <c r="E23" i="392"/>
  <c r="D23" i="392"/>
  <c r="D23" i="390"/>
  <c r="F23" i="390"/>
  <c r="E23" i="390"/>
  <c r="C40" i="301"/>
  <c r="G40" i="301" s="1"/>
  <c r="G41" i="301" s="1"/>
  <c r="F23" i="300"/>
  <c r="E23" i="300"/>
  <c r="D23" i="300"/>
  <c r="E23" i="413"/>
  <c r="D23" i="413"/>
  <c r="F23" i="413"/>
  <c r="F23" i="425"/>
  <c r="E23" i="425"/>
  <c r="D23" i="425"/>
  <c r="F23" i="421"/>
  <c r="E23" i="421"/>
  <c r="D23" i="421"/>
  <c r="F23" i="459"/>
  <c r="E23" i="459"/>
  <c r="D23" i="459"/>
  <c r="F23" i="528"/>
  <c r="E23" i="528"/>
  <c r="D23" i="528"/>
  <c r="F23" i="502"/>
  <c r="E23" i="502"/>
  <c r="D23" i="502"/>
  <c r="D23" i="510"/>
  <c r="F23" i="510"/>
  <c r="E23" i="510"/>
  <c r="F23" i="302"/>
  <c r="E23" i="302"/>
  <c r="D23" i="302"/>
  <c r="F23" i="217"/>
  <c r="E23" i="217"/>
  <c r="D23" i="217"/>
  <c r="F23" i="447"/>
  <c r="E23" i="447"/>
  <c r="D23" i="447"/>
  <c r="D23" i="516"/>
  <c r="E23" i="516"/>
  <c r="F23" i="516"/>
  <c r="C40" i="325"/>
  <c r="C41" i="325" s="1"/>
  <c r="E23" i="324"/>
  <c r="D23" i="324"/>
  <c r="F23" i="324"/>
  <c r="C40" i="188"/>
  <c r="G40" i="188" s="1"/>
  <c r="G41" i="188" s="1"/>
  <c r="F23" i="54"/>
  <c r="E23" i="54"/>
  <c r="D23" i="54"/>
  <c r="C40" i="284"/>
  <c r="C41" i="284" s="1"/>
  <c r="F23" i="247"/>
  <c r="E23" i="247"/>
  <c r="D23" i="247"/>
  <c r="F23" i="354"/>
  <c r="E23" i="354"/>
  <c r="D23" i="354"/>
  <c r="F23" i="63"/>
  <c r="D23" i="63"/>
  <c r="E23" i="63"/>
  <c r="F23" i="74"/>
  <c r="E23" i="74"/>
  <c r="D23" i="74"/>
  <c r="C40" i="208"/>
  <c r="C41" i="208" s="1"/>
  <c r="F23" i="51"/>
  <c r="E23" i="51"/>
  <c r="D23" i="51"/>
  <c r="G29" i="340"/>
  <c r="E23" i="340"/>
  <c r="E29" i="340" s="1"/>
  <c r="D23" i="340"/>
  <c r="F23" i="340"/>
  <c r="C40" i="179"/>
  <c r="E40" i="179" s="1"/>
  <c r="E41" i="179" s="1"/>
  <c r="D23" i="100"/>
  <c r="E23" i="100"/>
  <c r="F23" i="100"/>
  <c r="F23" i="88"/>
  <c r="E23" i="88"/>
  <c r="D23" i="88"/>
  <c r="C40" i="271"/>
  <c r="C41" i="271" s="1"/>
  <c r="D23" i="269"/>
  <c r="F23" i="269"/>
  <c r="E23" i="269"/>
  <c r="F23" i="326"/>
  <c r="E23" i="326"/>
  <c r="D23" i="326"/>
  <c r="C40" i="238"/>
  <c r="C41" i="238" s="1"/>
  <c r="F23" i="237"/>
  <c r="E23" i="237"/>
  <c r="D23" i="237"/>
  <c r="C40" i="198"/>
  <c r="G40" i="198" s="1"/>
  <c r="G41" i="198" s="1"/>
  <c r="F23" i="77"/>
  <c r="E23" i="77"/>
  <c r="D23" i="77"/>
  <c r="C40" i="189"/>
  <c r="E40" i="189" s="1"/>
  <c r="E41" i="189" s="1"/>
  <c r="D23" i="80"/>
  <c r="F23" i="80"/>
  <c r="E23" i="80"/>
  <c r="C40" i="380"/>
  <c r="C41" i="380" s="1"/>
  <c r="D23" i="379"/>
  <c r="E23" i="379"/>
  <c r="F23" i="379"/>
  <c r="C40" i="185"/>
  <c r="C41" i="185" s="1"/>
  <c r="F23" i="86"/>
  <c r="E23" i="86"/>
  <c r="D23" i="86"/>
  <c r="E25" i="453"/>
  <c r="E22" i="453" s="1"/>
  <c r="F23" i="408"/>
  <c r="E23" i="408"/>
  <c r="D23" i="408"/>
  <c r="C40" i="184"/>
  <c r="C41" i="184" s="1"/>
  <c r="F23" i="56"/>
  <c r="E23" i="56"/>
  <c r="D23" i="56"/>
  <c r="E23" i="19"/>
  <c r="F23" i="19"/>
  <c r="C40" i="410"/>
  <c r="C41" i="410" s="1"/>
  <c r="F23" i="409"/>
  <c r="E23" i="409"/>
  <c r="D23" i="409"/>
  <c r="F23" i="417"/>
  <c r="E23" i="417"/>
  <c r="D23" i="417"/>
  <c r="F23" i="431"/>
  <c r="E23" i="431"/>
  <c r="D23" i="431"/>
  <c r="E23" i="429"/>
  <c r="D23" i="429"/>
  <c r="F23" i="429"/>
  <c r="F23" i="471"/>
  <c r="E23" i="471"/>
  <c r="D23" i="471"/>
  <c r="F23" i="534"/>
  <c r="E23" i="534"/>
  <c r="D23" i="534"/>
  <c r="F23" i="544"/>
  <c r="E23" i="544"/>
  <c r="D23" i="544"/>
  <c r="F23" i="520"/>
  <c r="E23" i="520"/>
  <c r="D23" i="520"/>
  <c r="C40" i="279"/>
  <c r="C41" i="279" s="1"/>
  <c r="F23" i="278"/>
  <c r="E23" i="278"/>
  <c r="D23" i="278"/>
  <c r="C40" i="295"/>
  <c r="G40" i="295" s="1"/>
  <c r="G41" i="295" s="1"/>
  <c r="F23" i="294"/>
  <c r="E23" i="294"/>
  <c r="D23" i="294"/>
  <c r="C40" i="186"/>
  <c r="C41" i="186" s="1"/>
  <c r="E23" i="61"/>
  <c r="D23" i="61"/>
  <c r="F23" i="61"/>
  <c r="F23" i="550"/>
  <c r="E23" i="550"/>
  <c r="D23" i="550"/>
  <c r="C40" i="227"/>
  <c r="C41" i="227" s="1"/>
  <c r="E23" i="226"/>
  <c r="D23" i="226"/>
  <c r="F23" i="226"/>
  <c r="C40" i="151"/>
  <c r="G40" i="151" s="1"/>
  <c r="G41" i="151" s="1"/>
  <c r="D23" i="69"/>
  <c r="F23" i="69"/>
  <c r="E23" i="69"/>
  <c r="C40" i="159"/>
  <c r="G40" i="159" s="1"/>
  <c r="G41" i="159" s="1"/>
  <c r="F23" i="45"/>
  <c r="E23" i="45"/>
  <c r="D23" i="45"/>
  <c r="C40" i="246"/>
  <c r="C41" i="246" s="1"/>
  <c r="F23" i="245"/>
  <c r="E23" i="245"/>
  <c r="D23" i="245"/>
  <c r="C40" i="157"/>
  <c r="C41" i="157" s="1"/>
  <c r="F23" i="62"/>
  <c r="E23" i="62"/>
  <c r="D23" i="62"/>
  <c r="F23" i="322"/>
  <c r="E23" i="322"/>
  <c r="D23" i="322"/>
  <c r="C40" i="236"/>
  <c r="C41" i="236" s="1"/>
  <c r="F23" i="235"/>
  <c r="E23" i="235"/>
  <c r="D23" i="235"/>
  <c r="C40" i="361"/>
  <c r="C41" i="361" s="1"/>
  <c r="F23" i="360"/>
  <c r="E23" i="360"/>
  <c r="D23" i="360"/>
  <c r="C40" i="200"/>
  <c r="C41" i="200" s="1"/>
  <c r="F23" i="91"/>
  <c r="E23" i="91"/>
  <c r="D23" i="91"/>
  <c r="C40" i="206"/>
  <c r="C41" i="206" s="1"/>
  <c r="F23" i="93"/>
  <c r="E23" i="93"/>
  <c r="D23" i="93"/>
  <c r="C40" i="203"/>
  <c r="C41" i="203" s="1"/>
  <c r="F23" i="83"/>
  <c r="E23" i="83"/>
  <c r="D23" i="83"/>
  <c r="E23" i="265"/>
  <c r="D23" i="265"/>
  <c r="F23" i="265"/>
  <c r="C40" i="153"/>
  <c r="C41" i="153" s="1"/>
  <c r="E23" i="104"/>
  <c r="D23" i="104"/>
  <c r="F23" i="104"/>
  <c r="C40" i="382"/>
  <c r="G40" i="382" s="1"/>
  <c r="G41" i="382" s="1"/>
  <c r="F23" i="381"/>
  <c r="E23" i="381"/>
  <c r="D23" i="381"/>
  <c r="C40" i="345"/>
  <c r="F23" i="344"/>
  <c r="E23" i="344"/>
  <c r="D23" i="344"/>
  <c r="C40" i="201"/>
  <c r="C41" i="201" s="1"/>
  <c r="F23" i="29"/>
  <c r="E23" i="29"/>
  <c r="D23" i="29"/>
  <c r="F23" i="394"/>
  <c r="E23" i="394"/>
  <c r="D23" i="394"/>
  <c r="C40" i="315"/>
  <c r="C41" i="315" s="1"/>
  <c r="F23" i="314"/>
  <c r="E23" i="314"/>
  <c r="D23" i="314"/>
  <c r="F23" i="411"/>
  <c r="E23" i="411"/>
  <c r="D23" i="411"/>
  <c r="F23" i="437"/>
  <c r="E23" i="437"/>
  <c r="D23" i="437"/>
  <c r="F23" i="475"/>
  <c r="E23" i="475"/>
  <c r="D23" i="475"/>
  <c r="D23" i="548"/>
  <c r="F23" i="548"/>
  <c r="E23" i="548"/>
  <c r="E23" i="498"/>
  <c r="D23" i="498"/>
  <c r="F23" i="498"/>
  <c r="D23" i="532"/>
  <c r="E23" i="532"/>
  <c r="F23" i="532"/>
  <c r="E23" i="97"/>
  <c r="D23" i="97"/>
  <c r="F23" i="97"/>
  <c r="C40" i="351"/>
  <c r="C41" i="351" s="1"/>
  <c r="F23" i="350"/>
  <c r="E23" i="350"/>
  <c r="D23" i="350"/>
  <c r="C40" i="244"/>
  <c r="C41" i="244" s="1"/>
  <c r="F23" i="243"/>
  <c r="E23" i="243"/>
  <c r="D23" i="243"/>
  <c r="C40" i="297"/>
  <c r="C41" i="297" s="1"/>
  <c r="F23" i="296"/>
  <c r="E23" i="296"/>
  <c r="D23" i="296"/>
  <c r="C40" i="212"/>
  <c r="C41" i="212" s="1"/>
  <c r="F23" i="211"/>
  <c r="E23" i="211"/>
  <c r="D23" i="211"/>
  <c r="C40" i="252"/>
  <c r="G40" i="252" s="1"/>
  <c r="G41" i="252" s="1"/>
  <c r="F23" i="251"/>
  <c r="E23" i="251"/>
  <c r="D23" i="251"/>
  <c r="F23" i="328"/>
  <c r="E23" i="328"/>
  <c r="D23" i="328"/>
  <c r="F23" i="261"/>
  <c r="E23" i="261"/>
  <c r="D23" i="261"/>
  <c r="F23" i="101"/>
  <c r="E23" i="101"/>
  <c r="D23" i="101"/>
  <c r="C40" i="376"/>
  <c r="C41" i="376" s="1"/>
  <c r="F23" i="374"/>
  <c r="E23" i="374"/>
  <c r="D23" i="374"/>
  <c r="E23" i="34"/>
  <c r="D23" i="34"/>
  <c r="F23" i="34"/>
  <c r="E23" i="399"/>
  <c r="D23" i="399"/>
  <c r="F23" i="399"/>
  <c r="D23" i="435"/>
  <c r="F23" i="435"/>
  <c r="E23" i="435"/>
  <c r="F23" i="439"/>
  <c r="E23" i="439"/>
  <c r="D23" i="439"/>
  <c r="F23" i="463"/>
  <c r="E23" i="463"/>
  <c r="D23" i="463"/>
  <c r="F23" i="500"/>
  <c r="E23" i="500"/>
  <c r="D23" i="500"/>
  <c r="F23" i="524"/>
  <c r="E23" i="524"/>
  <c r="D23" i="524"/>
  <c r="F23" i="508"/>
  <c r="E23" i="508"/>
  <c r="D23" i="508"/>
  <c r="D23" i="538"/>
  <c r="F23" i="538"/>
  <c r="E23" i="538"/>
  <c r="C40" i="250"/>
  <c r="C41" i="250" s="1"/>
  <c r="F23" i="285"/>
  <c r="E23" i="285"/>
  <c r="D23" i="285"/>
  <c r="C40" i="146"/>
  <c r="E40" i="146" s="1"/>
  <c r="F23" i="40"/>
  <c r="E23" i="40"/>
  <c r="D23" i="40"/>
  <c r="C40" i="168"/>
  <c r="G40" i="168" s="1"/>
  <c r="G41" i="168" s="1"/>
  <c r="F23" i="82"/>
  <c r="E23" i="82"/>
  <c r="D23" i="82"/>
  <c r="E23" i="461"/>
  <c r="D23" i="461"/>
  <c r="F23" i="461"/>
  <c r="F23" i="514"/>
  <c r="E23" i="514"/>
  <c r="D23" i="514"/>
  <c r="C40" i="264"/>
  <c r="C41" i="264" s="1"/>
  <c r="F23" i="263"/>
  <c r="E23" i="263"/>
  <c r="D23" i="263"/>
  <c r="C40" i="337"/>
  <c r="C41" i="337" s="1"/>
  <c r="D23" i="336"/>
  <c r="F23" i="336"/>
  <c r="E23" i="336"/>
  <c r="C40" i="321"/>
  <c r="G40" i="321" s="1"/>
  <c r="G41" i="321" s="1"/>
  <c r="F23" i="320"/>
  <c r="E23" i="320"/>
  <c r="D23" i="320"/>
  <c r="C40" i="349"/>
  <c r="C41" i="349" s="1"/>
  <c r="F23" i="348"/>
  <c r="E23" i="348"/>
  <c r="D23" i="348"/>
  <c r="C40" i="190"/>
  <c r="C41" i="190" s="1"/>
  <c r="F23" i="87"/>
  <c r="E23" i="87"/>
  <c r="D23" i="87"/>
  <c r="C40" i="357"/>
  <c r="C41" i="357" s="1"/>
  <c r="E23" i="356"/>
  <c r="D23" i="356"/>
  <c r="F23" i="356"/>
  <c r="C40" i="233"/>
  <c r="G40" i="233" s="1"/>
  <c r="G41" i="233" s="1"/>
  <c r="F23" i="232"/>
  <c r="E23" i="232"/>
  <c r="D23" i="232"/>
  <c r="C40" i="365"/>
  <c r="C41" i="365" s="1"/>
  <c r="F23" i="364"/>
  <c r="E23" i="364"/>
  <c r="D23" i="364"/>
  <c r="F23" i="103"/>
  <c r="E23" i="103"/>
  <c r="D23" i="103"/>
  <c r="F23" i="48"/>
  <c r="E23" i="48"/>
  <c r="D23" i="48"/>
  <c r="D23" i="239"/>
  <c r="F23" i="239"/>
  <c r="E23" i="239"/>
  <c r="F23" i="234"/>
  <c r="D23" i="234"/>
  <c r="E23" i="234"/>
  <c r="C40" i="229"/>
  <c r="C41" i="229" s="1"/>
  <c r="F23" i="228"/>
  <c r="E23" i="228"/>
  <c r="D23" i="228"/>
  <c r="C40" i="254"/>
  <c r="G40" i="254" s="1"/>
  <c r="G41" i="254" s="1"/>
  <c r="D23" i="253"/>
  <c r="F23" i="253"/>
  <c r="E23" i="253"/>
  <c r="C40" i="277"/>
  <c r="G40" i="277" s="1"/>
  <c r="G41" i="277" s="1"/>
  <c r="F23" i="276"/>
  <c r="E23" i="276"/>
  <c r="D23" i="276"/>
  <c r="C40" i="174"/>
  <c r="G40" i="174" s="1"/>
  <c r="G41" i="174" s="1"/>
  <c r="F23" i="96"/>
  <c r="E23" i="96"/>
  <c r="D23" i="96"/>
  <c r="C40" i="363"/>
  <c r="C41" i="363" s="1"/>
  <c r="D23" i="362"/>
  <c r="E23" i="362"/>
  <c r="F23" i="362"/>
  <c r="D23" i="42"/>
  <c r="F23" i="42"/>
  <c r="E23" i="42"/>
  <c r="C40" i="202"/>
  <c r="E40" i="202" s="1"/>
  <c r="E41" i="202" s="1"/>
  <c r="E23" i="53"/>
  <c r="D23" i="53"/>
  <c r="F23" i="53"/>
  <c r="F23" i="73"/>
  <c r="E23" i="73"/>
  <c r="D23" i="73"/>
  <c r="C40" i="175"/>
  <c r="C41" i="175" s="1"/>
  <c r="E23" i="135"/>
  <c r="D23" i="135"/>
  <c r="F23" i="135"/>
  <c r="F23" i="396"/>
  <c r="E23" i="396"/>
  <c r="D23" i="396"/>
  <c r="D23" i="441"/>
  <c r="F23" i="441"/>
  <c r="E23" i="441"/>
  <c r="C40" i="454"/>
  <c r="C41" i="454" s="1"/>
  <c r="F23" i="457"/>
  <c r="E23" i="457"/>
  <c r="D23" i="457"/>
  <c r="F23" i="465"/>
  <c r="E23" i="465"/>
  <c r="D23" i="465"/>
  <c r="D23" i="522"/>
  <c r="F23" i="522"/>
  <c r="E23" i="522"/>
  <c r="F23" i="518"/>
  <c r="E23" i="518"/>
  <c r="D23" i="518"/>
  <c r="F23" i="506"/>
  <c r="E23" i="506"/>
  <c r="D23" i="506"/>
  <c r="F23" i="318"/>
  <c r="E23" i="318"/>
  <c r="D23" i="318"/>
  <c r="C40" i="172"/>
  <c r="E40" i="172" s="1"/>
  <c r="E41" i="172" s="1"/>
  <c r="F23" i="41"/>
  <c r="E23" i="41"/>
  <c r="D23" i="41"/>
  <c r="F23" i="403"/>
  <c r="E23" i="403"/>
  <c r="D23" i="403"/>
  <c r="D23" i="419"/>
  <c r="F23" i="419"/>
  <c r="E23" i="419"/>
  <c r="C40" i="177"/>
  <c r="C41" i="177" s="1"/>
  <c r="E23" i="75"/>
  <c r="D23" i="75"/>
  <c r="F23" i="75"/>
  <c r="C40" i="163"/>
  <c r="C41" i="163" s="1"/>
  <c r="F23" i="59"/>
  <c r="E23" i="59"/>
  <c r="D23" i="59"/>
  <c r="C40" i="148"/>
  <c r="G40" i="148" s="1"/>
  <c r="G41" i="148" s="1"/>
  <c r="F23" i="44"/>
  <c r="E23" i="44"/>
  <c r="D23" i="44"/>
  <c r="F23" i="316"/>
  <c r="E23" i="316"/>
  <c r="D23" i="316"/>
  <c r="D23" i="330"/>
  <c r="F23" i="330"/>
  <c r="E23" i="330"/>
  <c r="F23" i="106"/>
  <c r="E23" i="106"/>
  <c r="D23" i="106"/>
  <c r="C40" i="192"/>
  <c r="C41" i="192" s="1"/>
  <c r="F23" i="89"/>
  <c r="E23" i="89"/>
  <c r="D23" i="89"/>
  <c r="C40" i="353"/>
  <c r="C41" i="353" s="1"/>
  <c r="D23" i="352"/>
  <c r="F23" i="352"/>
  <c r="E23" i="352"/>
  <c r="C40" i="205"/>
  <c r="E40" i="205" s="1"/>
  <c r="E41" i="205" s="1"/>
  <c r="D23" i="47"/>
  <c r="F23" i="47"/>
  <c r="E23" i="47"/>
  <c r="C40" i="225"/>
  <c r="E40" i="225" s="1"/>
  <c r="E41" i="225" s="1"/>
  <c r="F23" i="224"/>
  <c r="E23" i="224"/>
  <c r="D23" i="224"/>
  <c r="F23" i="259"/>
  <c r="E23" i="259"/>
  <c r="D23" i="259"/>
  <c r="C40" i="335"/>
  <c r="C41" i="335" s="1"/>
  <c r="F23" i="334"/>
  <c r="E23" i="334"/>
  <c r="D23" i="334"/>
  <c r="C40" i="275"/>
  <c r="G40" i="275" s="1"/>
  <c r="G41" i="275" s="1"/>
  <c r="F23" i="274"/>
  <c r="E23" i="274"/>
  <c r="D23" i="274"/>
  <c r="C40" i="164"/>
  <c r="G40" i="164" s="1"/>
  <c r="G41" i="164" s="1"/>
  <c r="F23" i="43"/>
  <c r="E23" i="43"/>
  <c r="D23" i="43"/>
  <c r="C40" i="171"/>
  <c r="E40" i="171" s="1"/>
  <c r="E41" i="171" s="1"/>
  <c r="E23" i="32"/>
  <c r="F23" i="32"/>
  <c r="D23" i="32"/>
  <c r="C40" i="173"/>
  <c r="C41" i="173" s="1"/>
  <c r="E23" i="95"/>
  <c r="F23" i="95"/>
  <c r="D23" i="95"/>
  <c r="F23" i="36"/>
  <c r="E23" i="36"/>
  <c r="D23" i="36"/>
  <c r="D23" i="398"/>
  <c r="E23" i="398"/>
  <c r="F23" i="398"/>
  <c r="C40" i="311"/>
  <c r="C41" i="311" s="1"/>
  <c r="F23" i="310"/>
  <c r="E23" i="310"/>
  <c r="D23" i="310"/>
  <c r="F23" i="433"/>
  <c r="E23" i="433"/>
  <c r="D23" i="433"/>
  <c r="F23" i="443"/>
  <c r="E23" i="443"/>
  <c r="D23" i="443"/>
  <c r="C40" i="453"/>
  <c r="G40" i="453" s="1"/>
  <c r="G41" i="453" s="1"/>
  <c r="D23" i="452"/>
  <c r="F23" i="452"/>
  <c r="E23" i="452"/>
  <c r="F23" i="469"/>
  <c r="E23" i="469"/>
  <c r="D23" i="469"/>
  <c r="D23" i="473"/>
  <c r="F23" i="473"/>
  <c r="E23" i="473"/>
  <c r="E23" i="542"/>
  <c r="D23" i="542"/>
  <c r="F23" i="542"/>
  <c r="F23" i="536"/>
  <c r="E23" i="536"/>
  <c r="D23" i="536"/>
  <c r="E23" i="526"/>
  <c r="D23" i="526"/>
  <c r="F23" i="526"/>
  <c r="F23" i="530"/>
  <c r="E23" i="530"/>
  <c r="D23" i="530"/>
  <c r="E23" i="38"/>
  <c r="E29" i="38" s="1"/>
  <c r="D23" i="38"/>
  <c r="F23" i="38"/>
  <c r="C40" i="273"/>
  <c r="G40" i="273" s="1"/>
  <c r="G41" i="273" s="1"/>
  <c r="F23" i="272"/>
  <c r="E23" i="272"/>
  <c r="D23" i="272"/>
  <c r="E23" i="372"/>
  <c r="D23" i="372"/>
  <c r="F23" i="372"/>
  <c r="F23" i="423"/>
  <c r="E23" i="423"/>
  <c r="D23" i="423"/>
  <c r="C40" i="249"/>
  <c r="G40" i="249" s="1"/>
  <c r="G41" i="249" s="1"/>
  <c r="E23" i="248"/>
  <c r="D23" i="248"/>
  <c r="F23" i="248"/>
  <c r="C40" i="156"/>
  <c r="C41" i="156" s="1"/>
  <c r="D23" i="102"/>
  <c r="E23" i="102"/>
  <c r="F23" i="102"/>
  <c r="C40" i="299"/>
  <c r="E40" i="299" s="1"/>
  <c r="E41" i="299" s="1"/>
  <c r="D23" i="298"/>
  <c r="E23" i="298"/>
  <c r="F23" i="298"/>
  <c r="C40" i="371"/>
  <c r="G40" i="371" s="1"/>
  <c r="G41" i="371" s="1"/>
  <c r="F23" i="370"/>
  <c r="E23" i="370"/>
  <c r="D23" i="370"/>
  <c r="C40" i="256"/>
  <c r="E40" i="256" s="1"/>
  <c r="E41" i="256" s="1"/>
  <c r="F23" i="255"/>
  <c r="E23" i="255"/>
  <c r="D23" i="255"/>
  <c r="C40" i="160"/>
  <c r="E40" i="160" s="1"/>
  <c r="E41" i="160" s="1"/>
  <c r="F23" i="105"/>
  <c r="E23" i="105"/>
  <c r="D23" i="105"/>
  <c r="C40" i="386"/>
  <c r="C41" i="386" s="1"/>
  <c r="D23" i="385"/>
  <c r="E23" i="385"/>
  <c r="F23" i="385"/>
  <c r="D23" i="368"/>
  <c r="F23" i="368"/>
  <c r="E23" i="368"/>
  <c r="E23" i="280"/>
  <c r="D23" i="280"/>
  <c r="F23" i="280"/>
  <c r="C40" i="333"/>
  <c r="C41" i="333" s="1"/>
  <c r="F23" i="332"/>
  <c r="E23" i="332"/>
  <c r="D23" i="332"/>
  <c r="D23" i="98"/>
  <c r="E23" i="98"/>
  <c r="F23" i="98"/>
  <c r="F23" i="57"/>
  <c r="E23" i="57"/>
  <c r="D23" i="57"/>
  <c r="E23" i="72"/>
  <c r="D23" i="72"/>
  <c r="F23" i="72"/>
  <c r="F23" i="308"/>
  <c r="E23" i="308"/>
  <c r="D23" i="308"/>
  <c r="F23" i="39"/>
  <c r="E23" i="39"/>
  <c r="D23" i="39"/>
  <c r="F23" i="401"/>
  <c r="E23" i="401"/>
  <c r="D23" i="401"/>
  <c r="F23" i="383"/>
  <c r="D23" i="383"/>
  <c r="E23" i="383"/>
  <c r="F23" i="415"/>
  <c r="E23" i="415"/>
  <c r="D23" i="415"/>
  <c r="F23" i="445"/>
  <c r="E23" i="445"/>
  <c r="D23" i="445"/>
  <c r="F23" i="449"/>
  <c r="E23" i="449"/>
  <c r="D23" i="449"/>
  <c r="D23" i="467"/>
  <c r="E23" i="467"/>
  <c r="F23" i="467"/>
  <c r="E23" i="477"/>
  <c r="D23" i="477"/>
  <c r="F23" i="477"/>
  <c r="C40" i="560"/>
  <c r="G40" i="560" s="1"/>
  <c r="G41" i="560" s="1"/>
  <c r="F23" i="552"/>
  <c r="E23" i="552"/>
  <c r="D23" i="552"/>
  <c r="F23" i="546"/>
  <c r="E23" i="546"/>
  <c r="D23" i="546"/>
  <c r="D23" i="504"/>
  <c r="E23" i="504"/>
  <c r="F23" i="504"/>
  <c r="C40" i="183"/>
  <c r="C41" i="183" s="1"/>
  <c r="D23" i="71"/>
  <c r="F23" i="71"/>
  <c r="E23" i="71"/>
  <c r="F23" i="37"/>
  <c r="E23" i="37"/>
  <c r="D23" i="37"/>
  <c r="E11" i="19"/>
  <c r="E25" i="446" s="1"/>
  <c r="E22" i="446" s="1"/>
  <c r="D24" i="17"/>
  <c r="F24" i="17"/>
  <c r="E24" i="17"/>
  <c r="C40" i="140"/>
  <c r="C42" i="140" s="1"/>
  <c r="F23" i="85"/>
  <c r="E23" i="85"/>
  <c r="D23" i="85"/>
  <c r="D23" i="27"/>
  <c r="F23" i="27"/>
  <c r="E23" i="27"/>
  <c r="F23" i="49"/>
  <c r="D23" i="49"/>
  <c r="E23" i="49"/>
  <c r="F23" i="64"/>
  <c r="E23" i="64"/>
  <c r="D23" i="64"/>
  <c r="E8" i="182"/>
  <c r="F8" i="182" s="1"/>
  <c r="E8" i="560"/>
  <c r="F8" i="560" s="1"/>
  <c r="E7" i="182"/>
  <c r="E20" i="515"/>
  <c r="E20" i="539"/>
  <c r="E20" i="551"/>
  <c r="E20" i="511"/>
  <c r="E20" i="557"/>
  <c r="E20" i="545"/>
  <c r="E20" i="537"/>
  <c r="C25" i="545"/>
  <c r="C22" i="545" s="1"/>
  <c r="C25" i="541"/>
  <c r="C22" i="541" s="1"/>
  <c r="D11" i="524"/>
  <c r="C25" i="551"/>
  <c r="C22" i="551" s="1"/>
  <c r="C25" i="521"/>
  <c r="C22" i="521" s="1"/>
  <c r="C25" i="517"/>
  <c r="C22" i="517" s="1"/>
  <c r="C25" i="509"/>
  <c r="C22" i="509" s="1"/>
  <c r="C25" i="557"/>
  <c r="C22" i="557" s="1"/>
  <c r="C25" i="531"/>
  <c r="C22" i="531" s="1"/>
  <c r="C25" i="525"/>
  <c r="C22" i="525" s="1"/>
  <c r="C25" i="499"/>
  <c r="C22" i="499" s="1"/>
  <c r="D11" i="508"/>
  <c r="C25" i="539"/>
  <c r="C22" i="539" s="1"/>
  <c r="C25" i="535"/>
  <c r="C22" i="535" s="1"/>
  <c r="C25" i="513"/>
  <c r="C22" i="513" s="1"/>
  <c r="C25" i="501"/>
  <c r="C22" i="501" s="1"/>
  <c r="D11" i="556"/>
  <c r="D11" i="554"/>
  <c r="D11" i="510"/>
  <c r="D11" i="506"/>
  <c r="C25" i="543"/>
  <c r="C22" i="543" s="1"/>
  <c r="C25" i="505"/>
  <c r="C22" i="505" s="1"/>
  <c r="D11" i="558"/>
  <c r="D11" i="538"/>
  <c r="D11" i="516"/>
  <c r="D11" i="504"/>
  <c r="C25" i="559"/>
  <c r="C22" i="559" s="1"/>
  <c r="C25" i="555"/>
  <c r="C22" i="555" s="1"/>
  <c r="C25" i="549"/>
  <c r="C22" i="549" s="1"/>
  <c r="C25" i="547"/>
  <c r="C22" i="547" s="1"/>
  <c r="C25" i="527"/>
  <c r="C22" i="527" s="1"/>
  <c r="C25" i="523"/>
  <c r="C22" i="523" s="1"/>
  <c r="C25" i="519"/>
  <c r="C22" i="519" s="1"/>
  <c r="D11" i="552"/>
  <c r="D11" i="540"/>
  <c r="D11" i="536"/>
  <c r="D11" i="534"/>
  <c r="D11" i="518"/>
  <c r="D11" i="514"/>
  <c r="D11" i="512"/>
  <c r="D11" i="502"/>
  <c r="D11" i="500"/>
  <c r="C25" i="537"/>
  <c r="C22" i="537" s="1"/>
  <c r="C25" i="529"/>
  <c r="C22" i="529" s="1"/>
  <c r="C25" i="515"/>
  <c r="C22" i="515" s="1"/>
  <c r="C25" i="511"/>
  <c r="C22" i="511" s="1"/>
  <c r="D11" i="550"/>
  <c r="D11" i="548"/>
  <c r="D11" i="546"/>
  <c r="D11" i="544"/>
  <c r="D11" i="542"/>
  <c r="D11" i="532"/>
  <c r="D11" i="528"/>
  <c r="D11" i="520"/>
  <c r="D11" i="498"/>
  <c r="C25" i="533"/>
  <c r="C22" i="533" s="1"/>
  <c r="C25" i="507"/>
  <c r="C22" i="507" s="1"/>
  <c r="C25" i="503"/>
  <c r="C22" i="503" s="1"/>
  <c r="D11" i="530"/>
  <c r="D11" i="526"/>
  <c r="D11" i="522"/>
  <c r="E20" i="549"/>
  <c r="E20" i="533"/>
  <c r="E20" i="527"/>
  <c r="E20" i="523"/>
  <c r="E20" i="547"/>
  <c r="E20" i="535"/>
  <c r="E20" i="507"/>
  <c r="E20" i="521"/>
  <c r="E20" i="499"/>
  <c r="C40" i="525"/>
  <c r="C40" i="499"/>
  <c r="C40" i="523"/>
  <c r="C40" i="509"/>
  <c r="C40" i="519"/>
  <c r="C40" i="515"/>
  <c r="C40" i="517"/>
  <c r="C40" i="547"/>
  <c r="C40" i="531"/>
  <c r="C40" i="559"/>
  <c r="C40" i="529"/>
  <c r="C40" i="551"/>
  <c r="C40" i="505"/>
  <c r="C40" i="501"/>
  <c r="C40" i="557"/>
  <c r="C40" i="537"/>
  <c r="C40" i="507"/>
  <c r="C40" i="535"/>
  <c r="C40" i="503"/>
  <c r="C40" i="511"/>
  <c r="C40" i="541"/>
  <c r="C40" i="521"/>
  <c r="C40" i="533"/>
  <c r="C40" i="543"/>
  <c r="C40" i="539"/>
  <c r="C40" i="527"/>
  <c r="C40" i="549"/>
  <c r="C40" i="545"/>
  <c r="C40" i="555"/>
  <c r="E20" i="529"/>
  <c r="E20" i="559"/>
  <c r="E20" i="555"/>
  <c r="E20" i="525"/>
  <c r="E20" i="543"/>
  <c r="E20" i="501"/>
  <c r="E20" i="509"/>
  <c r="E20" i="505"/>
  <c r="E20" i="531"/>
  <c r="E20" i="517"/>
  <c r="E20" i="503"/>
  <c r="E20" i="541"/>
  <c r="E8" i="549"/>
  <c r="F8" i="549" s="1"/>
  <c r="E8" i="541"/>
  <c r="F8" i="541" s="1"/>
  <c r="E8" i="523"/>
  <c r="F8" i="523" s="1"/>
  <c r="E8" i="503"/>
  <c r="F8" i="503" s="1"/>
  <c r="E8" i="557"/>
  <c r="F8" i="557" s="1"/>
  <c r="E8" i="531"/>
  <c r="F8" i="531" s="1"/>
  <c r="E8" i="525"/>
  <c r="F8" i="525" s="1"/>
  <c r="E8" i="509"/>
  <c r="F8" i="509" s="1"/>
  <c r="E8" i="505"/>
  <c r="F8" i="505" s="1"/>
  <c r="E8" i="501"/>
  <c r="F8" i="501" s="1"/>
  <c r="E8" i="537"/>
  <c r="F8" i="537" s="1"/>
  <c r="E8" i="507"/>
  <c r="F8" i="507" s="1"/>
  <c r="E8" i="559"/>
  <c r="F8" i="559" s="1"/>
  <c r="E8" i="539"/>
  <c r="F8" i="539" s="1"/>
  <c r="E8" i="521"/>
  <c r="F8" i="521" s="1"/>
  <c r="E8" i="511"/>
  <c r="F8" i="511" s="1"/>
  <c r="E8" i="533"/>
  <c r="F8" i="533" s="1"/>
  <c r="E8" i="529"/>
  <c r="F8" i="529" s="1"/>
  <c r="E8" i="527"/>
  <c r="F8" i="527" s="1"/>
  <c r="E8" i="517"/>
  <c r="F8" i="517" s="1"/>
  <c r="E8" i="515"/>
  <c r="F8" i="515" s="1"/>
  <c r="E8" i="499"/>
  <c r="F8" i="499" s="1"/>
  <c r="E8" i="519"/>
  <c r="F8" i="519" s="1"/>
  <c r="E8" i="545"/>
  <c r="F8" i="545" s="1"/>
  <c r="E8" i="543"/>
  <c r="F8" i="543" s="1"/>
  <c r="E8" i="547"/>
  <c r="F8" i="547" s="1"/>
  <c r="E8" i="513"/>
  <c r="F8" i="513" s="1"/>
  <c r="E8" i="555"/>
  <c r="F8" i="555" s="1"/>
  <c r="E8" i="551"/>
  <c r="F8" i="551" s="1"/>
  <c r="E8" i="535"/>
  <c r="F8" i="535" s="1"/>
  <c r="E7" i="535"/>
  <c r="E7" i="533"/>
  <c r="E7" i="511"/>
  <c r="E7" i="505"/>
  <c r="E7" i="517"/>
  <c r="E7" i="507"/>
  <c r="E7" i="515"/>
  <c r="E7" i="503"/>
  <c r="E7" i="499"/>
  <c r="E7" i="543"/>
  <c r="E7" i="519"/>
  <c r="E7" i="529"/>
  <c r="E7" i="549"/>
  <c r="E7" i="541"/>
  <c r="E7" i="525"/>
  <c r="E7" i="523"/>
  <c r="E7" i="509"/>
  <c r="E7" i="501"/>
  <c r="E7" i="555"/>
  <c r="E7" i="547"/>
  <c r="E7" i="545"/>
  <c r="E7" i="539"/>
  <c r="E7" i="527"/>
  <c r="E7" i="521"/>
  <c r="E7" i="551"/>
  <c r="E7" i="559"/>
  <c r="E7" i="557"/>
  <c r="E7" i="531"/>
  <c r="E7" i="513"/>
  <c r="E7" i="537"/>
  <c r="C20" i="557"/>
  <c r="D11" i="16"/>
  <c r="C25" i="367" s="1"/>
  <c r="C22" i="367" s="1"/>
  <c r="G23" i="65"/>
  <c r="G23" i="70"/>
  <c r="C40" i="139" s="1"/>
  <c r="C42" i="139" s="1"/>
  <c r="D23" i="19"/>
  <c r="D11" i="132" s="1"/>
  <c r="E20" i="466"/>
  <c r="E20" i="454"/>
  <c r="E11" i="10"/>
  <c r="E11" i="44" s="1"/>
  <c r="E20" i="453"/>
  <c r="E20" i="476"/>
  <c r="E20" i="468"/>
  <c r="C40" i="466"/>
  <c r="E20" i="462"/>
  <c r="C40" i="464"/>
  <c r="E11" i="455"/>
  <c r="E25" i="468"/>
  <c r="E22" i="468" s="1"/>
  <c r="E25" i="464"/>
  <c r="E22" i="464" s="1"/>
  <c r="E25" i="462"/>
  <c r="E22" i="462" s="1"/>
  <c r="E25" i="460"/>
  <c r="E22" i="460" s="1"/>
  <c r="E25" i="470"/>
  <c r="E22" i="470" s="1"/>
  <c r="E25" i="466"/>
  <c r="E22" i="466" s="1"/>
  <c r="E25" i="472"/>
  <c r="E22" i="472" s="1"/>
  <c r="E25" i="456"/>
  <c r="E22" i="456" s="1"/>
  <c r="E25" i="478"/>
  <c r="E22" i="478" s="1"/>
  <c r="E11" i="465"/>
  <c r="E11" i="459"/>
  <c r="E25" i="474"/>
  <c r="E22" i="474" s="1"/>
  <c r="E11" i="469"/>
  <c r="E11" i="461"/>
  <c r="E11" i="471"/>
  <c r="E11" i="463"/>
  <c r="E11" i="467"/>
  <c r="E25" i="476"/>
  <c r="E22" i="476" s="1"/>
  <c r="E11" i="477"/>
  <c r="E11" i="475"/>
  <c r="E11" i="473"/>
  <c r="E22" i="454"/>
  <c r="C40" i="470"/>
  <c r="C40" i="474"/>
  <c r="E20" i="456"/>
  <c r="E20" i="474"/>
  <c r="C40" i="468"/>
  <c r="C40" i="478"/>
  <c r="C40" i="462"/>
  <c r="E20" i="472"/>
  <c r="E20" i="478"/>
  <c r="C40" i="476"/>
  <c r="E8" i="453"/>
  <c r="F8" i="453" s="1"/>
  <c r="E8" i="472"/>
  <c r="F8" i="472" s="1"/>
  <c r="E8" i="470"/>
  <c r="F8" i="470" s="1"/>
  <c r="E8" i="466"/>
  <c r="F8" i="466" s="1"/>
  <c r="E8" i="464"/>
  <c r="F8" i="464" s="1"/>
  <c r="E8" i="460"/>
  <c r="F8" i="460" s="1"/>
  <c r="E8" i="478"/>
  <c r="F8" i="478" s="1"/>
  <c r="E8" i="474"/>
  <c r="F8" i="474" s="1"/>
  <c r="E8" i="468"/>
  <c r="F8" i="468" s="1"/>
  <c r="E8" i="462"/>
  <c r="F8" i="462" s="1"/>
  <c r="E8" i="456"/>
  <c r="F8" i="456" s="1"/>
  <c r="E8" i="476"/>
  <c r="F8" i="476" s="1"/>
  <c r="E8" i="454"/>
  <c r="F8" i="454" s="1"/>
  <c r="C40" i="460"/>
  <c r="E20" i="464"/>
  <c r="E20" i="460"/>
  <c r="E7" i="453"/>
  <c r="E7" i="476"/>
  <c r="E7" i="468"/>
  <c r="E7" i="462"/>
  <c r="E7" i="474"/>
  <c r="E7" i="472"/>
  <c r="E7" i="470"/>
  <c r="E7" i="466"/>
  <c r="E7" i="464"/>
  <c r="E7" i="460"/>
  <c r="E7" i="478"/>
  <c r="E7" i="454"/>
  <c r="E7" i="456"/>
  <c r="C40" i="472"/>
  <c r="E20" i="470"/>
  <c r="D32" i="120"/>
  <c r="E32" i="120" s="1"/>
  <c r="E20" i="426"/>
  <c r="D11" i="18"/>
  <c r="E20" i="444"/>
  <c r="E11" i="457"/>
  <c r="E20" i="420"/>
  <c r="E20" i="438"/>
  <c r="E20" i="414"/>
  <c r="E20" i="442"/>
  <c r="E20" i="440"/>
  <c r="C40" i="137"/>
  <c r="C41" i="137" s="1"/>
  <c r="E20" i="416"/>
  <c r="E20" i="410"/>
  <c r="E20" i="418"/>
  <c r="E20" i="434"/>
  <c r="E20" i="436"/>
  <c r="C40" i="416"/>
  <c r="C40" i="446"/>
  <c r="C40" i="450"/>
  <c r="C40" i="384"/>
  <c r="E40" i="384" s="1"/>
  <c r="E41" i="384" s="1"/>
  <c r="E40" i="313"/>
  <c r="E41" i="313" s="1"/>
  <c r="C40" i="448"/>
  <c r="C40" i="424"/>
  <c r="C40" i="420"/>
  <c r="C40" i="444"/>
  <c r="C41" i="313"/>
  <c r="C40" i="414"/>
  <c r="C40" i="426"/>
  <c r="C40" i="422"/>
  <c r="E7" i="448"/>
  <c r="E7" i="446"/>
  <c r="E7" i="442"/>
  <c r="E7" i="438"/>
  <c r="E7" i="422"/>
  <c r="E7" i="450"/>
  <c r="E7" i="434"/>
  <c r="E7" i="430"/>
  <c r="E7" i="432"/>
  <c r="E7" i="426"/>
  <c r="E7" i="424"/>
  <c r="E7" i="436"/>
  <c r="E7" i="412"/>
  <c r="E7" i="444"/>
  <c r="E7" i="440"/>
  <c r="E7" i="420"/>
  <c r="E7" i="416"/>
  <c r="E7" i="410"/>
  <c r="E7" i="418"/>
  <c r="E7" i="414"/>
  <c r="E8" i="430"/>
  <c r="F8" i="430" s="1"/>
  <c r="E8" i="432"/>
  <c r="F8" i="432" s="1"/>
  <c r="E8" i="426"/>
  <c r="F8" i="426" s="1"/>
  <c r="E8" i="436"/>
  <c r="F8" i="436" s="1"/>
  <c r="E8" i="424"/>
  <c r="F8" i="424" s="1"/>
  <c r="E8" i="444"/>
  <c r="F8" i="444" s="1"/>
  <c r="E8" i="440"/>
  <c r="E8" i="448"/>
  <c r="F8" i="448" s="1"/>
  <c r="E8" i="446"/>
  <c r="F8" i="446" s="1"/>
  <c r="E8" i="438"/>
  <c r="F8" i="438" s="1"/>
  <c r="E8" i="422"/>
  <c r="F8" i="422" s="1"/>
  <c r="E8" i="442"/>
  <c r="F8" i="442" s="1"/>
  <c r="E8" i="450"/>
  <c r="F8" i="450" s="1"/>
  <c r="E8" i="410"/>
  <c r="F8" i="410" s="1"/>
  <c r="E8" i="434"/>
  <c r="F8" i="434" s="1"/>
  <c r="E8" i="416"/>
  <c r="F8" i="416" s="1"/>
  <c r="E8" i="420"/>
  <c r="F8" i="420" s="1"/>
  <c r="E8" i="418"/>
  <c r="F8" i="418" s="1"/>
  <c r="E8" i="414"/>
  <c r="F8" i="414" s="1"/>
  <c r="E8" i="412"/>
  <c r="F8" i="412" s="1"/>
  <c r="E20" i="432"/>
  <c r="E20" i="448"/>
  <c r="C40" i="418"/>
  <c r="C40" i="432"/>
  <c r="C40" i="430"/>
  <c r="E20" i="422"/>
  <c r="E20" i="430"/>
  <c r="E20" i="446"/>
  <c r="C40" i="412"/>
  <c r="C40" i="438"/>
  <c r="C40" i="434"/>
  <c r="E20" i="450"/>
  <c r="E20" i="424"/>
  <c r="C40" i="436"/>
  <c r="C40" i="440"/>
  <c r="C20" i="418"/>
  <c r="C25" i="448"/>
  <c r="C22" i="448" s="1"/>
  <c r="C25" i="446"/>
  <c r="C22" i="446" s="1"/>
  <c r="C25" i="432"/>
  <c r="C22" i="432" s="1"/>
  <c r="C25" i="420"/>
  <c r="C22" i="420" s="1"/>
  <c r="C25" i="440"/>
  <c r="C22" i="440" s="1"/>
  <c r="C25" i="426"/>
  <c r="C22" i="426" s="1"/>
  <c r="C25" i="430"/>
  <c r="C22" i="430" s="1"/>
  <c r="C25" i="424"/>
  <c r="C22" i="424" s="1"/>
  <c r="C25" i="442"/>
  <c r="C22" i="442" s="1"/>
  <c r="C25" i="434"/>
  <c r="C22" i="434" s="1"/>
  <c r="C25" i="450"/>
  <c r="C22" i="450" s="1"/>
  <c r="C25" i="422"/>
  <c r="C22" i="422" s="1"/>
  <c r="C25" i="438"/>
  <c r="C22" i="438" s="1"/>
  <c r="C25" i="436"/>
  <c r="C22" i="436" s="1"/>
  <c r="C25" i="410"/>
  <c r="C22" i="410" s="1"/>
  <c r="D11" i="425"/>
  <c r="C25" i="418"/>
  <c r="C22" i="418" s="1"/>
  <c r="C25" i="416"/>
  <c r="C22" i="416" s="1"/>
  <c r="D11" i="447"/>
  <c r="D11" i="435"/>
  <c r="D11" i="429"/>
  <c r="C25" i="444"/>
  <c r="C22" i="444" s="1"/>
  <c r="D11" i="449"/>
  <c r="D11" i="437"/>
  <c r="C25" i="414"/>
  <c r="C22" i="414" s="1"/>
  <c r="C25" i="412"/>
  <c r="C22" i="412" s="1"/>
  <c r="D11" i="445"/>
  <c r="D11" i="423"/>
  <c r="D11" i="443"/>
  <c r="D11" i="419"/>
  <c r="D11" i="441"/>
  <c r="D11" i="417"/>
  <c r="D11" i="439"/>
  <c r="D11" i="421"/>
  <c r="D11" i="433"/>
  <c r="D11" i="431"/>
  <c r="D11" i="413"/>
  <c r="D11" i="411"/>
  <c r="D11" i="415"/>
  <c r="E20" i="412"/>
  <c r="C40" i="442"/>
  <c r="C25" i="182"/>
  <c r="C22" i="182" s="1"/>
  <c r="D11" i="409"/>
  <c r="C20" i="405"/>
  <c r="C40" i="405"/>
  <c r="C40" i="402"/>
  <c r="C40" i="404"/>
  <c r="C40" i="393"/>
  <c r="C40" i="391"/>
  <c r="E8" i="404"/>
  <c r="E8" i="393"/>
  <c r="E8" i="402"/>
  <c r="E8" i="405"/>
  <c r="E8" i="389"/>
  <c r="E8" i="397"/>
  <c r="E8" i="395"/>
  <c r="E8" i="400"/>
  <c r="E8" i="391"/>
  <c r="C40" i="389"/>
  <c r="C40" i="395"/>
  <c r="E7" i="397"/>
  <c r="E7" i="395"/>
  <c r="E7" i="391"/>
  <c r="E7" i="400"/>
  <c r="E7" i="404"/>
  <c r="E7" i="393"/>
  <c r="E7" i="402"/>
  <c r="E7" i="405"/>
  <c r="E7" i="389"/>
  <c r="C40" i="400"/>
  <c r="C40" i="397"/>
  <c r="C40" i="309"/>
  <c r="C41" i="309" s="1"/>
  <c r="E42" i="315"/>
  <c r="E42" i="242"/>
  <c r="E42" i="256"/>
  <c r="E42" i="273"/>
  <c r="E42" i="317"/>
  <c r="E42" i="333"/>
  <c r="E42" i="349"/>
  <c r="E42" i="365"/>
  <c r="E42" i="382"/>
  <c r="E42" i="236"/>
  <c r="E42" i="327"/>
  <c r="E42" i="363"/>
  <c r="E42" i="163"/>
  <c r="E42" i="244"/>
  <c r="E42" i="258"/>
  <c r="E42" i="275"/>
  <c r="E42" i="319"/>
  <c r="E42" i="335"/>
  <c r="E42" i="351"/>
  <c r="E42" i="367"/>
  <c r="E42" i="311"/>
  <c r="E42" i="359"/>
  <c r="E42" i="164"/>
  <c r="E42" i="246"/>
  <c r="E42" i="260"/>
  <c r="E42" i="277"/>
  <c r="E42" i="321"/>
  <c r="E42" i="337"/>
  <c r="E42" i="353"/>
  <c r="E42" i="369"/>
  <c r="E42" i="162"/>
  <c r="E42" i="266"/>
  <c r="E42" i="376"/>
  <c r="E42" i="347"/>
  <c r="E42" i="165"/>
  <c r="E42" i="284"/>
  <c r="E42" i="262"/>
  <c r="E42" i="279"/>
  <c r="E42" i="323"/>
  <c r="E42" i="339"/>
  <c r="E42" i="355"/>
  <c r="E42" i="371"/>
  <c r="E42" i="250"/>
  <c r="E42" i="343"/>
  <c r="E42" i="331"/>
  <c r="E42" i="166"/>
  <c r="E42" i="249"/>
  <c r="E42" i="264"/>
  <c r="E42" i="282"/>
  <c r="E42" i="325"/>
  <c r="E42" i="341"/>
  <c r="E42" i="357"/>
  <c r="E42" i="373"/>
  <c r="E42" i="167"/>
  <c r="E42" i="384"/>
  <c r="E42" i="238"/>
  <c r="E42" i="252"/>
  <c r="E42" i="268"/>
  <c r="E42" i="168"/>
  <c r="E42" i="329"/>
  <c r="E42" i="345"/>
  <c r="E42" i="361"/>
  <c r="E42" i="378"/>
  <c r="E42" i="313"/>
  <c r="E42" i="240"/>
  <c r="E42" i="254"/>
  <c r="E42" i="271"/>
  <c r="E42" i="169"/>
  <c r="E42" i="380"/>
  <c r="C42" i="238"/>
  <c r="C42" i="369"/>
  <c r="C42" i="313"/>
  <c r="C42" i="165"/>
  <c r="C42" i="240"/>
  <c r="C42" i="284"/>
  <c r="C42" i="254"/>
  <c r="C42" i="262"/>
  <c r="C42" i="271"/>
  <c r="C42" i="279"/>
  <c r="C42" i="169"/>
  <c r="C42" i="323"/>
  <c r="C42" i="331"/>
  <c r="C42" i="339"/>
  <c r="C42" i="347"/>
  <c r="C42" i="355"/>
  <c r="C42" i="363"/>
  <c r="C42" i="371"/>
  <c r="C42" i="380"/>
  <c r="C42" i="376"/>
  <c r="C42" i="252"/>
  <c r="C42" i="361"/>
  <c r="C42" i="311"/>
  <c r="C42" i="268"/>
  <c r="C42" i="345"/>
  <c r="C42" i="315"/>
  <c r="C42" i="166"/>
  <c r="C42" i="242"/>
  <c r="C42" i="249"/>
  <c r="C42" i="256"/>
  <c r="C42" i="264"/>
  <c r="C42" i="273"/>
  <c r="C42" i="282"/>
  <c r="C42" i="317"/>
  <c r="C42" i="325"/>
  <c r="C42" i="333"/>
  <c r="C42" i="341"/>
  <c r="C42" i="349"/>
  <c r="C42" i="357"/>
  <c r="C42" i="365"/>
  <c r="C42" i="373"/>
  <c r="C42" i="382"/>
  <c r="C42" i="367"/>
  <c r="C42" i="246"/>
  <c r="C42" i="353"/>
  <c r="C42" i="359"/>
  <c r="C42" i="260"/>
  <c r="C42" i="329"/>
  <c r="C42" i="162"/>
  <c r="C42" i="163"/>
  <c r="C42" i="236"/>
  <c r="C42" i="244"/>
  <c r="C42" i="250"/>
  <c r="C42" i="258"/>
  <c r="C42" i="266"/>
  <c r="C42" i="275"/>
  <c r="C42" i="167"/>
  <c r="C42" i="319"/>
  <c r="C42" i="327"/>
  <c r="C42" i="335"/>
  <c r="C42" i="343"/>
  <c r="C42" i="351"/>
  <c r="C42" i="321"/>
  <c r="C42" i="384"/>
  <c r="C42" i="164"/>
  <c r="C42" i="277"/>
  <c r="C42" i="168"/>
  <c r="C42" i="337"/>
  <c r="C42" i="378"/>
  <c r="L74" i="11"/>
  <c r="L76" i="11" s="1"/>
  <c r="E7" i="561" s="1"/>
  <c r="G42" i="313"/>
  <c r="G42" i="240"/>
  <c r="G42" i="254"/>
  <c r="G42" i="271"/>
  <c r="G42" i="169"/>
  <c r="G42" i="331"/>
  <c r="G42" i="347"/>
  <c r="G42" i="363"/>
  <c r="G42" i="380"/>
  <c r="G42" i="329"/>
  <c r="G42" i="164"/>
  <c r="G42" i="246"/>
  <c r="G42" i="260"/>
  <c r="G42" i="277"/>
  <c r="G42" i="321"/>
  <c r="G42" i="337"/>
  <c r="G42" i="353"/>
  <c r="G42" i="369"/>
  <c r="G42" i="162"/>
  <c r="G42" i="252"/>
  <c r="G42" i="345"/>
  <c r="G42" i="264"/>
  <c r="G42" i="357"/>
  <c r="G42" i="236"/>
  <c r="G42" i="250"/>
  <c r="G42" i="266"/>
  <c r="G42" i="167"/>
  <c r="G42" i="327"/>
  <c r="G42" i="343"/>
  <c r="G42" i="359"/>
  <c r="G42" i="376"/>
  <c r="G42" i="361"/>
  <c r="G42" i="282"/>
  <c r="G42" i="315"/>
  <c r="G42" i="242"/>
  <c r="G42" i="256"/>
  <c r="G42" i="273"/>
  <c r="G42" i="317"/>
  <c r="G42" i="333"/>
  <c r="G42" i="349"/>
  <c r="G42" i="365"/>
  <c r="G42" i="382"/>
  <c r="G42" i="238"/>
  <c r="G42" i="168"/>
  <c r="G42" i="325"/>
  <c r="G42" i="165"/>
  <c r="G42" i="284"/>
  <c r="G42" i="262"/>
  <c r="G42" i="279"/>
  <c r="G42" i="323"/>
  <c r="G42" i="339"/>
  <c r="G42" i="355"/>
  <c r="G42" i="371"/>
  <c r="G42" i="384"/>
  <c r="G42" i="268"/>
  <c r="G42" i="378"/>
  <c r="G42" i="373"/>
  <c r="G42" i="163"/>
  <c r="G42" i="244"/>
  <c r="G42" i="258"/>
  <c r="G42" i="275"/>
  <c r="G42" i="319"/>
  <c r="G42" i="335"/>
  <c r="G42" i="351"/>
  <c r="G42" i="367"/>
  <c r="G42" i="311"/>
  <c r="G42" i="166"/>
  <c r="G42" i="249"/>
  <c r="G42" i="341"/>
  <c r="L9" i="11"/>
  <c r="L29" i="11" s="1"/>
  <c r="C19" i="205"/>
  <c r="C19" i="208"/>
  <c r="C19" i="301"/>
  <c r="C19" i="164"/>
  <c r="C19" i="341"/>
  <c r="C19" i="181"/>
  <c r="C19" i="244"/>
  <c r="C19" i="190"/>
  <c r="C19" i="195"/>
  <c r="C19" i="177"/>
  <c r="C19" i="188"/>
  <c r="C19" i="206"/>
  <c r="C19" i="321"/>
  <c r="C19" i="382"/>
  <c r="C19" i="218"/>
  <c r="C19" i="227"/>
  <c r="C19" i="373"/>
  <c r="C19" i="191"/>
  <c r="C19" i="171"/>
  <c r="C19" i="172"/>
  <c r="C19" i="203"/>
  <c r="C19" i="229"/>
  <c r="C19" i="315"/>
  <c r="C19" i="252"/>
  <c r="C19" i="309"/>
  <c r="C19" i="204"/>
  <c r="C19" i="384"/>
  <c r="C19" i="165"/>
  <c r="C19" i="361"/>
  <c r="C19" i="378"/>
  <c r="C19" i="193"/>
  <c r="C19" i="163"/>
  <c r="C19" i="351"/>
  <c r="C19" i="365"/>
  <c r="C19" i="152"/>
  <c r="C19" i="187"/>
  <c r="C19" i="277"/>
  <c r="C40" i="194"/>
  <c r="C41" i="194" s="1"/>
  <c r="G29" i="38"/>
  <c r="C19" i="271"/>
  <c r="C19" i="273"/>
  <c r="C19" i="166"/>
  <c r="C19" i="246"/>
  <c r="C19" i="258"/>
  <c r="C19" i="333"/>
  <c r="C19" i="186"/>
  <c r="C19" i="268"/>
  <c r="C19" i="353"/>
  <c r="C19" i="319"/>
  <c r="C19" i="367"/>
  <c r="C19" i="153"/>
  <c r="C19" i="313"/>
  <c r="C19" i="236"/>
  <c r="C19" i="317"/>
  <c r="C19" i="249"/>
  <c r="C19" i="174"/>
  <c r="C19" i="303"/>
  <c r="C19" i="184"/>
  <c r="C19" i="199"/>
  <c r="C19" i="183"/>
  <c r="C19" i="279"/>
  <c r="C19" i="233"/>
  <c r="C19" i="185"/>
  <c r="C19" i="369"/>
  <c r="C19" i="335"/>
  <c r="C19" i="189"/>
  <c r="C19" i="194"/>
  <c r="C19" i="202"/>
  <c r="C19" i="275"/>
  <c r="C19" i="170"/>
  <c r="C19" i="242"/>
  <c r="C19" i="240"/>
  <c r="C19" i="173"/>
  <c r="C19" i="363"/>
  <c r="C19" i="201"/>
  <c r="C19" i="371"/>
  <c r="C19" i="175"/>
  <c r="C19" i="359"/>
  <c r="C19" i="339"/>
  <c r="C19" i="307"/>
  <c r="C19" i="149"/>
  <c r="C19" i="262"/>
  <c r="C19" i="197"/>
  <c r="C19" i="380"/>
  <c r="C19" i="150"/>
  <c r="C19" i="305"/>
  <c r="C19" i="196"/>
  <c r="C19" i="343"/>
  <c r="C19" i="180"/>
  <c r="C19" i="347"/>
  <c r="C19" i="221"/>
  <c r="C19" i="282"/>
  <c r="C19" i="355"/>
  <c r="C19" i="284"/>
  <c r="C19" i="168"/>
  <c r="C19" i="254"/>
  <c r="C19" i="207"/>
  <c r="C19" i="264"/>
  <c r="C19" i="223"/>
  <c r="C19" i="156"/>
  <c r="C19" i="151"/>
  <c r="C19" i="179"/>
  <c r="C19" i="345"/>
  <c r="C19" i="311"/>
  <c r="C19" i="349"/>
  <c r="C19" i="162"/>
  <c r="C19" i="167"/>
  <c r="C19" i="198"/>
  <c r="C19" i="250"/>
  <c r="C19" i="357"/>
  <c r="C19" i="256"/>
  <c r="C19" i="192"/>
  <c r="C19" i="323"/>
  <c r="C19" i="176"/>
  <c r="C19" i="386"/>
  <c r="C19" i="159"/>
  <c r="C19" i="327"/>
  <c r="C19" i="266"/>
  <c r="C19" i="148"/>
  <c r="C19" i="161"/>
  <c r="C19" i="225"/>
  <c r="C19" i="376"/>
  <c r="C19" i="331"/>
  <c r="C19" i="155"/>
  <c r="C19" i="295"/>
  <c r="C19" i="231"/>
  <c r="C19" i="325"/>
  <c r="C19" i="200"/>
  <c r="C19" i="337"/>
  <c r="C19" i="154"/>
  <c r="C19" i="160"/>
  <c r="C19" i="158"/>
  <c r="C19" i="297"/>
  <c r="C19" i="169"/>
  <c r="C19" i="260"/>
  <c r="C19" i="238"/>
  <c r="C19" i="329"/>
  <c r="C19" i="157"/>
  <c r="C19" i="147"/>
  <c r="C40" i="154"/>
  <c r="C41" i="154" s="1"/>
  <c r="C40" i="187"/>
  <c r="G40" i="187" s="1"/>
  <c r="G41" i="187" s="1"/>
  <c r="E40" i="380"/>
  <c r="E41" i="380" s="1"/>
  <c r="C41" i="198"/>
  <c r="G40" i="380"/>
  <c r="G41" i="380" s="1"/>
  <c r="L102" i="11"/>
  <c r="C40" i="161"/>
  <c r="C41" i="161" s="1"/>
  <c r="C40" i="204"/>
  <c r="C41" i="204" s="1"/>
  <c r="C40" i="138"/>
  <c r="C41" i="138" s="1"/>
  <c r="F5" i="132"/>
  <c r="F30" i="132" s="1"/>
  <c r="E40" i="198"/>
  <c r="E41" i="198" s="1"/>
  <c r="H8" i="203"/>
  <c r="H8" i="365"/>
  <c r="C40" i="329"/>
  <c r="E40" i="329" s="1"/>
  <c r="E41" i="329" s="1"/>
  <c r="G40" i="376"/>
  <c r="G41" i="376" s="1"/>
  <c r="E40" i="376"/>
  <c r="E41" i="376" s="1"/>
  <c r="C40" i="167"/>
  <c r="E40" i="167" s="1"/>
  <c r="E41" i="167" s="1"/>
  <c r="C40" i="169"/>
  <c r="G40" i="169" s="1"/>
  <c r="G41" i="169" s="1"/>
  <c r="C40" i="165"/>
  <c r="C41" i="165" s="1"/>
  <c r="C40" i="166"/>
  <c r="G40" i="166" s="1"/>
  <c r="G41" i="166" s="1"/>
  <c r="C40" i="262"/>
  <c r="C41" i="262" s="1"/>
  <c r="G40" i="367"/>
  <c r="G41" i="367" s="1"/>
  <c r="C40" i="373"/>
  <c r="C41" i="373" s="1"/>
  <c r="E40" i="367"/>
  <c r="E41" i="367" s="1"/>
  <c r="C40" i="176"/>
  <c r="C41" i="176" s="1"/>
  <c r="G40" i="186"/>
  <c r="G41" i="186" s="1"/>
  <c r="G40" i="153"/>
  <c r="G41" i="153" s="1"/>
  <c r="C19" i="146"/>
  <c r="C19" i="144"/>
  <c r="C19" i="212"/>
  <c r="C19" i="138"/>
  <c r="C19" i="141"/>
  <c r="C19" i="140"/>
  <c r="C19" i="142"/>
  <c r="C19" i="145"/>
  <c r="C14" i="154"/>
  <c r="C14" i="153"/>
  <c r="C14" i="147"/>
  <c r="C14" i="305"/>
  <c r="C14" i="158"/>
  <c r="C14" i="145"/>
  <c r="C14" i="155"/>
  <c r="C14" i="148"/>
  <c r="C14" i="157"/>
  <c r="C14" i="156"/>
  <c r="C14" i="146"/>
  <c r="C14" i="386"/>
  <c r="C14" i="149"/>
  <c r="C14" i="212"/>
  <c r="C14" i="138"/>
  <c r="C14" i="303"/>
  <c r="C14" i="301"/>
  <c r="C14" i="299"/>
  <c r="C14" i="297"/>
  <c r="C14" i="295"/>
  <c r="C14" i="161"/>
  <c r="C14" i="160"/>
  <c r="C14" i="159"/>
  <c r="C14" i="151"/>
  <c r="C14" i="150"/>
  <c r="C14" i="144"/>
  <c r="C14" i="141"/>
  <c r="C14" i="140"/>
  <c r="C14" i="142"/>
  <c r="C14" i="307"/>
  <c r="C14" i="152"/>
  <c r="C14" i="359"/>
  <c r="C14" i="357"/>
  <c r="C14" i="355"/>
  <c r="C14" i="169"/>
  <c r="C14" i="168"/>
  <c r="C14" i="277"/>
  <c r="C14" i="244"/>
  <c r="C14" i="240"/>
  <c r="C14" i="238"/>
  <c r="C14" i="236"/>
  <c r="C14" i="181"/>
  <c r="C14" i="207"/>
  <c r="C14" i="204"/>
  <c r="C14" i="196"/>
  <c r="C14" i="193"/>
  <c r="C14" i="337"/>
  <c r="C14" i="335"/>
  <c r="C14" i="266"/>
  <c r="C14" i="176"/>
  <c r="C14" i="353"/>
  <c r="C14" i="351"/>
  <c r="C14" i="167"/>
  <c r="C14" i="282"/>
  <c r="C14" i="279"/>
  <c r="C14" i="242"/>
  <c r="C14" i="166"/>
  <c r="C14" i="165"/>
  <c r="C14" i="315"/>
  <c r="C14" i="313"/>
  <c r="C14" i="162"/>
  <c r="C14" i="221"/>
  <c r="C14" i="171"/>
  <c r="C14" i="170"/>
  <c r="C14" i="218"/>
  <c r="C14" i="188"/>
  <c r="C14" i="183"/>
  <c r="C14" i="339"/>
  <c r="C14" i="331"/>
  <c r="C14" i="349"/>
  <c r="C14" i="347"/>
  <c r="C14" i="341"/>
  <c r="C14" i="275"/>
  <c r="C14" i="273"/>
  <c r="C14" i="164"/>
  <c r="C14" i="163"/>
  <c r="C14" i="384"/>
  <c r="C14" i="311"/>
  <c r="C14" i="180"/>
  <c r="C14" i="229"/>
  <c r="C14" i="202"/>
  <c r="C14" i="199"/>
  <c r="C14" i="191"/>
  <c r="C14" i="186"/>
  <c r="C14" i="333"/>
  <c r="C14" i="382"/>
  <c r="C14" i="345"/>
  <c r="C14" i="343"/>
  <c r="C14" i="271"/>
  <c r="C14" i="268"/>
  <c r="C14" i="179"/>
  <c r="C14" i="177"/>
  <c r="C14" i="208"/>
  <c r="C14" i="205"/>
  <c r="C14" i="194"/>
  <c r="C14" i="189"/>
  <c r="C14" i="184"/>
  <c r="C14" i="380"/>
  <c r="C14" i="329"/>
  <c r="C14" i="223"/>
  <c r="C14" i="378"/>
  <c r="C14" i="376"/>
  <c r="C14" i="327"/>
  <c r="C14" i="325"/>
  <c r="C14" i="323"/>
  <c r="C14" i="264"/>
  <c r="C14" i="262"/>
  <c r="C14" i="260"/>
  <c r="C14" i="175"/>
  <c r="C14" i="174"/>
  <c r="C14" i="309"/>
  <c r="C14" i="231"/>
  <c r="C14" i="225"/>
  <c r="C14" i="203"/>
  <c r="C14" i="192"/>
  <c r="C14" i="363"/>
  <c r="C14" i="361"/>
  <c r="C14" i="319"/>
  <c r="C14" i="317"/>
  <c r="C14" i="252"/>
  <c r="C14" i="250"/>
  <c r="C14" i="284"/>
  <c r="C14" i="373"/>
  <c r="C14" i="371"/>
  <c r="C14" i="369"/>
  <c r="C14" i="367"/>
  <c r="C14" i="321"/>
  <c r="C14" i="258"/>
  <c r="C14" i="256"/>
  <c r="C14" i="254"/>
  <c r="C14" i="249"/>
  <c r="C14" i="201"/>
  <c r="C14" i="195"/>
  <c r="C14" i="190"/>
  <c r="C14" i="187"/>
  <c r="C14" i="185"/>
  <c r="C14" i="365"/>
  <c r="C14" i="198"/>
  <c r="C14" i="233"/>
  <c r="C14" i="206"/>
  <c r="C14" i="200"/>
  <c r="C14" i="246"/>
  <c r="C14" i="172"/>
  <c r="C14" i="173"/>
  <c r="C14" i="197"/>
  <c r="C14" i="227"/>
  <c r="E25" i="221"/>
  <c r="E22" i="221" s="1"/>
  <c r="E25" i="176"/>
  <c r="E22" i="176" s="1"/>
  <c r="E25" i="170"/>
  <c r="E22" i="170" s="1"/>
  <c r="E25" i="179"/>
  <c r="E22" i="179" s="1"/>
  <c r="E25" i="174"/>
  <c r="E22" i="174" s="1"/>
  <c r="E25" i="233"/>
  <c r="E22" i="233" s="1"/>
  <c r="E25" i="171"/>
  <c r="E22" i="171" s="1"/>
  <c r="E25" i="173"/>
  <c r="E22" i="173" s="1"/>
  <c r="E25" i="181"/>
  <c r="E22" i="181" s="1"/>
  <c r="E25" i="177"/>
  <c r="E22" i="177" s="1"/>
  <c r="E25" i="180"/>
  <c r="E22" i="180" s="1"/>
  <c r="E25" i="172"/>
  <c r="E22" i="172" s="1"/>
  <c r="E25" i="175"/>
  <c r="E22" i="175" s="1"/>
  <c r="C40" i="323"/>
  <c r="E40" i="236"/>
  <c r="E41" i="236" s="1"/>
  <c r="C40" i="260"/>
  <c r="C25" i="301"/>
  <c r="C22" i="301" s="1"/>
  <c r="C25" i="297"/>
  <c r="C22" i="297" s="1"/>
  <c r="C25" i="295"/>
  <c r="C22" i="295" s="1"/>
  <c r="C25" i="160"/>
  <c r="C22" i="160" s="1"/>
  <c r="C25" i="158"/>
  <c r="C22" i="158" s="1"/>
  <c r="C25" i="150"/>
  <c r="C22" i="150" s="1"/>
  <c r="C25" i="152"/>
  <c r="C22" i="152" s="1"/>
  <c r="C25" i="386"/>
  <c r="C22" i="386" s="1"/>
  <c r="C25" i="307"/>
  <c r="C22" i="307" s="1"/>
  <c r="C25" i="157"/>
  <c r="C22" i="157" s="1"/>
  <c r="C25" i="155"/>
  <c r="C22" i="155" s="1"/>
  <c r="C25" i="299"/>
  <c r="C22" i="299" s="1"/>
  <c r="C25" i="161"/>
  <c r="C22" i="161" s="1"/>
  <c r="C25" i="156"/>
  <c r="C22" i="156" s="1"/>
  <c r="C25" i="159"/>
  <c r="C22" i="159" s="1"/>
  <c r="C25" i="149"/>
  <c r="C22" i="149" s="1"/>
  <c r="C25" i="147"/>
  <c r="C22" i="147" s="1"/>
  <c r="C25" i="153"/>
  <c r="C22" i="153" s="1"/>
  <c r="C25" i="151"/>
  <c r="C22" i="151" s="1"/>
  <c r="C25" i="148"/>
  <c r="C22" i="148" s="1"/>
  <c r="C25" i="305"/>
  <c r="C22" i="305" s="1"/>
  <c r="C25" i="303"/>
  <c r="C22" i="303" s="1"/>
  <c r="C25" i="154"/>
  <c r="C22" i="154" s="1"/>
  <c r="G40" i="244"/>
  <c r="G41" i="244" s="1"/>
  <c r="C40" i="144"/>
  <c r="C40" i="150"/>
  <c r="C40" i="240"/>
  <c r="C40" i="221"/>
  <c r="C40" i="191"/>
  <c r="C40" i="180"/>
  <c r="C40" i="317"/>
  <c r="C40" i="331"/>
  <c r="C40" i="155"/>
  <c r="C40" i="218"/>
  <c r="E25" i="378"/>
  <c r="E22" i="378" s="1"/>
  <c r="E25" i="357"/>
  <c r="E22" i="357" s="1"/>
  <c r="E25" i="351"/>
  <c r="E22" i="351" s="1"/>
  <c r="E25" i="325"/>
  <c r="E22" i="325" s="1"/>
  <c r="E25" i="317"/>
  <c r="E22" i="317" s="1"/>
  <c r="E25" i="167"/>
  <c r="E22" i="167" s="1"/>
  <c r="E25" i="238"/>
  <c r="E22" i="238" s="1"/>
  <c r="E25" i="382"/>
  <c r="E22" i="382" s="1"/>
  <c r="E25" i="373"/>
  <c r="E22" i="373" s="1"/>
  <c r="E25" i="369"/>
  <c r="E22" i="369" s="1"/>
  <c r="E25" i="355"/>
  <c r="E22" i="355" s="1"/>
  <c r="E25" i="353"/>
  <c r="E22" i="353" s="1"/>
  <c r="E25" i="335"/>
  <c r="E22" i="335" s="1"/>
  <c r="E25" i="264"/>
  <c r="E22" i="264" s="1"/>
  <c r="E25" i="244"/>
  <c r="E22" i="244" s="1"/>
  <c r="E25" i="236"/>
  <c r="E22" i="236" s="1"/>
  <c r="E25" i="380"/>
  <c r="E22" i="380" s="1"/>
  <c r="E25" i="331"/>
  <c r="E22" i="331" s="1"/>
  <c r="E25" i="321"/>
  <c r="E22" i="321" s="1"/>
  <c r="E25" i="319"/>
  <c r="E22" i="319" s="1"/>
  <c r="E25" i="273"/>
  <c r="E22" i="273" s="1"/>
  <c r="E25" i="260"/>
  <c r="E22" i="260" s="1"/>
  <c r="E25" i="250"/>
  <c r="E22" i="250" s="1"/>
  <c r="E25" i="246"/>
  <c r="E22" i="246" s="1"/>
  <c r="E25" i="166"/>
  <c r="E22" i="166" s="1"/>
  <c r="E25" i="384"/>
  <c r="E22" i="384" s="1"/>
  <c r="E25" i="365"/>
  <c r="E22" i="365" s="1"/>
  <c r="E25" i="361"/>
  <c r="E22" i="361" s="1"/>
  <c r="E25" i="345"/>
  <c r="E22" i="345" s="1"/>
  <c r="E25" i="341"/>
  <c r="E22" i="341" s="1"/>
  <c r="E25" i="168"/>
  <c r="E22" i="168" s="1"/>
  <c r="E25" i="277"/>
  <c r="E22" i="277" s="1"/>
  <c r="E25" i="256"/>
  <c r="E22" i="256" s="1"/>
  <c r="E25" i="240"/>
  <c r="E22" i="240" s="1"/>
  <c r="E25" i="376"/>
  <c r="E22" i="376" s="1"/>
  <c r="E25" i="349"/>
  <c r="E22" i="349" s="1"/>
  <c r="E25" i="337"/>
  <c r="E22" i="337" s="1"/>
  <c r="E25" i="327"/>
  <c r="E22" i="327" s="1"/>
  <c r="E25" i="323"/>
  <c r="E22" i="323" s="1"/>
  <c r="E25" i="271"/>
  <c r="E22" i="271" s="1"/>
  <c r="E25" i="249"/>
  <c r="E22" i="249" s="1"/>
  <c r="E25" i="164"/>
  <c r="E22" i="164" s="1"/>
  <c r="E25" i="315"/>
  <c r="E22" i="315" s="1"/>
  <c r="E25" i="371"/>
  <c r="E22" i="371" s="1"/>
  <c r="E25" i="343"/>
  <c r="E22" i="343" s="1"/>
  <c r="E25" i="333"/>
  <c r="E22" i="333" s="1"/>
  <c r="E25" i="282"/>
  <c r="E22" i="282" s="1"/>
  <c r="E25" i="275"/>
  <c r="E22" i="275" s="1"/>
  <c r="E25" i="266"/>
  <c r="E22" i="266" s="1"/>
  <c r="E25" i="262"/>
  <c r="E22" i="262" s="1"/>
  <c r="E25" i="242"/>
  <c r="E22" i="242" s="1"/>
  <c r="E25" i="165"/>
  <c r="E22" i="165" s="1"/>
  <c r="E25" i="359"/>
  <c r="E22" i="359" s="1"/>
  <c r="E25" i="347"/>
  <c r="E22" i="347" s="1"/>
  <c r="E25" i="279"/>
  <c r="E22" i="279" s="1"/>
  <c r="E25" i="284"/>
  <c r="E22" i="284" s="1"/>
  <c r="E25" i="367"/>
  <c r="E22" i="367" s="1"/>
  <c r="E25" i="363"/>
  <c r="E22" i="363" s="1"/>
  <c r="E25" i="339"/>
  <c r="E22" i="339" s="1"/>
  <c r="E25" i="329"/>
  <c r="E22" i="329" s="1"/>
  <c r="E25" i="169"/>
  <c r="E22" i="169" s="1"/>
  <c r="E25" i="268"/>
  <c r="E22" i="268" s="1"/>
  <c r="E25" i="258"/>
  <c r="E22" i="258" s="1"/>
  <c r="E25" i="254"/>
  <c r="E22" i="254" s="1"/>
  <c r="E25" i="252"/>
  <c r="E22" i="252" s="1"/>
  <c r="E25" i="163"/>
  <c r="E22" i="163" s="1"/>
  <c r="E25" i="313"/>
  <c r="E22" i="313" s="1"/>
  <c r="E25" i="162"/>
  <c r="E22" i="162" s="1"/>
  <c r="E25" i="311"/>
  <c r="E22" i="311" s="1"/>
  <c r="E40" i="250"/>
  <c r="E41" i="250" s="1"/>
  <c r="G40" i="250"/>
  <c r="G41" i="250" s="1"/>
  <c r="C41" i="359"/>
  <c r="E40" i="359"/>
  <c r="E41" i="359" s="1"/>
  <c r="G40" i="359"/>
  <c r="G41" i="359" s="1"/>
  <c r="C40" i="152"/>
  <c r="C40" i="145"/>
  <c r="C40" i="149"/>
  <c r="C25" i="204"/>
  <c r="C22" i="204" s="1"/>
  <c r="C25" i="203"/>
  <c r="C22" i="203" s="1"/>
  <c r="C25" i="201"/>
  <c r="C22" i="201" s="1"/>
  <c r="C25" i="195"/>
  <c r="C22" i="195" s="1"/>
  <c r="C25" i="188"/>
  <c r="C22" i="188" s="1"/>
  <c r="C25" i="185"/>
  <c r="C22" i="185" s="1"/>
  <c r="C25" i="184"/>
  <c r="C22" i="184" s="1"/>
  <c r="C25" i="191"/>
  <c r="C22" i="191" s="1"/>
  <c r="C25" i="187"/>
  <c r="C22" i="187" s="1"/>
  <c r="C25" i="202"/>
  <c r="C22" i="202" s="1"/>
  <c r="C25" i="193"/>
  <c r="C22" i="193" s="1"/>
  <c r="C25" i="192"/>
  <c r="C22" i="192" s="1"/>
  <c r="C25" i="186"/>
  <c r="C22" i="186" s="1"/>
  <c r="C25" i="208"/>
  <c r="C22" i="208" s="1"/>
  <c r="C25" i="207"/>
  <c r="C22" i="207" s="1"/>
  <c r="C25" i="231"/>
  <c r="C22" i="231" s="1"/>
  <c r="C25" i="223"/>
  <c r="C22" i="223" s="1"/>
  <c r="C25" i="200"/>
  <c r="C22" i="200" s="1"/>
  <c r="C25" i="199"/>
  <c r="C22" i="199" s="1"/>
  <c r="C25" i="197"/>
  <c r="C22" i="197" s="1"/>
  <c r="C25" i="196"/>
  <c r="C22" i="196" s="1"/>
  <c r="C25" i="194"/>
  <c r="C22" i="194" s="1"/>
  <c r="C25" i="183"/>
  <c r="C22" i="183" s="1"/>
  <c r="C25" i="309"/>
  <c r="C22" i="309" s="1"/>
  <c r="C25" i="229"/>
  <c r="C22" i="229" s="1"/>
  <c r="C25" i="227"/>
  <c r="C22" i="227" s="1"/>
  <c r="C25" i="218"/>
  <c r="C22" i="218" s="1"/>
  <c r="C25" i="205"/>
  <c r="C22" i="205" s="1"/>
  <c r="C25" i="198"/>
  <c r="C22" i="198" s="1"/>
  <c r="C25" i="190"/>
  <c r="C22" i="190" s="1"/>
  <c r="C25" i="225"/>
  <c r="C22" i="225" s="1"/>
  <c r="C25" i="206"/>
  <c r="C22" i="206" s="1"/>
  <c r="C25" i="189"/>
  <c r="C22" i="189" s="1"/>
  <c r="C40" i="319"/>
  <c r="C40" i="303"/>
  <c r="G40" i="203"/>
  <c r="G41" i="203" s="1"/>
  <c r="C40" i="327"/>
  <c r="G40" i="325"/>
  <c r="G41" i="325" s="1"/>
  <c r="E40" i="325"/>
  <c r="E41" i="325" s="1"/>
  <c r="C40" i="142"/>
  <c r="C40" i="266"/>
  <c r="C40" i="355"/>
  <c r="C40" i="181"/>
  <c r="C40" i="158"/>
  <c r="C40" i="341"/>
  <c r="C40" i="369"/>
  <c r="C40" i="282"/>
  <c r="C41" i="345"/>
  <c r="E40" i="345"/>
  <c r="E41" i="345" s="1"/>
  <c r="G40" i="345"/>
  <c r="G41" i="345" s="1"/>
  <c r="C14" i="139"/>
  <c r="C14" i="137"/>
  <c r="E22" i="139"/>
  <c r="E21" i="377"/>
  <c r="E21" i="372"/>
  <c r="E21" i="379"/>
  <c r="E21" i="374"/>
  <c r="E21" i="370"/>
  <c r="E21" i="366"/>
  <c r="E21" i="362"/>
  <c r="E21" i="358"/>
  <c r="E21" i="354"/>
  <c r="E21" i="350"/>
  <c r="E21" i="346"/>
  <c r="E21" i="342"/>
  <c r="E21" i="338"/>
  <c r="E21" i="334"/>
  <c r="E21" i="330"/>
  <c r="E21" i="326"/>
  <c r="E21" i="368"/>
  <c r="E21" i="364"/>
  <c r="E21" i="360"/>
  <c r="E21" i="356"/>
  <c r="E21" i="352"/>
  <c r="E21" i="348"/>
  <c r="E21" i="344"/>
  <c r="E21" i="322"/>
  <c r="E21" i="255"/>
  <c r="E21" i="328"/>
  <c r="E21" i="318"/>
  <c r="E21" i="42"/>
  <c r="E21" i="340"/>
  <c r="E21" i="101"/>
  <c r="E21" i="278"/>
  <c r="E21" i="274"/>
  <c r="E21" i="381"/>
  <c r="E21" i="269"/>
  <c r="E21" i="265"/>
  <c r="E21" i="261"/>
  <c r="E21" i="332"/>
  <c r="E21" i="320"/>
  <c r="E21" i="257"/>
  <c r="E21" i="253"/>
  <c r="E21" i="316"/>
  <c r="E21" i="324"/>
  <c r="E21" i="82"/>
  <c r="E21" i="280"/>
  <c r="E21" i="276"/>
  <c r="E21" i="263"/>
  <c r="E21" i="251"/>
  <c r="E21" i="248"/>
  <c r="E21" i="245"/>
  <c r="E21" i="241"/>
  <c r="E21" i="237"/>
  <c r="E21" i="34"/>
  <c r="E21" i="267"/>
  <c r="E21" i="43"/>
  <c r="E21" i="336"/>
  <c r="E21" i="259"/>
  <c r="E21" i="285"/>
  <c r="E21" i="247"/>
  <c r="E21" i="243"/>
  <c r="E21" i="239"/>
  <c r="E21" i="73"/>
  <c r="E21" i="272"/>
  <c r="E21" i="235"/>
  <c r="F21" i="379"/>
  <c r="F21" i="374"/>
  <c r="F21" i="370"/>
  <c r="F21" i="381"/>
  <c r="F21" i="366"/>
  <c r="F21" i="362"/>
  <c r="F21" i="358"/>
  <c r="F21" i="354"/>
  <c r="F21" i="350"/>
  <c r="F21" i="372"/>
  <c r="F21" i="346"/>
  <c r="F21" i="342"/>
  <c r="F21" i="338"/>
  <c r="F21" i="334"/>
  <c r="F21" i="330"/>
  <c r="F21" i="326"/>
  <c r="F21" i="368"/>
  <c r="F21" i="364"/>
  <c r="F21" i="360"/>
  <c r="F21" i="356"/>
  <c r="F21" i="352"/>
  <c r="F21" i="377"/>
  <c r="F21" i="348"/>
  <c r="F21" i="344"/>
  <c r="F21" i="340"/>
  <c r="F21" i="336"/>
  <c r="F21" i="332"/>
  <c r="F21" i="328"/>
  <c r="F21" i="324"/>
  <c r="F21" i="318"/>
  <c r="F21" i="42"/>
  <c r="F21" i="101"/>
  <c r="F21" i="278"/>
  <c r="F21" i="274"/>
  <c r="F21" i="269"/>
  <c r="F21" i="265"/>
  <c r="F21" i="261"/>
  <c r="F21" i="320"/>
  <c r="F21" i="257"/>
  <c r="F21" i="253"/>
  <c r="F21" i="316"/>
  <c r="F21" i="82"/>
  <c r="F21" i="280"/>
  <c r="F21" i="276"/>
  <c r="F21" i="272"/>
  <c r="F21" i="267"/>
  <c r="F21" i="263"/>
  <c r="F21" i="259"/>
  <c r="F21" i="251"/>
  <c r="F21" i="248"/>
  <c r="F21" i="245"/>
  <c r="F21" i="241"/>
  <c r="F21" i="237"/>
  <c r="F21" i="34"/>
  <c r="F21" i="43"/>
  <c r="F21" i="255"/>
  <c r="F21" i="322"/>
  <c r="F21" i="285"/>
  <c r="F21" i="247"/>
  <c r="F21" i="243"/>
  <c r="F21" i="239"/>
  <c r="F21" i="235"/>
  <c r="F21" i="73"/>
  <c r="D21" i="381"/>
  <c r="D21" i="377"/>
  <c r="D21" i="379"/>
  <c r="D21" i="374"/>
  <c r="D21" i="370"/>
  <c r="D21" i="372"/>
  <c r="D21" i="366"/>
  <c r="D21" i="362"/>
  <c r="D21" i="358"/>
  <c r="D21" i="354"/>
  <c r="D21" i="350"/>
  <c r="D21" i="346"/>
  <c r="D21" i="342"/>
  <c r="D21" i="368"/>
  <c r="D21" i="364"/>
  <c r="D21" i="360"/>
  <c r="D21" i="356"/>
  <c r="D21" i="352"/>
  <c r="D21" i="336"/>
  <c r="D21" i="326"/>
  <c r="D21" i="272"/>
  <c r="D21" i="267"/>
  <c r="D21" i="263"/>
  <c r="D21" i="259"/>
  <c r="D21" i="338"/>
  <c r="D21" i="322"/>
  <c r="D21" i="255"/>
  <c r="D21" i="348"/>
  <c r="D21" i="344"/>
  <c r="D21" i="328"/>
  <c r="D21" i="318"/>
  <c r="D21" i="42"/>
  <c r="D21" i="340"/>
  <c r="D21" i="330"/>
  <c r="D21" i="101"/>
  <c r="D21" i="278"/>
  <c r="D21" i="274"/>
  <c r="D21" i="269"/>
  <c r="D21" i="265"/>
  <c r="D21" i="261"/>
  <c r="D21" i="332"/>
  <c r="D21" i="320"/>
  <c r="D21" i="257"/>
  <c r="D21" i="253"/>
  <c r="D21" i="334"/>
  <c r="D21" i="316"/>
  <c r="D21" i="235"/>
  <c r="D21" i="73"/>
  <c r="D21" i="251"/>
  <c r="D21" i="248"/>
  <c r="D21" i="245"/>
  <c r="D21" i="241"/>
  <c r="D21" i="237"/>
  <c r="D21" i="34"/>
  <c r="D21" i="43"/>
  <c r="D21" i="324"/>
  <c r="D21" i="276"/>
  <c r="D21" i="82"/>
  <c r="D21" i="280"/>
  <c r="D21" i="239"/>
  <c r="D21" i="247"/>
  <c r="D21" i="243"/>
  <c r="D21" i="285"/>
  <c r="G22" i="137"/>
  <c r="C22" i="137"/>
  <c r="E11" i="101"/>
  <c r="E11" i="274"/>
  <c r="E11" i="276"/>
  <c r="E11" i="374"/>
  <c r="E11" i="366"/>
  <c r="E11" i="358"/>
  <c r="E11" i="354"/>
  <c r="E11" i="372"/>
  <c r="E11" i="362"/>
  <c r="E11" i="350"/>
  <c r="E11" i="342"/>
  <c r="E11" i="334"/>
  <c r="E11" i="326"/>
  <c r="E11" i="318"/>
  <c r="E11" i="312"/>
  <c r="E11" i="235"/>
  <c r="E11" i="243"/>
  <c r="E11" i="248"/>
  <c r="E11" i="251"/>
  <c r="E11" i="259"/>
  <c r="E11" i="280"/>
  <c r="E11" i="272"/>
  <c r="E11" i="278"/>
  <c r="E11" i="381"/>
  <c r="E11" i="370"/>
  <c r="E11" i="360"/>
  <c r="E11" i="356"/>
  <c r="E11" i="348"/>
  <c r="E11" i="340"/>
  <c r="E11" i="82"/>
  <c r="E11" i="379"/>
  <c r="E11" i="368"/>
  <c r="E11" i="346"/>
  <c r="E11" i="338"/>
  <c r="E11" i="330"/>
  <c r="E11" i="322"/>
  <c r="E11" i="383"/>
  <c r="E11" i="314"/>
  <c r="E11" i="73"/>
  <c r="E11" i="239"/>
  <c r="E11" i="247"/>
  <c r="E11" i="285"/>
  <c r="E11" i="255"/>
  <c r="E11" i="267"/>
  <c r="E11" i="377"/>
  <c r="E11" i="364"/>
  <c r="E11" i="352"/>
  <c r="E11" i="344"/>
  <c r="E11" i="336"/>
  <c r="E11" i="328"/>
  <c r="E11" i="320"/>
  <c r="E11" i="310"/>
  <c r="E11" i="43"/>
  <c r="E11" i="237"/>
  <c r="E11" i="245"/>
  <c r="E11" i="253"/>
  <c r="E11" i="261"/>
  <c r="E11" i="265"/>
  <c r="E11" i="42"/>
  <c r="E11" i="316"/>
  <c r="E11" i="263"/>
  <c r="E11" i="34"/>
  <c r="E11" i="332"/>
  <c r="E11" i="241"/>
  <c r="E11" i="257"/>
  <c r="E11" i="269"/>
  <c r="E11" i="324"/>
  <c r="E11" i="59"/>
  <c r="E11" i="97"/>
  <c r="E11" i="135"/>
  <c r="E11" i="75"/>
  <c r="E11" i="95"/>
  <c r="E11" i="96"/>
  <c r="D11" i="29"/>
  <c r="D11" i="92"/>
  <c r="D11" i="66"/>
  <c r="D11" i="80"/>
  <c r="D11" i="83"/>
  <c r="D11" i="52"/>
  <c r="D11" i="57"/>
  <c r="D11" i="228"/>
  <c r="D11" i="217"/>
  <c r="D11" i="55"/>
  <c r="D11" i="71"/>
  <c r="D11" i="86"/>
  <c r="D11" i="88"/>
  <c r="D11" i="61"/>
  <c r="D11" i="87"/>
  <c r="D11" i="38"/>
  <c r="D11" i="77"/>
  <c r="D11" i="93"/>
  <c r="D11" i="51"/>
  <c r="D11" i="230"/>
  <c r="D11" i="53"/>
  <c r="D11" i="39"/>
  <c r="D11" i="222"/>
  <c r="D11" i="226"/>
  <c r="D11" i="224"/>
  <c r="D11" i="47"/>
  <c r="D11" i="54"/>
  <c r="D11" i="81"/>
  <c r="D11" i="308"/>
  <c r="D11" i="56"/>
  <c r="D11" i="89"/>
  <c r="D11" i="91"/>
  <c r="D11" i="50"/>
  <c r="D11" i="304"/>
  <c r="D11" i="296"/>
  <c r="D11" i="45"/>
  <c r="D11" i="106"/>
  <c r="D11" i="385"/>
  <c r="D11" i="48"/>
  <c r="D11" i="300"/>
  <c r="D11" i="72"/>
  <c r="D11" i="62"/>
  <c r="D11" i="44"/>
  <c r="D11" i="103"/>
  <c r="D11" i="302"/>
  <c r="D11" i="74"/>
  <c r="D11" i="298"/>
  <c r="D11" i="102"/>
  <c r="D11" i="68"/>
  <c r="D11" i="105"/>
  <c r="D11" i="104"/>
  <c r="D11" i="294"/>
  <c r="D11" i="36"/>
  <c r="D11" i="69"/>
  <c r="D11" i="306"/>
  <c r="C19" i="139"/>
  <c r="C19" i="137"/>
  <c r="E25" i="202" l="1"/>
  <c r="E22" i="202" s="1"/>
  <c r="L104" i="11"/>
  <c r="F7" i="561" s="1"/>
  <c r="E40" i="311"/>
  <c r="E41" i="311" s="1"/>
  <c r="E25" i="188"/>
  <c r="E22" i="188" s="1"/>
  <c r="G40" i="311"/>
  <c r="G41" i="311" s="1"/>
  <c r="E25" i="204"/>
  <c r="E22" i="204" s="1"/>
  <c r="E25" i="189"/>
  <c r="E22" i="189" s="1"/>
  <c r="E25" i="223"/>
  <c r="E22" i="223" s="1"/>
  <c r="E25" i="208"/>
  <c r="E22" i="208" s="1"/>
  <c r="E25" i="187"/>
  <c r="E22" i="187" s="1"/>
  <c r="E25" i="227"/>
  <c r="E22" i="227" s="1"/>
  <c r="E25" i="229"/>
  <c r="E22" i="229" s="1"/>
  <c r="E25" i="194"/>
  <c r="E22" i="194" s="1"/>
  <c r="E25" i="412"/>
  <c r="E22" i="412" s="1"/>
  <c r="E25" i="190"/>
  <c r="E22" i="190" s="1"/>
  <c r="E25" i="185"/>
  <c r="E22" i="185" s="1"/>
  <c r="E25" i="200"/>
  <c r="E22" i="200" s="1"/>
  <c r="E25" i="416"/>
  <c r="E22" i="416" s="1"/>
  <c r="E25" i="436"/>
  <c r="E22" i="436" s="1"/>
  <c r="E25" i="438"/>
  <c r="E22" i="438" s="1"/>
  <c r="E25" i="434"/>
  <c r="E22" i="434" s="1"/>
  <c r="E25" i="426"/>
  <c r="E22" i="426" s="1"/>
  <c r="E40" i="192"/>
  <c r="E41" i="192" s="1"/>
  <c r="C41" i="205"/>
  <c r="C41" i="371"/>
  <c r="E40" i="454"/>
  <c r="E41" i="454" s="1"/>
  <c r="G40" i="156"/>
  <c r="G41" i="156" s="1"/>
  <c r="G40" i="183"/>
  <c r="G41" i="183" s="1"/>
  <c r="E40" i="183"/>
  <c r="E41" i="183" s="1"/>
  <c r="E40" i="371"/>
  <c r="E41" i="371" s="1"/>
  <c r="E40" i="254"/>
  <c r="E41" i="254" s="1"/>
  <c r="E40" i="159"/>
  <c r="E41" i="159" s="1"/>
  <c r="C41" i="159"/>
  <c r="E40" i="343"/>
  <c r="E41" i="343" s="1"/>
  <c r="G40" i="157"/>
  <c r="G41" i="157" s="1"/>
  <c r="C41" i="254"/>
  <c r="G40" i="199"/>
  <c r="G41" i="199" s="1"/>
  <c r="C7" i="529"/>
  <c r="C7" i="400"/>
  <c r="C7" i="397"/>
  <c r="C7" i="424"/>
  <c r="C7" i="440"/>
  <c r="C7" i="535"/>
  <c r="C7" i="450"/>
  <c r="C7" i="444"/>
  <c r="C7" i="527"/>
  <c r="C7" i="466"/>
  <c r="C7" i="507"/>
  <c r="C7" i="499"/>
  <c r="C7" i="416"/>
  <c r="C7" i="464"/>
  <c r="C7" i="559"/>
  <c r="C7" i="434"/>
  <c r="C7" i="453"/>
  <c r="C7" i="547"/>
  <c r="G40" i="315"/>
  <c r="G41" i="315" s="1"/>
  <c r="E40" i="199"/>
  <c r="E41" i="199" s="1"/>
  <c r="G40" i="207"/>
  <c r="G41" i="207" s="1"/>
  <c r="E40" i="315"/>
  <c r="E41" i="315" s="1"/>
  <c r="E40" i="207"/>
  <c r="E41" i="207" s="1"/>
  <c r="E40" i="307"/>
  <c r="E41" i="307" s="1"/>
  <c r="E40" i="242"/>
  <c r="E41" i="242" s="1"/>
  <c r="G40" i="307"/>
  <c r="G41" i="307" s="1"/>
  <c r="G40" i="279"/>
  <c r="G41" i="279" s="1"/>
  <c r="E40" i="231"/>
  <c r="E41" i="231" s="1"/>
  <c r="G40" i="242"/>
  <c r="G41" i="242" s="1"/>
  <c r="E40" i="279"/>
  <c r="E41" i="279" s="1"/>
  <c r="G40" i="231"/>
  <c r="G41" i="231" s="1"/>
  <c r="E40" i="186"/>
  <c r="E41" i="186" s="1"/>
  <c r="C7" i="470"/>
  <c r="C7" i="509"/>
  <c r="C7" i="543"/>
  <c r="C7" i="503"/>
  <c r="C7" i="412"/>
  <c r="C7" i="391"/>
  <c r="C7" i="405"/>
  <c r="C7" i="414"/>
  <c r="C7" i="438"/>
  <c r="C7" i="472"/>
  <c r="C7" i="513"/>
  <c r="C7" i="511"/>
  <c r="C7" i="545"/>
  <c r="C7" i="521"/>
  <c r="C7" i="560"/>
  <c r="C7" i="422"/>
  <c r="C7" i="395"/>
  <c r="C7" i="420"/>
  <c r="C7" i="442"/>
  <c r="C7" i="460"/>
  <c r="C7" i="474"/>
  <c r="C7" i="519"/>
  <c r="C7" i="517"/>
  <c r="C7" i="557"/>
  <c r="C7" i="533"/>
  <c r="C7" i="182"/>
  <c r="C7" i="402"/>
  <c r="C7" i="426"/>
  <c r="C7" i="446"/>
  <c r="C7" i="454"/>
  <c r="C7" i="462"/>
  <c r="C7" i="537"/>
  <c r="C7" i="525"/>
  <c r="C7" i="505"/>
  <c r="C7" i="549"/>
  <c r="C7" i="393"/>
  <c r="C7" i="418"/>
  <c r="C7" i="432"/>
  <c r="C7" i="448"/>
  <c r="C7" i="478"/>
  <c r="C7" i="468"/>
  <c r="C7" i="539"/>
  <c r="C7" i="551"/>
  <c r="C7" i="523"/>
  <c r="C7" i="501"/>
  <c r="C7" i="389"/>
  <c r="C7" i="404"/>
  <c r="C7" i="410"/>
  <c r="C7" i="430"/>
  <c r="C7" i="436"/>
  <c r="C7" i="456"/>
  <c r="C7" i="476"/>
  <c r="C7" i="541"/>
  <c r="C7" i="515"/>
  <c r="C7" i="531"/>
  <c r="C7" i="555"/>
  <c r="G40" i="192"/>
  <c r="G41" i="192" s="1"/>
  <c r="E40" i="244"/>
  <c r="E41" i="244" s="1"/>
  <c r="E40" i="153"/>
  <c r="E41" i="153" s="1"/>
  <c r="D11" i="452"/>
  <c r="C25" i="562"/>
  <c r="C22" i="562" s="1"/>
  <c r="E40" i="212"/>
  <c r="E40" i="168"/>
  <c r="E41" i="168" s="1"/>
  <c r="G40" i="205"/>
  <c r="G41" i="205" s="1"/>
  <c r="E40" i="273"/>
  <c r="E41" i="273" s="1"/>
  <c r="C41" i="168"/>
  <c r="C7" i="137"/>
  <c r="C8" i="562"/>
  <c r="E6" i="529"/>
  <c r="E9" i="529" s="1"/>
  <c r="F10" i="529" s="1"/>
  <c r="E7" i="562"/>
  <c r="E6" i="562" s="1"/>
  <c r="E9" i="562" s="1"/>
  <c r="F10" i="562" s="1"/>
  <c r="E40" i="203"/>
  <c r="E41" i="203" s="1"/>
  <c r="E40" i="200"/>
  <c r="E41" i="200" s="1"/>
  <c r="G40" i="200"/>
  <c r="G41" i="200" s="1"/>
  <c r="G40" i="284"/>
  <c r="G41" i="284" s="1"/>
  <c r="E40" i="284"/>
  <c r="E41" i="284" s="1"/>
  <c r="G40" i="236"/>
  <c r="G41" i="236" s="1"/>
  <c r="E25" i="182"/>
  <c r="E22" i="182" s="1"/>
  <c r="E22" i="562"/>
  <c r="G40" i="160"/>
  <c r="G41" i="160" s="1"/>
  <c r="C41" i="160"/>
  <c r="E15" i="561"/>
  <c r="E13" i="561"/>
  <c r="G40" i="454"/>
  <c r="G41" i="454" s="1"/>
  <c r="E40" i="156"/>
  <c r="E41" i="156" s="1"/>
  <c r="C41" i="174"/>
  <c r="C41" i="321"/>
  <c r="C41" i="233"/>
  <c r="G40" i="171"/>
  <c r="G41" i="171" s="1"/>
  <c r="E40" i="453"/>
  <c r="E41" i="453" s="1"/>
  <c r="E40" i="233"/>
  <c r="E41" i="233" s="1"/>
  <c r="G40" i="343"/>
  <c r="G41" i="343" s="1"/>
  <c r="C41" i="453"/>
  <c r="G40" i="227"/>
  <c r="G41" i="227" s="1"/>
  <c r="E40" i="190"/>
  <c r="E41" i="190" s="1"/>
  <c r="E40" i="157"/>
  <c r="E41" i="157" s="1"/>
  <c r="G40" i="339"/>
  <c r="G41" i="339" s="1"/>
  <c r="E40" i="275"/>
  <c r="E41" i="275" s="1"/>
  <c r="E40" i="410"/>
  <c r="E41" i="410" s="1"/>
  <c r="E40" i="227"/>
  <c r="E41" i="227" s="1"/>
  <c r="E40" i="163"/>
  <c r="E41" i="163" s="1"/>
  <c r="G40" i="190"/>
  <c r="G41" i="190" s="1"/>
  <c r="G40" i="268"/>
  <c r="G41" i="268" s="1"/>
  <c r="C41" i="171"/>
  <c r="G40" i="410"/>
  <c r="G41" i="410" s="1"/>
  <c r="G40" i="163"/>
  <c r="G41" i="163" s="1"/>
  <c r="G40" i="264"/>
  <c r="G41" i="264" s="1"/>
  <c r="C41" i="268"/>
  <c r="C41" i="275"/>
  <c r="E40" i="174"/>
  <c r="E41" i="174" s="1"/>
  <c r="E40" i="321"/>
  <c r="E41" i="321" s="1"/>
  <c r="E40" i="264"/>
  <c r="E41" i="264" s="1"/>
  <c r="E40" i="339"/>
  <c r="E41" i="339" s="1"/>
  <c r="G40" i="197"/>
  <c r="G41" i="197" s="1"/>
  <c r="E40" i="197"/>
  <c r="E41" i="197" s="1"/>
  <c r="G40" i="196"/>
  <c r="G41" i="196" s="1"/>
  <c r="E40" i="223"/>
  <c r="E41" i="223" s="1"/>
  <c r="G40" i="378"/>
  <c r="G41" i="378" s="1"/>
  <c r="C25" i="378"/>
  <c r="C22" i="378" s="1"/>
  <c r="E40" i="295"/>
  <c r="E41" i="295" s="1"/>
  <c r="C41" i="196"/>
  <c r="G40" i="347"/>
  <c r="G41" i="347" s="1"/>
  <c r="C41" i="223"/>
  <c r="C41" i="378"/>
  <c r="G40" i="333"/>
  <c r="G41" i="333" s="1"/>
  <c r="C41" i="295"/>
  <c r="D11" i="248"/>
  <c r="G40" i="225"/>
  <c r="G41" i="225" s="1"/>
  <c r="E40" i="347"/>
  <c r="E41" i="347" s="1"/>
  <c r="E40" i="333"/>
  <c r="E41" i="333" s="1"/>
  <c r="C25" i="164"/>
  <c r="C22" i="164" s="1"/>
  <c r="D11" i="310"/>
  <c r="C41" i="225"/>
  <c r="G40" i="353"/>
  <c r="G41" i="353" s="1"/>
  <c r="D11" i="316"/>
  <c r="E40" i="353"/>
  <c r="E41" i="353" s="1"/>
  <c r="E6" i="515"/>
  <c r="E9" i="515" s="1"/>
  <c r="F10" i="515" s="1"/>
  <c r="E40" i="386"/>
  <c r="E41" i="386" s="1"/>
  <c r="G40" i="299"/>
  <c r="G41" i="299" s="1"/>
  <c r="C41" i="249"/>
  <c r="E40" i="361"/>
  <c r="E41" i="361" s="1"/>
  <c r="C41" i="560"/>
  <c r="E40" i="560"/>
  <c r="E41" i="560" s="1"/>
  <c r="E6" i="547"/>
  <c r="E9" i="547" s="1"/>
  <c r="F10" i="547" s="1"/>
  <c r="C41" i="188"/>
  <c r="G40" i="386"/>
  <c r="G41" i="386" s="1"/>
  <c r="C41" i="256"/>
  <c r="E40" i="249"/>
  <c r="E41" i="249" s="1"/>
  <c r="G40" i="271"/>
  <c r="G41" i="271" s="1"/>
  <c r="C41" i="299"/>
  <c r="G40" i="361"/>
  <c r="G41" i="361" s="1"/>
  <c r="E40" i="271"/>
  <c r="E41" i="271" s="1"/>
  <c r="G40" i="202"/>
  <c r="G41" i="202" s="1"/>
  <c r="E40" i="206"/>
  <c r="E41" i="206" s="1"/>
  <c r="C41" i="202"/>
  <c r="E40" i="188"/>
  <c r="E41" i="188" s="1"/>
  <c r="G40" i="256"/>
  <c r="G41" i="256" s="1"/>
  <c r="G40" i="206"/>
  <c r="G41" i="206" s="1"/>
  <c r="C25" i="260"/>
  <c r="C22" i="260" s="1"/>
  <c r="G40" i="357"/>
  <c r="G41" i="357" s="1"/>
  <c r="G40" i="246"/>
  <c r="G41" i="246" s="1"/>
  <c r="G40" i="258"/>
  <c r="G41" i="258" s="1"/>
  <c r="E40" i="277"/>
  <c r="E41" i="277" s="1"/>
  <c r="C41" i="179"/>
  <c r="E40" i="151"/>
  <c r="E41" i="151" s="1"/>
  <c r="C41" i="456"/>
  <c r="C41" i="146"/>
  <c r="E40" i="252"/>
  <c r="E41" i="252" s="1"/>
  <c r="C41" i="305"/>
  <c r="G40" i="172"/>
  <c r="G41" i="172" s="1"/>
  <c r="E40" i="185"/>
  <c r="E41" i="185" s="1"/>
  <c r="G40" i="184"/>
  <c r="G41" i="184" s="1"/>
  <c r="E40" i="456"/>
  <c r="E41" i="456" s="1"/>
  <c r="C41" i="252"/>
  <c r="C41" i="172"/>
  <c r="C41" i="189"/>
  <c r="G40" i="189"/>
  <c r="G41" i="189" s="1"/>
  <c r="E40" i="184"/>
  <c r="E41" i="184" s="1"/>
  <c r="E40" i="297"/>
  <c r="E41" i="297" s="1"/>
  <c r="E40" i="351"/>
  <c r="E41" i="351" s="1"/>
  <c r="E40" i="382"/>
  <c r="E41" i="382" s="1"/>
  <c r="G40" i="175"/>
  <c r="G41" i="175" s="1"/>
  <c r="E40" i="238"/>
  <c r="E41" i="238" s="1"/>
  <c r="C41" i="301"/>
  <c r="G40" i="297"/>
  <c r="G41" i="297" s="1"/>
  <c r="G40" i="351"/>
  <c r="G41" i="351" s="1"/>
  <c r="E40" i="201"/>
  <c r="E41" i="201" s="1"/>
  <c r="G40" i="305"/>
  <c r="G41" i="305" s="1"/>
  <c r="C41" i="382"/>
  <c r="E40" i="175"/>
  <c r="E41" i="175" s="1"/>
  <c r="G40" i="185"/>
  <c r="G41" i="185" s="1"/>
  <c r="G40" i="201"/>
  <c r="G41" i="201" s="1"/>
  <c r="G40" i="238"/>
  <c r="G41" i="238" s="1"/>
  <c r="E40" i="301"/>
  <c r="E41" i="301" s="1"/>
  <c r="G40" i="179"/>
  <c r="G41" i="179" s="1"/>
  <c r="E40" i="246"/>
  <c r="E41" i="246" s="1"/>
  <c r="C41" i="195"/>
  <c r="E40" i="357"/>
  <c r="E41" i="357" s="1"/>
  <c r="G40" i="208"/>
  <c r="G41" i="208" s="1"/>
  <c r="C41" i="273"/>
  <c r="E40" i="258"/>
  <c r="E41" i="258" s="1"/>
  <c r="C41" i="193"/>
  <c r="E40" i="193"/>
  <c r="E41" i="193" s="1"/>
  <c r="E40" i="208"/>
  <c r="E41" i="208" s="1"/>
  <c r="G40" i="195"/>
  <c r="G41" i="195" s="1"/>
  <c r="E40" i="164"/>
  <c r="E41" i="164" s="1"/>
  <c r="C41" i="151"/>
  <c r="E6" i="560"/>
  <c r="E9" i="560" s="1"/>
  <c r="F10" i="560" s="1"/>
  <c r="D11" i="263"/>
  <c r="D11" i="267"/>
  <c r="D11" i="348"/>
  <c r="C41" i="277"/>
  <c r="C25" i="249"/>
  <c r="C22" i="249" s="1"/>
  <c r="C25" i="331"/>
  <c r="C22" i="331" s="1"/>
  <c r="C25" i="252"/>
  <c r="C22" i="252" s="1"/>
  <c r="G40" i="177"/>
  <c r="G41" i="177" s="1"/>
  <c r="D11" i="362"/>
  <c r="D11" i="320"/>
  <c r="D11" i="356"/>
  <c r="C25" i="162"/>
  <c r="C22" i="162" s="1"/>
  <c r="C25" i="327"/>
  <c r="C22" i="327" s="1"/>
  <c r="C25" i="380"/>
  <c r="C22" i="380" s="1"/>
  <c r="C25" i="169"/>
  <c r="C22" i="169" s="1"/>
  <c r="E40" i="177"/>
  <c r="E41" i="177" s="1"/>
  <c r="D11" i="352"/>
  <c r="C25" i="311"/>
  <c r="C22" i="311" s="1"/>
  <c r="C25" i="240"/>
  <c r="C22" i="240" s="1"/>
  <c r="C25" i="264"/>
  <c r="C22" i="264" s="1"/>
  <c r="C25" i="329"/>
  <c r="C22" i="329" s="1"/>
  <c r="C41" i="148"/>
  <c r="E40" i="173"/>
  <c r="E41" i="173" s="1"/>
  <c r="D11" i="360"/>
  <c r="C25" i="347"/>
  <c r="C22" i="347" s="1"/>
  <c r="C25" i="256"/>
  <c r="C22" i="256" s="1"/>
  <c r="C25" i="369"/>
  <c r="C22" i="369" s="1"/>
  <c r="E40" i="148"/>
  <c r="E41" i="148" s="1"/>
  <c r="E40" i="335"/>
  <c r="E41" i="335" s="1"/>
  <c r="E40" i="349"/>
  <c r="E41" i="349" s="1"/>
  <c r="E40" i="337"/>
  <c r="E41" i="337" s="1"/>
  <c r="C25" i="474"/>
  <c r="C22" i="474" s="1"/>
  <c r="C25" i="454"/>
  <c r="C22" i="454" s="1"/>
  <c r="D11" i="370"/>
  <c r="D11" i="326"/>
  <c r="D11" i="285"/>
  <c r="D11" i="241"/>
  <c r="D11" i="334"/>
  <c r="C25" i="262"/>
  <c r="C22" i="262" s="1"/>
  <c r="C25" i="341"/>
  <c r="C22" i="341" s="1"/>
  <c r="C25" i="373"/>
  <c r="C22" i="373" s="1"/>
  <c r="E40" i="229"/>
  <c r="E41" i="229" s="1"/>
  <c r="G40" i="335"/>
  <c r="G41" i="335" s="1"/>
  <c r="G40" i="349"/>
  <c r="G41" i="349" s="1"/>
  <c r="E40" i="365"/>
  <c r="E41" i="365" s="1"/>
  <c r="G40" i="363"/>
  <c r="G41" i="363" s="1"/>
  <c r="G40" i="337"/>
  <c r="G41" i="337" s="1"/>
  <c r="C41" i="164"/>
  <c r="G40" i="173"/>
  <c r="G41" i="173" s="1"/>
  <c r="D11" i="381"/>
  <c r="D11" i="245"/>
  <c r="D11" i="247"/>
  <c r="D11" i="314"/>
  <c r="D11" i="358"/>
  <c r="C25" i="266"/>
  <c r="C22" i="266" s="1"/>
  <c r="C25" i="384"/>
  <c r="C22" i="384" s="1"/>
  <c r="C25" i="167"/>
  <c r="C22" i="167" s="1"/>
  <c r="G40" i="229"/>
  <c r="G41" i="229" s="1"/>
  <c r="G40" i="365"/>
  <c r="G41" i="365" s="1"/>
  <c r="E40" i="363"/>
  <c r="E41" i="363" s="1"/>
  <c r="D11" i="255"/>
  <c r="D11" i="265"/>
  <c r="D11" i="235"/>
  <c r="D11" i="383"/>
  <c r="E11" i="45"/>
  <c r="C25" i="333"/>
  <c r="C22" i="333" s="1"/>
  <c r="C25" i="166"/>
  <c r="C22" i="166" s="1"/>
  <c r="C25" i="357"/>
  <c r="C22" i="357" s="1"/>
  <c r="E25" i="295"/>
  <c r="E22" i="295" s="1"/>
  <c r="D11" i="322"/>
  <c r="D11" i="278"/>
  <c r="D11" i="243"/>
  <c r="D11" i="276"/>
  <c r="D11" i="368"/>
  <c r="D11" i="272"/>
  <c r="D11" i="364"/>
  <c r="D11" i="342"/>
  <c r="E11" i="104"/>
  <c r="E25" i="206"/>
  <c r="E22" i="206" s="1"/>
  <c r="E25" i="309"/>
  <c r="E22" i="309" s="1"/>
  <c r="E25" i="231"/>
  <c r="E22" i="231" s="1"/>
  <c r="E25" i="191"/>
  <c r="E22" i="191" s="1"/>
  <c r="C25" i="284"/>
  <c r="C22" i="284" s="1"/>
  <c r="C25" i="275"/>
  <c r="C22" i="275" s="1"/>
  <c r="C25" i="271"/>
  <c r="C22" i="271" s="1"/>
  <c r="C25" i="277"/>
  <c r="C22" i="277" s="1"/>
  <c r="C25" i="246"/>
  <c r="C22" i="246" s="1"/>
  <c r="C25" i="236"/>
  <c r="C22" i="236" s="1"/>
  <c r="C25" i="382"/>
  <c r="C22" i="382" s="1"/>
  <c r="C25" i="313"/>
  <c r="C22" i="313" s="1"/>
  <c r="C25" i="339"/>
  <c r="C22" i="339" s="1"/>
  <c r="G25" i="301"/>
  <c r="G22" i="301" s="1"/>
  <c r="E25" i="414"/>
  <c r="E22" i="414" s="1"/>
  <c r="E25" i="444"/>
  <c r="E22" i="444" s="1"/>
  <c r="E25" i="440"/>
  <c r="E22" i="440" s="1"/>
  <c r="C40" i="141"/>
  <c r="E23" i="65"/>
  <c r="D23" i="65"/>
  <c r="F23" i="65"/>
  <c r="E11" i="68"/>
  <c r="D11" i="259"/>
  <c r="D11" i="354"/>
  <c r="D11" i="338"/>
  <c r="D11" i="239"/>
  <c r="D11" i="82"/>
  <c r="D11" i="377"/>
  <c r="D11" i="280"/>
  <c r="D11" i="372"/>
  <c r="D11" i="350"/>
  <c r="E11" i="74"/>
  <c r="E25" i="225"/>
  <c r="E22" i="225" s="1"/>
  <c r="E25" i="183"/>
  <c r="E22" i="183" s="1"/>
  <c r="E25" i="207"/>
  <c r="E22" i="207" s="1"/>
  <c r="E25" i="184"/>
  <c r="E22" i="184" s="1"/>
  <c r="C25" i="279"/>
  <c r="C22" i="279" s="1"/>
  <c r="C25" i="282"/>
  <c r="C22" i="282" s="1"/>
  <c r="C25" i="323"/>
  <c r="C22" i="323" s="1"/>
  <c r="C25" i="168"/>
  <c r="C22" i="168" s="1"/>
  <c r="C25" i="250"/>
  <c r="C22" i="250" s="1"/>
  <c r="C25" i="244"/>
  <c r="C22" i="244" s="1"/>
  <c r="C25" i="238"/>
  <c r="C22" i="238" s="1"/>
  <c r="C25" i="163"/>
  <c r="C22" i="163" s="1"/>
  <c r="C25" i="363"/>
  <c r="C22" i="363" s="1"/>
  <c r="G25" i="305"/>
  <c r="G22" i="305" s="1"/>
  <c r="E25" i="420"/>
  <c r="E22" i="420" s="1"/>
  <c r="E25" i="450"/>
  <c r="E22" i="450" s="1"/>
  <c r="E25" i="432"/>
  <c r="E22" i="432" s="1"/>
  <c r="E6" i="182"/>
  <c r="E5" i="215" s="1"/>
  <c r="E11" i="105"/>
  <c r="G25" i="149"/>
  <c r="G22" i="149" s="1"/>
  <c r="D11" i="42"/>
  <c r="D11" i="251"/>
  <c r="D11" i="261"/>
  <c r="D11" i="73"/>
  <c r="D11" i="328"/>
  <c r="D11" i="237"/>
  <c r="D11" i="324"/>
  <c r="D11" i="274"/>
  <c r="D11" i="366"/>
  <c r="E40" i="140"/>
  <c r="E42" i="140" s="1"/>
  <c r="E25" i="195"/>
  <c r="E22" i="195" s="1"/>
  <c r="E25" i="198"/>
  <c r="E22" i="198" s="1"/>
  <c r="E25" i="196"/>
  <c r="E22" i="196" s="1"/>
  <c r="E25" i="186"/>
  <c r="E22" i="186" s="1"/>
  <c r="C25" i="359"/>
  <c r="C22" i="359" s="1"/>
  <c r="C25" i="343"/>
  <c r="C22" i="343" s="1"/>
  <c r="C25" i="337"/>
  <c r="C22" i="337" s="1"/>
  <c r="C25" i="345"/>
  <c r="C22" i="345" s="1"/>
  <c r="C25" i="273"/>
  <c r="C22" i="273" s="1"/>
  <c r="C25" i="335"/>
  <c r="C22" i="335" s="1"/>
  <c r="C25" i="317"/>
  <c r="C22" i="317" s="1"/>
  <c r="C25" i="254"/>
  <c r="C22" i="254" s="1"/>
  <c r="G25" i="161"/>
  <c r="G22" i="161" s="1"/>
  <c r="E25" i="418"/>
  <c r="E22" i="418" s="1"/>
  <c r="E25" i="442"/>
  <c r="E22" i="442" s="1"/>
  <c r="E25" i="448"/>
  <c r="E22" i="448" s="1"/>
  <c r="D11" i="346"/>
  <c r="D11" i="257"/>
  <c r="D11" i="336"/>
  <c r="D11" i="332"/>
  <c r="D11" i="374"/>
  <c r="E25" i="201"/>
  <c r="E22" i="201" s="1"/>
  <c r="E25" i="205"/>
  <c r="E22" i="205" s="1"/>
  <c r="E25" i="197"/>
  <c r="E22" i="197" s="1"/>
  <c r="E25" i="192"/>
  <c r="E22" i="192" s="1"/>
  <c r="C25" i="165"/>
  <c r="C22" i="165" s="1"/>
  <c r="C25" i="371"/>
  <c r="C22" i="371" s="1"/>
  <c r="C25" i="349"/>
  <c r="C22" i="349" s="1"/>
  <c r="C25" i="361"/>
  <c r="C22" i="361" s="1"/>
  <c r="C25" i="319"/>
  <c r="C22" i="319" s="1"/>
  <c r="C25" i="353"/>
  <c r="C22" i="353" s="1"/>
  <c r="C25" i="325"/>
  <c r="C22" i="325" s="1"/>
  <c r="C25" i="258"/>
  <c r="C22" i="258" s="1"/>
  <c r="G25" i="386"/>
  <c r="G22" i="386" s="1"/>
  <c r="E25" i="410"/>
  <c r="E22" i="410" s="1"/>
  <c r="E25" i="424"/>
  <c r="E22" i="424" s="1"/>
  <c r="D11" i="269"/>
  <c r="D11" i="59"/>
  <c r="D11" i="34"/>
  <c r="D11" i="101"/>
  <c r="D11" i="379"/>
  <c r="D11" i="330"/>
  <c r="D11" i="253"/>
  <c r="D11" i="312"/>
  <c r="D11" i="344"/>
  <c r="D11" i="43"/>
  <c r="D11" i="340"/>
  <c r="D11" i="318"/>
  <c r="E25" i="203"/>
  <c r="E22" i="203" s="1"/>
  <c r="E25" i="218"/>
  <c r="E22" i="218" s="1"/>
  <c r="E25" i="199"/>
  <c r="E22" i="199" s="1"/>
  <c r="E25" i="193"/>
  <c r="E22" i="193" s="1"/>
  <c r="C25" i="242"/>
  <c r="C22" i="242" s="1"/>
  <c r="C25" i="315"/>
  <c r="C22" i="315" s="1"/>
  <c r="C25" i="376"/>
  <c r="C22" i="376" s="1"/>
  <c r="C25" i="365"/>
  <c r="C22" i="365" s="1"/>
  <c r="C25" i="321"/>
  <c r="C22" i="321" s="1"/>
  <c r="C25" i="355"/>
  <c r="C22" i="355" s="1"/>
  <c r="C25" i="351"/>
  <c r="C22" i="351" s="1"/>
  <c r="C25" i="268"/>
  <c r="C22" i="268" s="1"/>
  <c r="E25" i="422"/>
  <c r="E22" i="422" s="1"/>
  <c r="E25" i="430"/>
  <c r="E22" i="430" s="1"/>
  <c r="F23" i="70"/>
  <c r="E23" i="70"/>
  <c r="D23" i="70"/>
  <c r="E25" i="560"/>
  <c r="E22" i="560" s="1"/>
  <c r="G25" i="560"/>
  <c r="G22" i="560" s="1"/>
  <c r="G25" i="155"/>
  <c r="G22" i="155" s="1"/>
  <c r="G25" i="557"/>
  <c r="G22" i="557" s="1"/>
  <c r="E25" i="551"/>
  <c r="E22" i="551" s="1"/>
  <c r="G25" i="531"/>
  <c r="G22" i="531" s="1"/>
  <c r="G25" i="525"/>
  <c r="G22" i="525" s="1"/>
  <c r="E25" i="521"/>
  <c r="E22" i="521" s="1"/>
  <c r="E25" i="517"/>
  <c r="E22" i="517" s="1"/>
  <c r="E25" i="509"/>
  <c r="E22" i="509" s="1"/>
  <c r="G25" i="499"/>
  <c r="G22" i="499" s="1"/>
  <c r="E25" i="557"/>
  <c r="E22" i="557" s="1"/>
  <c r="G25" i="539"/>
  <c r="G22" i="539" s="1"/>
  <c r="G25" i="535"/>
  <c r="G22" i="535" s="1"/>
  <c r="E25" i="531"/>
  <c r="E22" i="531" s="1"/>
  <c r="E25" i="525"/>
  <c r="E22" i="525" s="1"/>
  <c r="G25" i="513"/>
  <c r="G22" i="513" s="1"/>
  <c r="G25" i="501"/>
  <c r="G22" i="501" s="1"/>
  <c r="E25" i="499"/>
  <c r="E22" i="499" s="1"/>
  <c r="E11" i="508"/>
  <c r="G25" i="543"/>
  <c r="G22" i="543" s="1"/>
  <c r="E25" i="539"/>
  <c r="E22" i="539" s="1"/>
  <c r="E25" i="535"/>
  <c r="E22" i="535" s="1"/>
  <c r="E25" i="513"/>
  <c r="E22" i="513" s="1"/>
  <c r="G25" i="505"/>
  <c r="G22" i="505" s="1"/>
  <c r="E25" i="501"/>
  <c r="E22" i="501" s="1"/>
  <c r="E11" i="556"/>
  <c r="E11" i="554"/>
  <c r="E11" i="510"/>
  <c r="E11" i="506"/>
  <c r="G25" i="559"/>
  <c r="G22" i="559" s="1"/>
  <c r="G25" i="555"/>
  <c r="G22" i="555" s="1"/>
  <c r="G25" i="549"/>
  <c r="G22" i="549" s="1"/>
  <c r="G25" i="547"/>
  <c r="G22" i="547" s="1"/>
  <c r="E25" i="543"/>
  <c r="E22" i="543" s="1"/>
  <c r="G25" i="527"/>
  <c r="G22" i="527" s="1"/>
  <c r="G25" i="523"/>
  <c r="G22" i="523" s="1"/>
  <c r="G25" i="519"/>
  <c r="G22" i="519" s="1"/>
  <c r="E25" i="505"/>
  <c r="E22" i="505" s="1"/>
  <c r="E11" i="558"/>
  <c r="E11" i="538"/>
  <c r="E11" i="516"/>
  <c r="E11" i="504"/>
  <c r="E25" i="559"/>
  <c r="E22" i="559" s="1"/>
  <c r="E25" i="555"/>
  <c r="E22" i="555" s="1"/>
  <c r="E25" i="549"/>
  <c r="E22" i="549" s="1"/>
  <c r="E25" i="547"/>
  <c r="E22" i="547" s="1"/>
  <c r="G25" i="537"/>
  <c r="G22" i="537" s="1"/>
  <c r="G25" i="529"/>
  <c r="G22" i="529" s="1"/>
  <c r="E25" i="527"/>
  <c r="E22" i="527" s="1"/>
  <c r="E25" i="523"/>
  <c r="E22" i="523" s="1"/>
  <c r="E25" i="519"/>
  <c r="E22" i="519" s="1"/>
  <c r="G25" i="515"/>
  <c r="G22" i="515" s="1"/>
  <c r="G25" i="511"/>
  <c r="G22" i="511" s="1"/>
  <c r="E11" i="552"/>
  <c r="E11" i="540"/>
  <c r="E11" i="536"/>
  <c r="E11" i="534"/>
  <c r="E11" i="518"/>
  <c r="E11" i="514"/>
  <c r="E11" i="512"/>
  <c r="E11" i="502"/>
  <c r="E11" i="500"/>
  <c r="E25" i="537"/>
  <c r="E22" i="537" s="1"/>
  <c r="G25" i="533"/>
  <c r="G22" i="533" s="1"/>
  <c r="E25" i="529"/>
  <c r="E22" i="529" s="1"/>
  <c r="E25" i="515"/>
  <c r="E22" i="515" s="1"/>
  <c r="E25" i="511"/>
  <c r="E22" i="511" s="1"/>
  <c r="G25" i="507"/>
  <c r="G22" i="507" s="1"/>
  <c r="G25" i="503"/>
  <c r="G22" i="503" s="1"/>
  <c r="E11" i="550"/>
  <c r="E11" i="548"/>
  <c r="E11" i="546"/>
  <c r="E11" i="544"/>
  <c r="E11" i="542"/>
  <c r="E11" i="532"/>
  <c r="E11" i="528"/>
  <c r="E11" i="520"/>
  <c r="E11" i="498"/>
  <c r="G25" i="545"/>
  <c r="G22" i="545" s="1"/>
  <c r="G25" i="541"/>
  <c r="G22" i="541" s="1"/>
  <c r="E25" i="533"/>
  <c r="E22" i="533" s="1"/>
  <c r="E25" i="507"/>
  <c r="E22" i="507" s="1"/>
  <c r="E25" i="503"/>
  <c r="E22" i="503" s="1"/>
  <c r="E11" i="530"/>
  <c r="E11" i="526"/>
  <c r="E11" i="522"/>
  <c r="G25" i="551"/>
  <c r="G22" i="551" s="1"/>
  <c r="E25" i="545"/>
  <c r="E22" i="545" s="1"/>
  <c r="E25" i="541"/>
  <c r="E22" i="541" s="1"/>
  <c r="G25" i="521"/>
  <c r="G22" i="521" s="1"/>
  <c r="G25" i="517"/>
  <c r="G22" i="517" s="1"/>
  <c r="G25" i="509"/>
  <c r="G22" i="509" s="1"/>
  <c r="E11" i="524"/>
  <c r="E6" i="501"/>
  <c r="E9" i="501" s="1"/>
  <c r="F10" i="501" s="1"/>
  <c r="E6" i="543"/>
  <c r="E9" i="543" s="1"/>
  <c r="F10" i="543" s="1"/>
  <c r="E6" i="533"/>
  <c r="E9" i="533" s="1"/>
  <c r="F10" i="533" s="1"/>
  <c r="G40" i="533"/>
  <c r="G41" i="533" s="1"/>
  <c r="C41" i="533"/>
  <c r="E40" i="533"/>
  <c r="E41" i="533" s="1"/>
  <c r="C41" i="559"/>
  <c r="E40" i="559"/>
  <c r="E41" i="559" s="1"/>
  <c r="G40" i="559"/>
  <c r="G41" i="559" s="1"/>
  <c r="G40" i="499"/>
  <c r="G41" i="499" s="1"/>
  <c r="C41" i="499"/>
  <c r="E40" i="499"/>
  <c r="E41" i="499" s="1"/>
  <c r="C41" i="539"/>
  <c r="G40" i="539"/>
  <c r="G41" i="539" s="1"/>
  <c r="E40" i="539"/>
  <c r="E41" i="539" s="1"/>
  <c r="C41" i="541"/>
  <c r="E40" i="541"/>
  <c r="E41" i="541" s="1"/>
  <c r="G40" i="541"/>
  <c r="G41" i="541" s="1"/>
  <c r="C41" i="503"/>
  <c r="G40" i="503"/>
  <c r="G41" i="503" s="1"/>
  <c r="E40" i="503"/>
  <c r="E41" i="503" s="1"/>
  <c r="G40" i="507"/>
  <c r="G41" i="507" s="1"/>
  <c r="E40" i="507"/>
  <c r="E41" i="507" s="1"/>
  <c r="C41" i="507"/>
  <c r="C41" i="557"/>
  <c r="G40" i="557"/>
  <c r="G41" i="557" s="1"/>
  <c r="E40" i="557"/>
  <c r="E41" i="557" s="1"/>
  <c r="G40" i="505"/>
  <c r="G41" i="505" s="1"/>
  <c r="E40" i="505"/>
  <c r="E41" i="505" s="1"/>
  <c r="C41" i="505"/>
  <c r="G40" i="509"/>
  <c r="G41" i="509" s="1"/>
  <c r="C41" i="509"/>
  <c r="E40" i="509"/>
  <c r="E41" i="509" s="1"/>
  <c r="C41" i="555"/>
  <c r="E40" i="555"/>
  <c r="E41" i="555" s="1"/>
  <c r="G40" i="555"/>
  <c r="G41" i="555" s="1"/>
  <c r="C41" i="545"/>
  <c r="G40" i="545"/>
  <c r="G41" i="545" s="1"/>
  <c r="E40" i="545"/>
  <c r="E41" i="545" s="1"/>
  <c r="C41" i="527"/>
  <c r="G40" i="527"/>
  <c r="G41" i="527" s="1"/>
  <c r="E40" i="527"/>
  <c r="E41" i="527" s="1"/>
  <c r="C41" i="525"/>
  <c r="G40" i="525"/>
  <c r="G41" i="525" s="1"/>
  <c r="E40" i="525"/>
  <c r="E41" i="525" s="1"/>
  <c r="C41" i="547"/>
  <c r="G40" i="547"/>
  <c r="G41" i="547" s="1"/>
  <c r="E40" i="547"/>
  <c r="E41" i="547" s="1"/>
  <c r="G40" i="529"/>
  <c r="G41" i="529" s="1"/>
  <c r="C41" i="529"/>
  <c r="E40" i="529"/>
  <c r="E41" i="529" s="1"/>
  <c r="C41" i="531"/>
  <c r="G40" i="531"/>
  <c r="G41" i="531" s="1"/>
  <c r="E40" i="531"/>
  <c r="E41" i="531" s="1"/>
  <c r="G40" i="517"/>
  <c r="G41" i="517" s="1"/>
  <c r="E40" i="517"/>
  <c r="E41" i="517" s="1"/>
  <c r="C41" i="517"/>
  <c r="G40" i="519"/>
  <c r="G41" i="519" s="1"/>
  <c r="E40" i="519"/>
  <c r="E41" i="519" s="1"/>
  <c r="C41" i="519"/>
  <c r="C41" i="523"/>
  <c r="G40" i="523"/>
  <c r="G41" i="523" s="1"/>
  <c r="E40" i="523"/>
  <c r="E41" i="523" s="1"/>
  <c r="G40" i="515"/>
  <c r="G41" i="515" s="1"/>
  <c r="C41" i="515"/>
  <c r="E40" i="515"/>
  <c r="E41" i="515" s="1"/>
  <c r="C41" i="549"/>
  <c r="G40" i="549"/>
  <c r="G41" i="549" s="1"/>
  <c r="E40" i="549"/>
  <c r="E41" i="549" s="1"/>
  <c r="E40" i="543"/>
  <c r="E41" i="543" s="1"/>
  <c r="C41" i="543"/>
  <c r="G40" i="543"/>
  <c r="G41" i="543" s="1"/>
  <c r="C41" i="521"/>
  <c r="G40" i="521"/>
  <c r="G41" i="521" s="1"/>
  <c r="E40" i="521"/>
  <c r="E41" i="521" s="1"/>
  <c r="C41" i="511"/>
  <c r="G40" i="511"/>
  <c r="G41" i="511" s="1"/>
  <c r="E40" i="511"/>
  <c r="E41" i="511" s="1"/>
  <c r="C41" i="535"/>
  <c r="G40" i="535"/>
  <c r="G41" i="535" s="1"/>
  <c r="E40" i="535"/>
  <c r="E41" i="535" s="1"/>
  <c r="G40" i="537"/>
  <c r="G41" i="537" s="1"/>
  <c r="C41" i="537"/>
  <c r="E40" i="537"/>
  <c r="E41" i="537" s="1"/>
  <c r="C41" i="501"/>
  <c r="G40" i="501"/>
  <c r="G41" i="501" s="1"/>
  <c r="E40" i="501"/>
  <c r="E41" i="501" s="1"/>
  <c r="C41" i="551"/>
  <c r="G40" i="551"/>
  <c r="G41" i="551" s="1"/>
  <c r="E40" i="551"/>
  <c r="E41" i="551" s="1"/>
  <c r="E7" i="544"/>
  <c r="E7" i="536"/>
  <c r="E7" i="500"/>
  <c r="E7" i="550"/>
  <c r="E7" i="520"/>
  <c r="E7" i="508"/>
  <c r="E7" i="522"/>
  <c r="E7" i="506"/>
  <c r="E7" i="548"/>
  <c r="E7" i="552"/>
  <c r="E7" i="532"/>
  <c r="E7" i="524"/>
  <c r="E7" i="516"/>
  <c r="E7" i="512"/>
  <c r="E7" i="502"/>
  <c r="E7" i="498"/>
  <c r="E7" i="556"/>
  <c r="E7" i="528"/>
  <c r="E7" i="514"/>
  <c r="E7" i="546"/>
  <c r="E7" i="542"/>
  <c r="E7" i="538"/>
  <c r="E7" i="534"/>
  <c r="E7" i="518"/>
  <c r="E7" i="504"/>
  <c r="E7" i="540"/>
  <c r="E7" i="558"/>
  <c r="E7" i="530"/>
  <c r="E7" i="510"/>
  <c r="E7" i="554"/>
  <c r="E7" i="526"/>
  <c r="F7" i="534"/>
  <c r="F7" i="528"/>
  <c r="F7" i="504"/>
  <c r="F7" i="556"/>
  <c r="F7" i="522"/>
  <c r="F7" i="516"/>
  <c r="F7" i="540"/>
  <c r="E6" i="513"/>
  <c r="E9" i="513" s="1"/>
  <c r="F10" i="513" s="1"/>
  <c r="E6" i="503"/>
  <c r="E9" i="503" s="1"/>
  <c r="F10" i="503" s="1"/>
  <c r="E6" i="523"/>
  <c r="E9" i="523" s="1"/>
  <c r="F10" i="523" s="1"/>
  <c r="E6" i="507"/>
  <c r="E9" i="507" s="1"/>
  <c r="F10" i="507" s="1"/>
  <c r="E6" i="541"/>
  <c r="E9" i="541" s="1"/>
  <c r="F10" i="541" s="1"/>
  <c r="E6" i="559"/>
  <c r="E9" i="559" s="1"/>
  <c r="F10" i="559" s="1"/>
  <c r="E6" i="557"/>
  <c r="E9" i="557" s="1"/>
  <c r="F10" i="557" s="1"/>
  <c r="E6" i="521"/>
  <c r="E9" i="521" s="1"/>
  <c r="F10" i="521" s="1"/>
  <c r="E6" i="551"/>
  <c r="E9" i="551" s="1"/>
  <c r="F10" i="551" s="1"/>
  <c r="E6" i="549"/>
  <c r="E9" i="549" s="1"/>
  <c r="F10" i="549" s="1"/>
  <c r="E6" i="505"/>
  <c r="E9" i="505" s="1"/>
  <c r="F10" i="505" s="1"/>
  <c r="E6" i="517"/>
  <c r="E9" i="517" s="1"/>
  <c r="F10" i="517" s="1"/>
  <c r="E6" i="555"/>
  <c r="E9" i="555" s="1"/>
  <c r="E6" i="499"/>
  <c r="E9" i="499" s="1"/>
  <c r="F10" i="499" s="1"/>
  <c r="E6" i="535"/>
  <c r="E9" i="535" s="1"/>
  <c r="F10" i="535" s="1"/>
  <c r="E6" i="527"/>
  <c r="E9" i="527" s="1"/>
  <c r="E6" i="525"/>
  <c r="E9" i="525" s="1"/>
  <c r="F10" i="525" s="1"/>
  <c r="E6" i="537"/>
  <c r="E9" i="537" s="1"/>
  <c r="E6" i="539"/>
  <c r="E9" i="539" s="1"/>
  <c r="E6" i="531"/>
  <c r="E9" i="531" s="1"/>
  <c r="E6" i="509"/>
  <c r="E9" i="509" s="1"/>
  <c r="F10" i="509" s="1"/>
  <c r="E6" i="545"/>
  <c r="E9" i="545" s="1"/>
  <c r="F10" i="545" s="1"/>
  <c r="E6" i="519"/>
  <c r="E9" i="519" s="1"/>
  <c r="E6" i="511"/>
  <c r="E9" i="511" s="1"/>
  <c r="D11" i="459"/>
  <c r="D11" i="457"/>
  <c r="C25" i="464"/>
  <c r="C22" i="464" s="1"/>
  <c r="E11" i="298"/>
  <c r="E11" i="72"/>
  <c r="E11" i="36"/>
  <c r="E25" i="158"/>
  <c r="E22" i="158" s="1"/>
  <c r="G25" i="295"/>
  <c r="G22" i="295" s="1"/>
  <c r="G25" i="154"/>
  <c r="G22" i="154" s="1"/>
  <c r="E25" i="159"/>
  <c r="E22" i="159" s="1"/>
  <c r="G25" i="156"/>
  <c r="G22" i="156" s="1"/>
  <c r="G25" i="157"/>
  <c r="G22" i="157" s="1"/>
  <c r="E25" i="160"/>
  <c r="E22" i="160" s="1"/>
  <c r="G25" i="297"/>
  <c r="G22" i="297" s="1"/>
  <c r="G25" i="303"/>
  <c r="G22" i="303" s="1"/>
  <c r="G25" i="147"/>
  <c r="G22" i="147" s="1"/>
  <c r="E25" i="157"/>
  <c r="E22" i="157" s="1"/>
  <c r="G25" i="307"/>
  <c r="G22" i="307" s="1"/>
  <c r="E11" i="106"/>
  <c r="E25" i="297"/>
  <c r="E22" i="297" s="1"/>
  <c r="E25" i="303"/>
  <c r="E22" i="303" s="1"/>
  <c r="E25" i="147"/>
  <c r="E22" i="147" s="1"/>
  <c r="E25" i="156"/>
  <c r="E22" i="156" s="1"/>
  <c r="G25" i="299"/>
  <c r="G22" i="299" s="1"/>
  <c r="E25" i="150"/>
  <c r="E22" i="150" s="1"/>
  <c r="E11" i="62"/>
  <c r="E11" i="385"/>
  <c r="E11" i="294"/>
  <c r="E11" i="304"/>
  <c r="E11" i="302"/>
  <c r="E25" i="301"/>
  <c r="E22" i="301" s="1"/>
  <c r="E25" i="305"/>
  <c r="E22" i="305" s="1"/>
  <c r="G25" i="148"/>
  <c r="G22" i="148" s="1"/>
  <c r="G25" i="159"/>
  <c r="G22" i="159" s="1"/>
  <c r="E25" i="307"/>
  <c r="E22" i="307" s="1"/>
  <c r="G25" i="152"/>
  <c r="G22" i="152" s="1"/>
  <c r="E11" i="69"/>
  <c r="E11" i="306"/>
  <c r="E11" i="103"/>
  <c r="E25" i="154"/>
  <c r="E22" i="154" s="1"/>
  <c r="E25" i="148"/>
  <c r="E22" i="148" s="1"/>
  <c r="E25" i="149"/>
  <c r="E22" i="149" s="1"/>
  <c r="E25" i="161"/>
  <c r="E22" i="161" s="1"/>
  <c r="E25" i="386"/>
  <c r="E22" i="386" s="1"/>
  <c r="E11" i="296"/>
  <c r="E11" i="300"/>
  <c r="E11" i="102"/>
  <c r="G25" i="158"/>
  <c r="G22" i="158" s="1"/>
  <c r="E25" i="151"/>
  <c r="E22" i="151" s="1"/>
  <c r="G25" i="151"/>
  <c r="G22" i="151" s="1"/>
  <c r="E25" i="299"/>
  <c r="E22" i="299" s="1"/>
  <c r="E25" i="152"/>
  <c r="E22" i="152" s="1"/>
  <c r="E11" i="48"/>
  <c r="G25" i="150"/>
  <c r="G22" i="150" s="1"/>
  <c r="G25" i="160"/>
  <c r="G22" i="160" s="1"/>
  <c r="E25" i="153"/>
  <c r="E22" i="153" s="1"/>
  <c r="G25" i="153"/>
  <c r="G22" i="153" s="1"/>
  <c r="E25" i="155"/>
  <c r="E22" i="155" s="1"/>
  <c r="D11" i="96"/>
  <c r="F11" i="132"/>
  <c r="G23" i="18"/>
  <c r="C25" i="466"/>
  <c r="C22" i="466" s="1"/>
  <c r="E11" i="132"/>
  <c r="C25" i="181"/>
  <c r="C22" i="181" s="1"/>
  <c r="C25" i="175"/>
  <c r="C22" i="175" s="1"/>
  <c r="D11" i="477"/>
  <c r="D11" i="461"/>
  <c r="C25" i="476"/>
  <c r="C22" i="476" s="1"/>
  <c r="C25" i="462"/>
  <c r="C22" i="462" s="1"/>
  <c r="D11" i="473"/>
  <c r="D11" i="455"/>
  <c r="D11" i="471"/>
  <c r="D11" i="475"/>
  <c r="C25" i="472"/>
  <c r="C22" i="472" s="1"/>
  <c r="C25" i="478"/>
  <c r="C22" i="478" s="1"/>
  <c r="C25" i="468"/>
  <c r="C22" i="468" s="1"/>
  <c r="C40" i="182"/>
  <c r="C41" i="182" s="1"/>
  <c r="D11" i="215" s="1"/>
  <c r="D11" i="467"/>
  <c r="C25" i="470"/>
  <c r="C22" i="470" s="1"/>
  <c r="D11" i="463"/>
  <c r="D11" i="465"/>
  <c r="C25" i="460"/>
  <c r="C22" i="460" s="1"/>
  <c r="D11" i="469"/>
  <c r="C25" i="456"/>
  <c r="C22" i="456" s="1"/>
  <c r="E40" i="137"/>
  <c r="E41" i="137" s="1"/>
  <c r="G40" i="384"/>
  <c r="G41" i="384" s="1"/>
  <c r="C41" i="384"/>
  <c r="E6" i="402"/>
  <c r="E9" i="402" s="1"/>
  <c r="F10" i="402" s="1"/>
  <c r="E6" i="466"/>
  <c r="E9" i="466" s="1"/>
  <c r="F10" i="466" s="1"/>
  <c r="E6" i="453"/>
  <c r="E9" i="453" s="1"/>
  <c r="F10" i="453" s="1"/>
  <c r="E6" i="470"/>
  <c r="E9" i="470" s="1"/>
  <c r="F10" i="470" s="1"/>
  <c r="E6" i="456"/>
  <c r="E9" i="456" s="1"/>
  <c r="F10" i="456" s="1"/>
  <c r="E6" i="468"/>
  <c r="E9" i="468" s="1"/>
  <c r="F10" i="468" s="1"/>
  <c r="C25" i="171"/>
  <c r="C22" i="171" s="1"/>
  <c r="D11" i="100"/>
  <c r="D11" i="234"/>
  <c r="D11" i="98"/>
  <c r="D11" i="95"/>
  <c r="D11" i="97"/>
  <c r="C25" i="233"/>
  <c r="C22" i="233" s="1"/>
  <c r="D11" i="135"/>
  <c r="C25" i="173"/>
  <c r="C22" i="173" s="1"/>
  <c r="D11" i="41"/>
  <c r="E6" i="478"/>
  <c r="E9" i="478" s="1"/>
  <c r="F10" i="478" s="1"/>
  <c r="D11" i="63"/>
  <c r="D11" i="75"/>
  <c r="C25" i="172"/>
  <c r="C22" i="172" s="1"/>
  <c r="C25" i="174"/>
  <c r="C22" i="174" s="1"/>
  <c r="D11" i="32"/>
  <c r="C25" i="180"/>
  <c r="C22" i="180" s="1"/>
  <c r="C25" i="179"/>
  <c r="C22" i="179" s="1"/>
  <c r="E6" i="460"/>
  <c r="E9" i="460" s="1"/>
  <c r="F10" i="460" s="1"/>
  <c r="E6" i="476"/>
  <c r="E9" i="476" s="1"/>
  <c r="F10" i="476" s="1"/>
  <c r="C25" i="221"/>
  <c r="C22" i="221" s="1"/>
  <c r="C25" i="170"/>
  <c r="C22" i="170" s="1"/>
  <c r="D11" i="232"/>
  <c r="C25" i="177"/>
  <c r="C22" i="177" s="1"/>
  <c r="C25" i="176"/>
  <c r="C22" i="176" s="1"/>
  <c r="E6" i="464"/>
  <c r="E9" i="464" s="1"/>
  <c r="F10" i="464" s="1"/>
  <c r="E6" i="412"/>
  <c r="E9" i="412" s="1"/>
  <c r="F10" i="412" s="1"/>
  <c r="G40" i="478"/>
  <c r="G41" i="478" s="1"/>
  <c r="C41" i="478"/>
  <c r="E40" i="478"/>
  <c r="E41" i="478" s="1"/>
  <c r="C41" i="474"/>
  <c r="G40" i="474"/>
  <c r="G41" i="474" s="1"/>
  <c r="E40" i="474"/>
  <c r="E41" i="474" s="1"/>
  <c r="C41" i="472"/>
  <c r="G40" i="472"/>
  <c r="G41" i="472" s="1"/>
  <c r="E40" i="472"/>
  <c r="E41" i="472" s="1"/>
  <c r="E40" i="476"/>
  <c r="E41" i="476" s="1"/>
  <c r="G40" i="476"/>
  <c r="G41" i="476" s="1"/>
  <c r="C41" i="476"/>
  <c r="F7" i="455"/>
  <c r="F13" i="455" s="1"/>
  <c r="F7" i="477"/>
  <c r="F7" i="475"/>
  <c r="F7" i="473"/>
  <c r="F7" i="465"/>
  <c r="F7" i="461"/>
  <c r="F7" i="459"/>
  <c r="F7" i="471"/>
  <c r="F7" i="469"/>
  <c r="E6" i="472"/>
  <c r="E9" i="472" s="1"/>
  <c r="C41" i="462"/>
  <c r="G40" i="462"/>
  <c r="G41" i="462" s="1"/>
  <c r="E40" i="462"/>
  <c r="E41" i="462" s="1"/>
  <c r="C41" i="468"/>
  <c r="G40" i="468"/>
  <c r="G41" i="468" s="1"/>
  <c r="E40" i="468"/>
  <c r="E41" i="468" s="1"/>
  <c r="C41" i="464"/>
  <c r="G40" i="464"/>
  <c r="G41" i="464" s="1"/>
  <c r="E40" i="464"/>
  <c r="E41" i="464" s="1"/>
  <c r="E6" i="474"/>
  <c r="E9" i="474" s="1"/>
  <c r="G40" i="470"/>
  <c r="G41" i="470" s="1"/>
  <c r="C41" i="470"/>
  <c r="E40" i="470"/>
  <c r="E41" i="470" s="1"/>
  <c r="C41" i="466"/>
  <c r="G40" i="466"/>
  <c r="G41" i="466" s="1"/>
  <c r="E40" i="466"/>
  <c r="E41" i="466" s="1"/>
  <c r="E7" i="455"/>
  <c r="E15" i="455" s="1"/>
  <c r="E7" i="477"/>
  <c r="E7" i="469"/>
  <c r="E7" i="473"/>
  <c r="E7" i="459"/>
  <c r="E7" i="461"/>
  <c r="E7" i="467"/>
  <c r="E7" i="463"/>
  <c r="E7" i="471"/>
  <c r="E7" i="465"/>
  <c r="E7" i="475"/>
  <c r="C25" i="453"/>
  <c r="C22" i="453" s="1"/>
  <c r="E6" i="454"/>
  <c r="E9" i="454" s="1"/>
  <c r="E6" i="462"/>
  <c r="E9" i="462" s="1"/>
  <c r="C41" i="460"/>
  <c r="G40" i="460"/>
  <c r="G41" i="460" s="1"/>
  <c r="E40" i="460"/>
  <c r="E41" i="460" s="1"/>
  <c r="E6" i="450"/>
  <c r="E9" i="450" s="1"/>
  <c r="F10" i="450" s="1"/>
  <c r="E6" i="424"/>
  <c r="E9" i="424" s="1"/>
  <c r="F10" i="424" s="1"/>
  <c r="E6" i="414"/>
  <c r="E9" i="414" s="1"/>
  <c r="F10" i="414" s="1"/>
  <c r="E6" i="418"/>
  <c r="E9" i="418" s="1"/>
  <c r="F10" i="418" s="1"/>
  <c r="E6" i="438"/>
  <c r="E9" i="438" s="1"/>
  <c r="F10" i="438" s="1"/>
  <c r="E7" i="452"/>
  <c r="E15" i="452" s="1"/>
  <c r="E7" i="457"/>
  <c r="F7" i="452"/>
  <c r="F15" i="452" s="1"/>
  <c r="F7" i="457"/>
  <c r="E6" i="446"/>
  <c r="E9" i="446" s="1"/>
  <c r="F10" i="446" s="1"/>
  <c r="E6" i="420"/>
  <c r="E9" i="420" s="1"/>
  <c r="F10" i="420" s="1"/>
  <c r="E6" i="436"/>
  <c r="E9" i="436" s="1"/>
  <c r="F10" i="436" s="1"/>
  <c r="E6" i="440"/>
  <c r="E9" i="440" s="1"/>
  <c r="F8" i="440"/>
  <c r="E6" i="422"/>
  <c r="E9" i="422" s="1"/>
  <c r="G40" i="438"/>
  <c r="G41" i="438" s="1"/>
  <c r="C41" i="438"/>
  <c r="E40" i="438"/>
  <c r="E41" i="438" s="1"/>
  <c r="C41" i="424"/>
  <c r="G40" i="424"/>
  <c r="G41" i="424" s="1"/>
  <c r="E40" i="424"/>
  <c r="E41" i="424" s="1"/>
  <c r="E40" i="446"/>
  <c r="E41" i="446" s="1"/>
  <c r="C41" i="446"/>
  <c r="G40" i="446"/>
  <c r="G41" i="446" s="1"/>
  <c r="C41" i="440"/>
  <c r="G40" i="440"/>
  <c r="G41" i="440" s="1"/>
  <c r="E40" i="440"/>
  <c r="E41" i="440" s="1"/>
  <c r="C41" i="432"/>
  <c r="G40" i="432"/>
  <c r="G41" i="432" s="1"/>
  <c r="E40" i="432"/>
  <c r="E41" i="432" s="1"/>
  <c r="E6" i="410"/>
  <c r="E9" i="410" s="1"/>
  <c r="E6" i="426"/>
  <c r="E9" i="426" s="1"/>
  <c r="E6" i="442"/>
  <c r="E9" i="442" s="1"/>
  <c r="C41" i="426"/>
  <c r="G40" i="426"/>
  <c r="G41" i="426" s="1"/>
  <c r="E40" i="426"/>
  <c r="E41" i="426" s="1"/>
  <c r="G40" i="444"/>
  <c r="G41" i="444" s="1"/>
  <c r="C41" i="444"/>
  <c r="E40" i="444"/>
  <c r="E41" i="444" s="1"/>
  <c r="E6" i="416"/>
  <c r="E9" i="416" s="1"/>
  <c r="E6" i="432"/>
  <c r="E9" i="432" s="1"/>
  <c r="E7" i="447"/>
  <c r="E7" i="435"/>
  <c r="E7" i="429"/>
  <c r="E7" i="449"/>
  <c r="E7" i="437"/>
  <c r="E7" i="431"/>
  <c r="E7" i="423"/>
  <c r="E7" i="421"/>
  <c r="E7" i="417"/>
  <c r="E7" i="433"/>
  <c r="E7" i="445"/>
  <c r="E7" i="425"/>
  <c r="E7" i="415"/>
  <c r="E7" i="443"/>
  <c r="E7" i="419"/>
  <c r="E7" i="441"/>
  <c r="E7" i="413"/>
  <c r="E7" i="411"/>
  <c r="E7" i="439"/>
  <c r="G40" i="434"/>
  <c r="G41" i="434" s="1"/>
  <c r="C41" i="434"/>
  <c r="E40" i="434"/>
  <c r="E41" i="434" s="1"/>
  <c r="E6" i="448"/>
  <c r="E9" i="448" s="1"/>
  <c r="C41" i="442"/>
  <c r="G40" i="442"/>
  <c r="G41" i="442" s="1"/>
  <c r="E40" i="442"/>
  <c r="E41" i="442" s="1"/>
  <c r="E40" i="412"/>
  <c r="E41" i="412" s="1"/>
  <c r="G40" i="412"/>
  <c r="G41" i="412" s="1"/>
  <c r="C41" i="412"/>
  <c r="E6" i="430"/>
  <c r="E9" i="430" s="1"/>
  <c r="C41" i="422"/>
  <c r="E40" i="422"/>
  <c r="E41" i="422" s="1"/>
  <c r="G40" i="422"/>
  <c r="G41" i="422" s="1"/>
  <c r="C41" i="414"/>
  <c r="G40" i="414"/>
  <c r="G41" i="414" s="1"/>
  <c r="E40" i="414"/>
  <c r="E41" i="414" s="1"/>
  <c r="C41" i="448"/>
  <c r="G40" i="448"/>
  <c r="G41" i="448" s="1"/>
  <c r="E40" i="448"/>
  <c r="E41" i="448" s="1"/>
  <c r="G40" i="450"/>
  <c r="G41" i="450" s="1"/>
  <c r="C41" i="450"/>
  <c r="E40" i="450"/>
  <c r="E41" i="450" s="1"/>
  <c r="C41" i="416"/>
  <c r="G40" i="416"/>
  <c r="G41" i="416" s="1"/>
  <c r="E40" i="416"/>
  <c r="E41" i="416" s="1"/>
  <c r="F7" i="425"/>
  <c r="F7" i="447"/>
  <c r="F7" i="435"/>
  <c r="F7" i="429"/>
  <c r="F7" i="449"/>
  <c r="F7" i="437"/>
  <c r="F7" i="431"/>
  <c r="F7" i="423"/>
  <c r="F7" i="421"/>
  <c r="F7" i="445"/>
  <c r="F7" i="443"/>
  <c r="F7" i="441"/>
  <c r="F7" i="439"/>
  <c r="F7" i="433"/>
  <c r="F7" i="419"/>
  <c r="F7" i="417"/>
  <c r="F7" i="413"/>
  <c r="F7" i="411"/>
  <c r="F7" i="415"/>
  <c r="G40" i="436"/>
  <c r="G41" i="436" s="1"/>
  <c r="C41" i="436"/>
  <c r="E40" i="436"/>
  <c r="E41" i="436" s="1"/>
  <c r="C41" i="430"/>
  <c r="G40" i="430"/>
  <c r="G41" i="430" s="1"/>
  <c r="E40" i="430"/>
  <c r="E41" i="430" s="1"/>
  <c r="C41" i="418"/>
  <c r="G40" i="418"/>
  <c r="G41" i="418" s="1"/>
  <c r="E40" i="418"/>
  <c r="E41" i="418" s="1"/>
  <c r="E6" i="444"/>
  <c r="E9" i="444" s="1"/>
  <c r="E6" i="434"/>
  <c r="E9" i="434" s="1"/>
  <c r="C41" i="420"/>
  <c r="G40" i="420"/>
  <c r="G41" i="420" s="1"/>
  <c r="E40" i="420"/>
  <c r="E41" i="420" s="1"/>
  <c r="E6" i="404"/>
  <c r="E9" i="404" s="1"/>
  <c r="F10" i="404" s="1"/>
  <c r="E7" i="409"/>
  <c r="E6" i="405"/>
  <c r="E9" i="405" s="1"/>
  <c r="F10" i="405" s="1"/>
  <c r="F7" i="409"/>
  <c r="E40" i="309"/>
  <c r="E41" i="309" s="1"/>
  <c r="G40" i="309"/>
  <c r="G41" i="309" s="1"/>
  <c r="E6" i="400"/>
  <c r="E9" i="400" s="1"/>
  <c r="F10" i="400" s="1"/>
  <c r="E6" i="391"/>
  <c r="E9" i="391" s="1"/>
  <c r="F10" i="391" s="1"/>
  <c r="C41" i="400"/>
  <c r="E40" i="400"/>
  <c r="C41" i="404"/>
  <c r="E40" i="404"/>
  <c r="E6" i="395"/>
  <c r="E9" i="395" s="1"/>
  <c r="C41" i="391"/>
  <c r="E40" i="391"/>
  <c r="E40" i="405"/>
  <c r="C41" i="405"/>
  <c r="E7" i="401"/>
  <c r="E7" i="392"/>
  <c r="E7" i="394"/>
  <c r="E7" i="390"/>
  <c r="E7" i="408"/>
  <c r="E7" i="398"/>
  <c r="E7" i="399"/>
  <c r="E7" i="403"/>
  <c r="E7" i="396"/>
  <c r="E40" i="397"/>
  <c r="C41" i="397"/>
  <c r="E6" i="389"/>
  <c r="E9" i="389" s="1"/>
  <c r="E6" i="397"/>
  <c r="E9" i="397" s="1"/>
  <c r="E40" i="389"/>
  <c r="C41" i="389"/>
  <c r="E19" i="397"/>
  <c r="E20" i="397" s="1"/>
  <c r="E19" i="391"/>
  <c r="E20" i="391" s="1"/>
  <c r="E19" i="400"/>
  <c r="E20" i="400" s="1"/>
  <c r="E19" i="395"/>
  <c r="E20" i="395" s="1"/>
  <c r="E19" i="404"/>
  <c r="E20" i="404" s="1"/>
  <c r="E19" i="393"/>
  <c r="E20" i="393" s="1"/>
  <c r="E19" i="402"/>
  <c r="E20" i="402" s="1"/>
  <c r="E19" i="405"/>
  <c r="E20" i="405" s="1"/>
  <c r="E19" i="389"/>
  <c r="E20" i="389" s="1"/>
  <c r="F7" i="390"/>
  <c r="F7" i="408"/>
  <c r="F7" i="398"/>
  <c r="F7" i="394"/>
  <c r="F7" i="396"/>
  <c r="F7" i="399"/>
  <c r="F7" i="403"/>
  <c r="F7" i="392"/>
  <c r="F7" i="401"/>
  <c r="C41" i="393"/>
  <c r="E40" i="393"/>
  <c r="E6" i="393"/>
  <c r="E9" i="393" s="1"/>
  <c r="E40" i="395"/>
  <c r="C41" i="395"/>
  <c r="C41" i="402"/>
  <c r="E40" i="402"/>
  <c r="D37" i="215"/>
  <c r="L38" i="11"/>
  <c r="L40" i="11" s="1"/>
  <c r="D7" i="561" s="1"/>
  <c r="E7" i="19"/>
  <c r="G42" i="386"/>
  <c r="G42" i="156"/>
  <c r="G42" i="299"/>
  <c r="G42" i="148"/>
  <c r="G42" i="151"/>
  <c r="G42" i="159"/>
  <c r="G42" i="305"/>
  <c r="G42" i="297"/>
  <c r="G42" i="154"/>
  <c r="G42" i="295"/>
  <c r="G42" i="147"/>
  <c r="G42" i="155"/>
  <c r="G42" i="149"/>
  <c r="G42" i="157"/>
  <c r="G42" i="301"/>
  <c r="G42" i="161"/>
  <c r="G42" i="152"/>
  <c r="G42" i="160"/>
  <c r="G42" i="307"/>
  <c r="G42" i="153"/>
  <c r="G42" i="150"/>
  <c r="G42" i="158"/>
  <c r="G42" i="303"/>
  <c r="E40" i="194"/>
  <c r="E41" i="194" s="1"/>
  <c r="G40" i="194"/>
  <c r="G41" i="194" s="1"/>
  <c r="J37" i="129"/>
  <c r="D5" i="132" s="1"/>
  <c r="D30" i="132" s="1"/>
  <c r="E7" i="305"/>
  <c r="E5" i="132"/>
  <c r="E30" i="132" s="1"/>
  <c r="G40" i="154"/>
  <c r="G41" i="154" s="1"/>
  <c r="E40" i="187"/>
  <c r="E41" i="187" s="1"/>
  <c r="C41" i="187"/>
  <c r="E40" i="154"/>
  <c r="E41" i="154" s="1"/>
  <c r="E19" i="172"/>
  <c r="G40" i="204"/>
  <c r="G41" i="204" s="1"/>
  <c r="H8" i="195"/>
  <c r="H8" i="315"/>
  <c r="H8" i="254"/>
  <c r="H8" i="198"/>
  <c r="H8" i="325"/>
  <c r="H8" i="188"/>
  <c r="H8" i="258"/>
  <c r="E19" i="193"/>
  <c r="E19" i="203"/>
  <c r="E19" i="325"/>
  <c r="E19" i="353"/>
  <c r="E19" i="218"/>
  <c r="E19" i="233"/>
  <c r="E19" i="297"/>
  <c r="H8" i="275"/>
  <c r="H8" i="231"/>
  <c r="H8" i="189"/>
  <c r="H8" i="380"/>
  <c r="H8" i="376"/>
  <c r="H8" i="345"/>
  <c r="H8" i="167"/>
  <c r="H8" i="386"/>
  <c r="H8" i="218"/>
  <c r="H8" i="371"/>
  <c r="H8" i="321"/>
  <c r="H8" i="149"/>
  <c r="H8" i="319"/>
  <c r="H8" i="223"/>
  <c r="H8" i="170"/>
  <c r="G6" i="141"/>
  <c r="H8" i="191"/>
  <c r="H8" i="313"/>
  <c r="H8" i="373"/>
  <c r="E19" i="266"/>
  <c r="E19" i="200"/>
  <c r="E19" i="147"/>
  <c r="E19" i="176"/>
  <c r="E19" i="204"/>
  <c r="E19" i="301"/>
  <c r="H8" i="160"/>
  <c r="E19" i="150"/>
  <c r="E19" i="264"/>
  <c r="E19" i="273"/>
  <c r="E19" i="279"/>
  <c r="E19" i="156"/>
  <c r="E19" i="240"/>
  <c r="H8" i="260"/>
  <c r="H8" i="233"/>
  <c r="H8" i="382"/>
  <c r="H8" i="284"/>
  <c r="H8" i="153"/>
  <c r="E19" i="295"/>
  <c r="E19" i="282"/>
  <c r="E19" i="311"/>
  <c r="E19" i="380"/>
  <c r="E19" i="246"/>
  <c r="E19" i="157"/>
  <c r="E19" i="201"/>
  <c r="E19" i="231"/>
  <c r="E19" i="343"/>
  <c r="E19" i="166"/>
  <c r="E19" i="271"/>
  <c r="E19" i="371"/>
  <c r="E19" i="244"/>
  <c r="E19" i="347"/>
  <c r="E19" i="260"/>
  <c r="E19" i="369"/>
  <c r="E19" i="242"/>
  <c r="E19" i="331"/>
  <c r="E19" i="355"/>
  <c r="E19" i="378"/>
  <c r="E19" i="208"/>
  <c r="H8" i="184"/>
  <c r="E19" i="252"/>
  <c r="E19" i="151"/>
  <c r="E19" i="361"/>
  <c r="E19" i="223"/>
  <c r="E19" i="179"/>
  <c r="E19" i="327"/>
  <c r="H8" i="359"/>
  <c r="H8" i="196"/>
  <c r="H8" i="349"/>
  <c r="H8" i="200"/>
  <c r="H8" i="175"/>
  <c r="E19" i="187"/>
  <c r="E19" i="258"/>
  <c r="E19" i="207"/>
  <c r="E19" i="162"/>
  <c r="E19" i="345"/>
  <c r="E19" i="365"/>
  <c r="H8" i="204"/>
  <c r="H8" i="240"/>
  <c r="H8" i="171"/>
  <c r="H8" i="331"/>
  <c r="H8" i="369"/>
  <c r="H8" i="147"/>
  <c r="H8" i="176"/>
  <c r="H8" i="164"/>
  <c r="H8" i="378"/>
  <c r="H8" i="279"/>
  <c r="H8" i="156"/>
  <c r="H8" i="181"/>
  <c r="G6" i="212"/>
  <c r="G6" i="137"/>
  <c r="G9" i="137" s="1"/>
  <c r="E40" i="204"/>
  <c r="E41" i="204" s="1"/>
  <c r="H8" i="271"/>
  <c r="H8" i="202"/>
  <c r="H8" i="169"/>
  <c r="H8" i="246"/>
  <c r="H8" i="179"/>
  <c r="H8" i="341"/>
  <c r="H8" i="268"/>
  <c r="H8" i="353"/>
  <c r="H8" i="264"/>
  <c r="H8" i="297"/>
  <c r="H8" i="158"/>
  <c r="H8" i="317"/>
  <c r="H8" i="363"/>
  <c r="H8" i="168"/>
  <c r="G6" i="146"/>
  <c r="G9" i="146" s="1"/>
  <c r="H8" i="154"/>
  <c r="H8" i="307"/>
  <c r="H8" i="199"/>
  <c r="H8" i="192"/>
  <c r="H8" i="207"/>
  <c r="H8" i="384"/>
  <c r="H8" i="256"/>
  <c r="H8" i="236"/>
  <c r="H8" i="282"/>
  <c r="H8" i="165"/>
  <c r="H8" i="183"/>
  <c r="H8" i="148"/>
  <c r="H8" i="305"/>
  <c r="H8" i="150"/>
  <c r="H8" i="206"/>
  <c r="H8" i="194"/>
  <c r="H8" i="309"/>
  <c r="H8" i="333"/>
  <c r="H8" i="277"/>
  <c r="H8" i="262"/>
  <c r="H8" i="339"/>
  <c r="H8" i="244"/>
  <c r="H8" i="177"/>
  <c r="H8" i="151"/>
  <c r="G6" i="138"/>
  <c r="G9" i="138" s="1"/>
  <c r="H8" i="159"/>
  <c r="E19" i="161"/>
  <c r="E19" i="198"/>
  <c r="E19" i="154"/>
  <c r="E19" i="341"/>
  <c r="E19" i="386"/>
  <c r="E19" i="186"/>
  <c r="E19" i="177"/>
  <c r="E19" i="323"/>
  <c r="E19" i="299"/>
  <c r="E19" i="329"/>
  <c r="E19" i="167"/>
  <c r="E19" i="174"/>
  <c r="E19" i="149"/>
  <c r="E19" i="184"/>
  <c r="E19" i="153"/>
  <c r="E19" i="196"/>
  <c r="E19" i="315"/>
  <c r="E19" i="152"/>
  <c r="E19" i="357"/>
  <c r="E19" i="159"/>
  <c r="E19" i="188"/>
  <c r="E19" i="148"/>
  <c r="E19" i="349"/>
  <c r="E19" i="183"/>
  <c r="E19" i="313"/>
  <c r="E19" i="180"/>
  <c r="E19" i="229"/>
  <c r="E19" i="165"/>
  <c r="E19" i="171"/>
  <c r="E19" i="254"/>
  <c r="E19" i="256"/>
  <c r="E19" i="382"/>
  <c r="E19" i="376"/>
  <c r="E19" i="192"/>
  <c r="E19" i="359"/>
  <c r="E19" i="168"/>
  <c r="E19" i="202"/>
  <c r="E19" i="337"/>
  <c r="E19" i="335"/>
  <c r="E19" i="262"/>
  <c r="E19" i="158"/>
  <c r="E19" i="250"/>
  <c r="E19" i="175"/>
  <c r="E19" i="189"/>
  <c r="E19" i="194"/>
  <c r="E19" i="225"/>
  <c r="E19" i="321"/>
  <c r="E19" i="333"/>
  <c r="E19" i="191"/>
  <c r="E19" i="307"/>
  <c r="E19" i="181"/>
  <c r="E19" i="221"/>
  <c r="E19" i="227"/>
  <c r="E19" i="339"/>
  <c r="E19" i="277"/>
  <c r="E19" i="309"/>
  <c r="E19" i="205"/>
  <c r="E19" i="303"/>
  <c r="E19" i="155"/>
  <c r="E19" i="190"/>
  <c r="E19" i="319"/>
  <c r="E19" i="249"/>
  <c r="E19" i="351"/>
  <c r="E19" i="163"/>
  <c r="E19" i="195"/>
  <c r="E19" i="373"/>
  <c r="E19" i="363"/>
  <c r="E19" i="169"/>
  <c r="E19" i="238"/>
  <c r="E19" i="275"/>
  <c r="E19" i="170"/>
  <c r="E19" i="206"/>
  <c r="E19" i="164"/>
  <c r="E19" i="236"/>
  <c r="E19" i="160"/>
  <c r="E19" i="384"/>
  <c r="E19" i="284"/>
  <c r="E19" i="197"/>
  <c r="E19" i="199"/>
  <c r="E19" i="185"/>
  <c r="E19" i="367"/>
  <c r="E19" i="305"/>
  <c r="E19" i="173"/>
  <c r="E19" i="268"/>
  <c r="E19" i="317"/>
  <c r="H8" i="197"/>
  <c r="H8" i="329"/>
  <c r="H8" i="201"/>
  <c r="H8" i="208"/>
  <c r="H8" i="355"/>
  <c r="H8" i="173"/>
  <c r="H8" i="242"/>
  <c r="H8" i="187"/>
  <c r="H8" i="273"/>
  <c r="H8" i="227"/>
  <c r="H8" i="252"/>
  <c r="H8" i="238"/>
  <c r="H8" i="225"/>
  <c r="H8" i="221"/>
  <c r="G6" i="144"/>
  <c r="H8" i="303"/>
  <c r="H8" i="155"/>
  <c r="G6" i="142"/>
  <c r="H8" i="182"/>
  <c r="H8" i="166"/>
  <c r="H8" i="193"/>
  <c r="H8" i="205"/>
  <c r="H8" i="250"/>
  <c r="H8" i="163"/>
  <c r="H8" i="190"/>
  <c r="H8" i="335"/>
  <c r="H8" i="174"/>
  <c r="H8" i="351"/>
  <c r="H8" i="186"/>
  <c r="H8" i="347"/>
  <c r="H8" i="327"/>
  <c r="H8" i="185"/>
  <c r="H8" i="323"/>
  <c r="G6" i="145"/>
  <c r="H8" i="157"/>
  <c r="H8" i="299"/>
  <c r="H8" i="295"/>
  <c r="H8" i="229"/>
  <c r="H8" i="266"/>
  <c r="H8" i="249"/>
  <c r="H8" i="162"/>
  <c r="H8" i="361"/>
  <c r="H8" i="180"/>
  <c r="H8" i="367"/>
  <c r="H8" i="311"/>
  <c r="H8" i="357"/>
  <c r="H8" i="337"/>
  <c r="H8" i="172"/>
  <c r="H8" i="343"/>
  <c r="H8" i="152"/>
  <c r="H8" i="161"/>
  <c r="G6" i="140"/>
  <c r="G9" i="140" s="1"/>
  <c r="H8" i="301"/>
  <c r="G6" i="139"/>
  <c r="E40" i="373"/>
  <c r="E41" i="373" s="1"/>
  <c r="G40" i="373"/>
  <c r="G41" i="373" s="1"/>
  <c r="E40" i="165"/>
  <c r="E41" i="165" s="1"/>
  <c r="G40" i="165"/>
  <c r="G41" i="165" s="1"/>
  <c r="E40" i="176"/>
  <c r="E41" i="176" s="1"/>
  <c r="G40" i="176"/>
  <c r="G41" i="176" s="1"/>
  <c r="C41" i="329"/>
  <c r="G40" i="161"/>
  <c r="G41" i="161" s="1"/>
  <c r="C41" i="167"/>
  <c r="E14" i="249"/>
  <c r="E14" i="168"/>
  <c r="E14" i="206"/>
  <c r="E14" i="347"/>
  <c r="E14" i="147"/>
  <c r="E14" i="258"/>
  <c r="E14" i="229"/>
  <c r="E14" i="371"/>
  <c r="E14" i="137"/>
  <c r="E14" i="151"/>
  <c r="E14" i="199"/>
  <c r="E14" i="185"/>
  <c r="E14" i="262"/>
  <c r="E14" i="271"/>
  <c r="E14" i="174"/>
  <c r="E14" i="212"/>
  <c r="E14" i="297"/>
  <c r="E14" i="203"/>
  <c r="E14" i="317"/>
  <c r="E14" i="188"/>
  <c r="E14" i="144"/>
  <c r="E14" i="295"/>
  <c r="E14" i="307"/>
  <c r="E14" i="184"/>
  <c r="E14" i="145"/>
  <c r="E14" i="365"/>
  <c r="E14" i="191"/>
  <c r="E14" i="159"/>
  <c r="E14" i="170"/>
  <c r="E14" i="242"/>
  <c r="E14" i="260"/>
  <c r="E14" i="384"/>
  <c r="E14" i="160"/>
  <c r="E14" i="152"/>
  <c r="E14" i="198"/>
  <c r="E14" i="204"/>
  <c r="E14" i="363"/>
  <c r="E14" i="369"/>
  <c r="E14" i="139"/>
  <c r="E14" i="380"/>
  <c r="E14" i="337"/>
  <c r="E14" i="169"/>
  <c r="E14" i="149"/>
  <c r="E14" i="266"/>
  <c r="E14" i="236"/>
  <c r="E14" i="351"/>
  <c r="E14" i="187"/>
  <c r="E14" i="177"/>
  <c r="E14" i="321"/>
  <c r="E14" i="171"/>
  <c r="E14" i="233"/>
  <c r="E14" i="167"/>
  <c r="E14" i="221"/>
  <c r="E14" i="166"/>
  <c r="E14" i="373"/>
  <c r="E14" i="367"/>
  <c r="E14" i="341"/>
  <c r="E14" i="323"/>
  <c r="E14" i="164"/>
  <c r="E14" i="193"/>
  <c r="E14" i="231"/>
  <c r="E14" i="325"/>
  <c r="E14" i="142"/>
  <c r="E14" i="179"/>
  <c r="E14" i="361"/>
  <c r="E14" i="176"/>
  <c r="E14" i="303"/>
  <c r="E14" i="273"/>
  <c r="E14" i="376"/>
  <c r="E14" i="175"/>
  <c r="E14" i="161"/>
  <c r="E14" i="256"/>
  <c r="E14" i="240"/>
  <c r="E14" i="158"/>
  <c r="E14" i="196"/>
  <c r="E14" i="331"/>
  <c r="E14" i="162"/>
  <c r="E14" i="173"/>
  <c r="E14" i="140"/>
  <c r="E14" i="327"/>
  <c r="E14" i="207"/>
  <c r="E14" i="208"/>
  <c r="E14" i="238"/>
  <c r="E14" i="153"/>
  <c r="E14" i="197"/>
  <c r="E14" i="201"/>
  <c r="E14" i="268"/>
  <c r="E14" i="275"/>
  <c r="E14" i="189"/>
  <c r="E14" i="146"/>
  <c r="E14" i="195"/>
  <c r="E14" i="264"/>
  <c r="E14" i="301"/>
  <c r="E14" i="353"/>
  <c r="E14" i="190"/>
  <c r="E14" i="299"/>
  <c r="E14" i="315"/>
  <c r="E14" i="386"/>
  <c r="E14" i="333"/>
  <c r="E14" i="309"/>
  <c r="E14" i="180"/>
  <c r="E14" i="205"/>
  <c r="E14" i="279"/>
  <c r="E14" i="223"/>
  <c r="E14" i="305"/>
  <c r="E14" i="359"/>
  <c r="E14" i="181"/>
  <c r="E14" i="343"/>
  <c r="E14" i="194"/>
  <c r="E14" i="357"/>
  <c r="E14" i="382"/>
  <c r="E14" i="156"/>
  <c r="E14" i="163"/>
  <c r="E14" i="339"/>
  <c r="E14" i="183"/>
  <c r="E14" i="227"/>
  <c r="E14" i="157"/>
  <c r="E14" i="192"/>
  <c r="E14" i="154"/>
  <c r="E14" i="329"/>
  <c r="E14" i="200"/>
  <c r="E14" i="250"/>
  <c r="E14" i="284"/>
  <c r="E14" i="252"/>
  <c r="E14" i="186"/>
  <c r="E14" i="148"/>
  <c r="E14" i="225"/>
  <c r="E14" i="254"/>
  <c r="E14" i="349"/>
  <c r="E14" i="345"/>
  <c r="E14" i="155"/>
  <c r="E14" i="282"/>
  <c r="E14" i="202"/>
  <c r="E14" i="319"/>
  <c r="E14" i="378"/>
  <c r="E14" i="313"/>
  <c r="E14" i="277"/>
  <c r="E14" i="150"/>
  <c r="E14" i="218"/>
  <c r="E14" i="172"/>
  <c r="E14" i="246"/>
  <c r="E14" i="244"/>
  <c r="E14" i="165"/>
  <c r="E14" i="311"/>
  <c r="E14" i="141"/>
  <c r="E14" i="138"/>
  <c r="E14" i="335"/>
  <c r="E14" i="355"/>
  <c r="E19" i="212"/>
  <c r="E33" i="132"/>
  <c r="F7" i="300"/>
  <c r="F15" i="300" s="1"/>
  <c r="F7" i="379"/>
  <c r="F13" i="379" s="1"/>
  <c r="F7" i="368"/>
  <c r="F15" i="368" s="1"/>
  <c r="F7" i="364"/>
  <c r="F13" i="364" s="1"/>
  <c r="F7" i="346"/>
  <c r="F13" i="346" s="1"/>
  <c r="F7" i="263"/>
  <c r="F13" i="263" s="1"/>
  <c r="F7" i="82"/>
  <c r="F15" i="82" s="1"/>
  <c r="F7" i="251"/>
  <c r="F15" i="251" s="1"/>
  <c r="F7" i="41"/>
  <c r="F13" i="41" s="1"/>
  <c r="F7" i="261"/>
  <c r="F13" i="261" s="1"/>
  <c r="F7" i="265"/>
  <c r="F13" i="265" s="1"/>
  <c r="F7" i="51"/>
  <c r="F13" i="51" s="1"/>
  <c r="F7" i="89"/>
  <c r="F15" i="89" s="1"/>
  <c r="F7" i="56"/>
  <c r="F15" i="56" s="1"/>
  <c r="F7" i="366"/>
  <c r="F15" i="366" s="1"/>
  <c r="F7" i="101"/>
  <c r="F13" i="101" s="1"/>
  <c r="F7" i="81"/>
  <c r="F13" i="81" s="1"/>
  <c r="F7" i="64"/>
  <c r="F13" i="64" s="1"/>
  <c r="F7" i="19"/>
  <c r="F13" i="19" s="1"/>
  <c r="F7" i="72"/>
  <c r="F13" i="72" s="1"/>
  <c r="F7" i="298"/>
  <c r="F13" i="298" s="1"/>
  <c r="F7" i="360"/>
  <c r="F13" i="360" s="1"/>
  <c r="F7" i="356"/>
  <c r="F13" i="356" s="1"/>
  <c r="F7" i="332"/>
  <c r="F13" i="332" s="1"/>
  <c r="F7" i="255"/>
  <c r="F13" i="255" s="1"/>
  <c r="F7" i="276"/>
  <c r="F13" i="276" s="1"/>
  <c r="F7" i="285"/>
  <c r="F13" i="285" s="1"/>
  <c r="F7" i="232"/>
  <c r="F15" i="232" s="1"/>
  <c r="F7" i="237"/>
  <c r="F15" i="237" s="1"/>
  <c r="F7" i="257"/>
  <c r="F13" i="257" s="1"/>
  <c r="F7" i="226"/>
  <c r="F15" i="226" s="1"/>
  <c r="F7" i="88"/>
  <c r="F15" i="88" s="1"/>
  <c r="F7" i="71"/>
  <c r="F15" i="71" s="1"/>
  <c r="F7" i="318"/>
  <c r="F15" i="318" s="1"/>
  <c r="F7" i="253"/>
  <c r="F15" i="253" s="1"/>
  <c r="F7" i="74"/>
  <c r="F13" i="74" s="1"/>
  <c r="F7" i="45"/>
  <c r="F15" i="45" s="1"/>
  <c r="F7" i="352"/>
  <c r="F15" i="352" s="1"/>
  <c r="F7" i="348"/>
  <c r="F13" i="348" s="1"/>
  <c r="F7" i="330"/>
  <c r="F13" i="330" s="1"/>
  <c r="F7" i="248"/>
  <c r="F15" i="248" s="1"/>
  <c r="F7" i="267"/>
  <c r="F15" i="267" s="1"/>
  <c r="F7" i="247"/>
  <c r="F13" i="247" s="1"/>
  <c r="F7" i="234"/>
  <c r="F15" i="234" s="1"/>
  <c r="F7" i="43"/>
  <c r="F13" i="43" s="1"/>
  <c r="F7" i="243"/>
  <c r="F15" i="243" s="1"/>
  <c r="F7" i="93"/>
  <c r="F13" i="93" s="1"/>
  <c r="F7" i="87"/>
  <c r="F15" i="87" s="1"/>
  <c r="F7" i="211"/>
  <c r="F13" i="211" s="1"/>
  <c r="F7" i="239"/>
  <c r="F13" i="239" s="1"/>
  <c r="F7" i="245"/>
  <c r="F13" i="245" s="1"/>
  <c r="F7" i="37"/>
  <c r="F13" i="37" s="1"/>
  <c r="F7" i="100"/>
  <c r="F13" i="100" s="1"/>
  <c r="F7" i="92"/>
  <c r="F13" i="92" s="1"/>
  <c r="F7" i="259"/>
  <c r="F13" i="259" s="1"/>
  <c r="F7" i="306"/>
  <c r="F15" i="306" s="1"/>
  <c r="F7" i="103"/>
  <c r="F13" i="103" s="1"/>
  <c r="F7" i="344"/>
  <c r="F15" i="344" s="1"/>
  <c r="F7" i="340"/>
  <c r="F13" i="340" s="1"/>
  <c r="F7" i="326"/>
  <c r="F15" i="326" s="1"/>
  <c r="F7" i="44"/>
  <c r="F13" i="44" s="1"/>
  <c r="F7" i="374"/>
  <c r="F15" i="374" s="1"/>
  <c r="F7" i="241"/>
  <c r="F15" i="241" s="1"/>
  <c r="F7" i="32"/>
  <c r="F15" i="32" s="1"/>
  <c r="F7" i="383"/>
  <c r="F15" i="383" s="1"/>
  <c r="F7" i="59"/>
  <c r="F15" i="59" s="1"/>
  <c r="F7" i="53"/>
  <c r="F13" i="53" s="1"/>
  <c r="F7" i="80"/>
  <c r="F15" i="80" s="1"/>
  <c r="F7" i="49"/>
  <c r="F15" i="49" s="1"/>
  <c r="F7" i="312"/>
  <c r="F15" i="312" s="1"/>
  <c r="F7" i="235"/>
  <c r="F15" i="235" s="1"/>
  <c r="F7" i="274"/>
  <c r="F15" i="274" s="1"/>
  <c r="F7" i="308"/>
  <c r="F7" i="105"/>
  <c r="F15" i="105" s="1"/>
  <c r="F7" i="385"/>
  <c r="F15" i="385" s="1"/>
  <c r="F7" i="336"/>
  <c r="F13" i="336" s="1"/>
  <c r="F7" i="294"/>
  <c r="F15" i="294" s="1"/>
  <c r="F7" i="324"/>
  <c r="F15" i="324" s="1"/>
  <c r="F7" i="370"/>
  <c r="F13" i="370" s="1"/>
  <c r="F7" i="342"/>
  <c r="F15" i="342" s="1"/>
  <c r="F7" i="34"/>
  <c r="F15" i="34" s="1"/>
  <c r="F7" i="10"/>
  <c r="F13" i="10" s="1"/>
  <c r="G26" i="560" s="1"/>
  <c r="F7" i="135"/>
  <c r="F13" i="135" s="1"/>
  <c r="F7" i="16"/>
  <c r="F13" i="16" s="1"/>
  <c r="F7" i="77"/>
  <c r="F13" i="77" s="1"/>
  <c r="F7" i="54"/>
  <c r="F13" i="54" s="1"/>
  <c r="F7" i="27"/>
  <c r="F13" i="27" s="1"/>
  <c r="F7" i="63"/>
  <c r="F15" i="63" s="1"/>
  <c r="F7" i="310"/>
  <c r="F13" i="310" s="1"/>
  <c r="F7" i="224"/>
  <c r="F13" i="224" s="1"/>
  <c r="F7" i="73"/>
  <c r="F15" i="73" s="1"/>
  <c r="F7" i="304"/>
  <c r="F13" i="304" s="1"/>
  <c r="F7" i="62"/>
  <c r="F13" i="62" s="1"/>
  <c r="F7" i="302"/>
  <c r="F15" i="302" s="1"/>
  <c r="F7" i="328"/>
  <c r="F13" i="328" s="1"/>
  <c r="F7" i="106"/>
  <c r="F13" i="106" s="1"/>
  <c r="F7" i="316"/>
  <c r="F13" i="316" s="1"/>
  <c r="F7" i="354"/>
  <c r="F15" i="354" s="1"/>
  <c r="F7" i="334"/>
  <c r="F15" i="334" s="1"/>
  <c r="F7" i="314"/>
  <c r="F13" i="314" s="1"/>
  <c r="F7" i="358"/>
  <c r="F15" i="358" s="1"/>
  <c r="F7" i="50"/>
  <c r="F13" i="50" s="1"/>
  <c r="F7" i="98"/>
  <c r="F15" i="98" s="1"/>
  <c r="F7" i="55"/>
  <c r="F15" i="55" s="1"/>
  <c r="F7" i="57"/>
  <c r="F15" i="57" s="1"/>
  <c r="F7" i="65"/>
  <c r="F13" i="65" s="1"/>
  <c r="F7" i="96"/>
  <c r="F15" i="96" s="1"/>
  <c r="F7" i="222"/>
  <c r="F13" i="222" s="1"/>
  <c r="F7" i="47"/>
  <c r="F13" i="47" s="1"/>
  <c r="F7" i="217"/>
  <c r="F13" i="217" s="1"/>
  <c r="F7" i="296"/>
  <c r="F13" i="296" s="1"/>
  <c r="F7" i="36"/>
  <c r="F13" i="36" s="1"/>
  <c r="F7" i="104"/>
  <c r="F15" i="104" s="1"/>
  <c r="F7" i="68"/>
  <c r="F15" i="68" s="1"/>
  <c r="F7" i="381"/>
  <c r="F13" i="381" s="1"/>
  <c r="F7" i="280"/>
  <c r="F15" i="280" s="1"/>
  <c r="F7" i="338"/>
  <c r="F13" i="338" s="1"/>
  <c r="F7" i="42"/>
  <c r="F15" i="42" s="1"/>
  <c r="F7" i="75"/>
  <c r="F13" i="75" s="1"/>
  <c r="F7" i="322"/>
  <c r="F15" i="322" s="1"/>
  <c r="F7" i="230"/>
  <c r="F13" i="230" s="1"/>
  <c r="F7" i="97"/>
  <c r="F15" i="97" s="1"/>
  <c r="F7" i="38"/>
  <c r="F15" i="38" s="1"/>
  <c r="F7" i="61"/>
  <c r="F13" i="61" s="1"/>
  <c r="F7" i="85"/>
  <c r="F13" i="85" s="1"/>
  <c r="F7" i="69"/>
  <c r="F13" i="69" s="1"/>
  <c r="F7" i="39"/>
  <c r="F13" i="39" s="1"/>
  <c r="F7" i="29"/>
  <c r="F13" i="29" s="1"/>
  <c r="F7" i="83"/>
  <c r="F13" i="83" s="1"/>
  <c r="F7" i="91"/>
  <c r="F15" i="91" s="1"/>
  <c r="F7" i="40"/>
  <c r="F13" i="40" s="1"/>
  <c r="F7" i="102"/>
  <c r="F15" i="102" s="1"/>
  <c r="F7" i="48"/>
  <c r="F15" i="48" s="1"/>
  <c r="F7" i="377"/>
  <c r="F15" i="377" s="1"/>
  <c r="F7" i="372"/>
  <c r="F15" i="372" s="1"/>
  <c r="F7" i="362"/>
  <c r="F15" i="362" s="1"/>
  <c r="F7" i="272"/>
  <c r="F13" i="272" s="1"/>
  <c r="F7" i="320"/>
  <c r="F15" i="320" s="1"/>
  <c r="F7" i="269"/>
  <c r="F13" i="269" s="1"/>
  <c r="F7" i="95"/>
  <c r="F13" i="95" s="1"/>
  <c r="F7" i="278"/>
  <c r="F15" i="278" s="1"/>
  <c r="F7" i="228"/>
  <c r="F13" i="228" s="1"/>
  <c r="F7" i="18"/>
  <c r="F13" i="18" s="1"/>
  <c r="F7" i="66"/>
  <c r="F13" i="66" s="1"/>
  <c r="F7" i="86"/>
  <c r="F13" i="86" s="1"/>
  <c r="F7" i="70"/>
  <c r="F15" i="70" s="1"/>
  <c r="F7" i="350"/>
  <c r="F15" i="350" s="1"/>
  <c r="F7" i="52"/>
  <c r="F13" i="52" s="1"/>
  <c r="F7" i="17"/>
  <c r="F13" i="17" s="1"/>
  <c r="E40" i="138"/>
  <c r="E41" i="138" s="1"/>
  <c r="E40" i="161"/>
  <c r="E41" i="161" s="1"/>
  <c r="G40" i="329"/>
  <c r="G41" i="329" s="1"/>
  <c r="E40" i="166"/>
  <c r="E41" i="166" s="1"/>
  <c r="C41" i="166"/>
  <c r="G6" i="203"/>
  <c r="G9" i="203" s="1"/>
  <c r="G6" i="365"/>
  <c r="G9" i="365" s="1"/>
  <c r="E7" i="325"/>
  <c r="E7" i="141"/>
  <c r="E7" i="187"/>
  <c r="E7" i="373"/>
  <c r="E7" i="195"/>
  <c r="E7" i="170"/>
  <c r="E19" i="137"/>
  <c r="E19" i="142"/>
  <c r="E19" i="146"/>
  <c r="E19" i="139"/>
  <c r="E19" i="144"/>
  <c r="E19" i="141"/>
  <c r="E19" i="145"/>
  <c r="E19" i="138"/>
  <c r="E19" i="140"/>
  <c r="E40" i="262"/>
  <c r="E41" i="262" s="1"/>
  <c r="G40" i="262"/>
  <c r="G41" i="262" s="1"/>
  <c r="G40" i="167"/>
  <c r="G41" i="167" s="1"/>
  <c r="D25" i="182"/>
  <c r="C41" i="169"/>
  <c r="E40" i="169"/>
  <c r="E41" i="169" s="1"/>
  <c r="E7" i="363"/>
  <c r="E7" i="203"/>
  <c r="E7" i="190"/>
  <c r="E7" i="357"/>
  <c r="E7" i="162"/>
  <c r="E7" i="138"/>
  <c r="E7" i="380"/>
  <c r="E7" i="299"/>
  <c r="E7" i="169"/>
  <c r="E7" i="161"/>
  <c r="E7" i="349"/>
  <c r="E7" i="321"/>
  <c r="E7" i="202"/>
  <c r="E7" i="264"/>
  <c r="E7" i="361"/>
  <c r="E7" i="250"/>
  <c r="E7" i="386"/>
  <c r="E7" i="153"/>
  <c r="E7" i="192"/>
  <c r="E7" i="179"/>
  <c r="E7" i="382"/>
  <c r="E7" i="204"/>
  <c r="E7" i="262"/>
  <c r="E7" i="371"/>
  <c r="E7" i="297"/>
  <c r="E7" i="275"/>
  <c r="E7" i="244"/>
  <c r="E7" i="173"/>
  <c r="E7" i="229"/>
  <c r="E7" i="277"/>
  <c r="E7" i="163"/>
  <c r="E7" i="150"/>
  <c r="E7" i="323"/>
  <c r="E7" i="254"/>
  <c r="E7" i="384"/>
  <c r="E7" i="315"/>
  <c r="E7" i="337"/>
  <c r="E7" i="260"/>
  <c r="E7" i="146"/>
  <c r="E7" i="207"/>
  <c r="E7" i="376"/>
  <c r="E7" i="335"/>
  <c r="E7" i="359"/>
  <c r="E7" i="249"/>
  <c r="E7" i="176"/>
  <c r="E7" i="345"/>
  <c r="E7" i="160"/>
  <c r="E7" i="171"/>
  <c r="E7" i="252"/>
  <c r="E7" i="206"/>
  <c r="E7" i="208"/>
  <c r="E7" i="282"/>
  <c r="E7" i="236"/>
  <c r="E7" i="148"/>
  <c r="E7" i="159"/>
  <c r="E7" i="181"/>
  <c r="E7" i="233"/>
  <c r="E7" i="367"/>
  <c r="E7" i="165"/>
  <c r="E7" i="185"/>
  <c r="E7" i="186"/>
  <c r="E7" i="369"/>
  <c r="E7" i="339"/>
  <c r="E7" i="309"/>
  <c r="E7" i="319"/>
  <c r="E7" i="174"/>
  <c r="E7" i="200"/>
  <c r="E7" i="256"/>
  <c r="E7" i="378"/>
  <c r="E7" i="353"/>
  <c r="E7" i="152"/>
  <c r="E7" i="303"/>
  <c r="E7" i="144"/>
  <c r="E7" i="313"/>
  <c r="E7" i="238"/>
  <c r="E7" i="246"/>
  <c r="E7" i="240"/>
  <c r="E7" i="184"/>
  <c r="E7" i="183"/>
  <c r="E7" i="193"/>
  <c r="E7" i="347"/>
  <c r="E7" i="172"/>
  <c r="E7" i="351"/>
  <c r="E7" i="180"/>
  <c r="E7" i="223"/>
  <c r="E7" i="266"/>
  <c r="E7" i="225"/>
  <c r="E7" i="154"/>
  <c r="E7" i="155"/>
  <c r="E7" i="142"/>
  <c r="E7" i="140"/>
  <c r="E7" i="201"/>
  <c r="E7" i="197"/>
  <c r="E7" i="194"/>
  <c r="E7" i="177"/>
  <c r="E7" i="355"/>
  <c r="E7" i="166"/>
  <c r="E7" i="231"/>
  <c r="E7" i="317"/>
  <c r="E7" i="221"/>
  <c r="E7" i="157"/>
  <c r="E7" i="295"/>
  <c r="E7" i="145"/>
  <c r="E7" i="149"/>
  <c r="E7" i="329"/>
  <c r="E7" i="333"/>
  <c r="E7" i="188"/>
  <c r="E7" i="279"/>
  <c r="E7" i="327"/>
  <c r="E7" i="175"/>
  <c r="E7" i="258"/>
  <c r="E7" i="199"/>
  <c r="E7" i="164"/>
  <c r="E7" i="189"/>
  <c r="E7" i="273"/>
  <c r="E7" i="311"/>
  <c r="E7" i="331"/>
  <c r="E7" i="284"/>
  <c r="E7" i="307"/>
  <c r="E7" i="212"/>
  <c r="E7" i="151"/>
  <c r="E7" i="156"/>
  <c r="E7" i="191"/>
  <c r="E7" i="196"/>
  <c r="E7" i="227"/>
  <c r="E7" i="343"/>
  <c r="E7" i="198"/>
  <c r="E7" i="167"/>
  <c r="E7" i="271"/>
  <c r="E7" i="218"/>
  <c r="E7" i="268"/>
  <c r="E7" i="205"/>
  <c r="E7" i="168"/>
  <c r="E7" i="242"/>
  <c r="E7" i="365"/>
  <c r="E7" i="341"/>
  <c r="E7" i="158"/>
  <c r="E7" i="301"/>
  <c r="E7" i="147"/>
  <c r="C8" i="345"/>
  <c r="D8" i="345" s="1"/>
  <c r="C8" i="321"/>
  <c r="D8" i="321" s="1"/>
  <c r="E8" i="141"/>
  <c r="E8" i="144"/>
  <c r="E8" i="151"/>
  <c r="F8" i="151" s="1"/>
  <c r="E8" i="154"/>
  <c r="F8" i="154" s="1"/>
  <c r="E8" i="307"/>
  <c r="F8" i="307" s="1"/>
  <c r="E8" i="295"/>
  <c r="F8" i="295" s="1"/>
  <c r="E8" i="157"/>
  <c r="F8" i="157" s="1"/>
  <c r="E8" i="149"/>
  <c r="F8" i="149" s="1"/>
  <c r="E8" i="147"/>
  <c r="F8" i="147" s="1"/>
  <c r="E8" i="142"/>
  <c r="E8" i="159"/>
  <c r="F8" i="159" s="1"/>
  <c r="E8" i="156"/>
  <c r="F8" i="156" s="1"/>
  <c r="E8" i="386"/>
  <c r="F8" i="386" s="1"/>
  <c r="E8" i="303"/>
  <c r="F8" i="303" s="1"/>
  <c r="E8" i="140"/>
  <c r="E8" i="305"/>
  <c r="F8" i="305" s="1"/>
  <c r="E8" i="301"/>
  <c r="F8" i="301" s="1"/>
  <c r="E8" i="297"/>
  <c r="F8" i="297" s="1"/>
  <c r="E8" i="161"/>
  <c r="F8" i="161" s="1"/>
  <c r="E8" i="153"/>
  <c r="F8" i="153" s="1"/>
  <c r="E8" i="138"/>
  <c r="E8" i="150"/>
  <c r="F8" i="150" s="1"/>
  <c r="E8" i="148"/>
  <c r="F8" i="148" s="1"/>
  <c r="E8" i="299"/>
  <c r="F8" i="299" s="1"/>
  <c r="E8" i="145"/>
  <c r="E8" i="160"/>
  <c r="F8" i="160" s="1"/>
  <c r="E8" i="212"/>
  <c r="E8" i="158"/>
  <c r="F8" i="158" s="1"/>
  <c r="E8" i="155"/>
  <c r="F8" i="155" s="1"/>
  <c r="E8" i="146"/>
  <c r="E8" i="152"/>
  <c r="F8" i="152" s="1"/>
  <c r="E8" i="347"/>
  <c r="F8" i="347" s="1"/>
  <c r="E8" i="339"/>
  <c r="F8" i="339" s="1"/>
  <c r="E8" i="335"/>
  <c r="F8" i="335" s="1"/>
  <c r="E8" i="331"/>
  <c r="F8" i="331" s="1"/>
  <c r="E8" i="273"/>
  <c r="F8" i="273" s="1"/>
  <c r="E8" i="249"/>
  <c r="F8" i="249" s="1"/>
  <c r="E8" i="166"/>
  <c r="F8" i="166" s="1"/>
  <c r="E8" i="164"/>
  <c r="F8" i="164" s="1"/>
  <c r="E8" i="180"/>
  <c r="F8" i="180" s="1"/>
  <c r="E8" i="177"/>
  <c r="F8" i="177" s="1"/>
  <c r="E8" i="221"/>
  <c r="F8" i="221" s="1"/>
  <c r="E8" i="170"/>
  <c r="F8" i="170" s="1"/>
  <c r="E8" i="309"/>
  <c r="F8" i="309" s="1"/>
  <c r="E8" i="225"/>
  <c r="F8" i="225" s="1"/>
  <c r="E8" i="200"/>
  <c r="F8" i="200" s="1"/>
  <c r="E8" i="185"/>
  <c r="F8" i="185" s="1"/>
  <c r="E8" i="184"/>
  <c r="F8" i="184" s="1"/>
  <c r="E8" i="325"/>
  <c r="F8" i="325" s="1"/>
  <c r="E8" i="284"/>
  <c r="F8" i="284" s="1"/>
  <c r="E8" i="378"/>
  <c r="F8" i="378" s="1"/>
  <c r="E8" i="327"/>
  <c r="F8" i="327" s="1"/>
  <c r="E8" i="268"/>
  <c r="F8" i="268" s="1"/>
  <c r="E8" i="199"/>
  <c r="F8" i="199" s="1"/>
  <c r="E8" i="186"/>
  <c r="F8" i="186" s="1"/>
  <c r="E8" i="183"/>
  <c r="F8" i="183" s="1"/>
  <c r="E8" i="373"/>
  <c r="F8" i="373" s="1"/>
  <c r="E8" i="369"/>
  <c r="F8" i="369" s="1"/>
  <c r="E8" i="323"/>
  <c r="F8" i="323" s="1"/>
  <c r="E8" i="319"/>
  <c r="F8" i="319" s="1"/>
  <c r="E8" i="169"/>
  <c r="F8" i="169" s="1"/>
  <c r="E8" i="264"/>
  <c r="F8" i="264" s="1"/>
  <c r="E8" i="260"/>
  <c r="F8" i="260" s="1"/>
  <c r="E8" i="252"/>
  <c r="F8" i="252" s="1"/>
  <c r="E8" i="246"/>
  <c r="F8" i="246" s="1"/>
  <c r="E8" i="238"/>
  <c r="F8" i="238" s="1"/>
  <c r="E8" i="313"/>
  <c r="F8" i="313" s="1"/>
  <c r="E8" i="181"/>
  <c r="F8" i="181" s="1"/>
  <c r="E8" i="175"/>
  <c r="F8" i="175" s="1"/>
  <c r="E8" i="208"/>
  <c r="F8" i="208" s="1"/>
  <c r="E8" i="223"/>
  <c r="F8" i="223" s="1"/>
  <c r="E8" i="198"/>
  <c r="F8" i="198" s="1"/>
  <c r="E8" i="196"/>
  <c r="F8" i="196" s="1"/>
  <c r="E8" i="188"/>
  <c r="F8" i="188" s="1"/>
  <c r="E8" i="187"/>
  <c r="F8" i="187" s="1"/>
  <c r="E8" i="365"/>
  <c r="F8" i="365" s="1"/>
  <c r="E8" i="361"/>
  <c r="F8" i="361" s="1"/>
  <c r="E8" i="357"/>
  <c r="F8" i="357" s="1"/>
  <c r="E8" i="349"/>
  <c r="F8" i="349" s="1"/>
  <c r="E8" i="345"/>
  <c r="F8" i="345" s="1"/>
  <c r="E8" i="341"/>
  <c r="F8" i="341" s="1"/>
  <c r="E8" i="167"/>
  <c r="F8" i="167" s="1"/>
  <c r="E8" i="279"/>
  <c r="F8" i="279" s="1"/>
  <c r="E8" i="256"/>
  <c r="F8" i="256" s="1"/>
  <c r="E8" i="242"/>
  <c r="F8" i="242" s="1"/>
  <c r="E8" i="311"/>
  <c r="F8" i="311" s="1"/>
  <c r="E8" i="173"/>
  <c r="F8" i="173" s="1"/>
  <c r="E8" i="233"/>
  <c r="F8" i="233" s="1"/>
  <c r="E8" i="207"/>
  <c r="F8" i="207" s="1"/>
  <c r="E8" i="197"/>
  <c r="F8" i="197" s="1"/>
  <c r="E8" i="195"/>
  <c r="F8" i="195" s="1"/>
  <c r="E8" i="329"/>
  <c r="F8" i="329" s="1"/>
  <c r="E8" i="266"/>
  <c r="F8" i="266" s="1"/>
  <c r="E8" i="353"/>
  <c r="F8" i="353" s="1"/>
  <c r="E8" i="337"/>
  <c r="F8" i="337" s="1"/>
  <c r="E8" i="333"/>
  <c r="F8" i="333" s="1"/>
  <c r="E8" i="275"/>
  <c r="F8" i="275" s="1"/>
  <c r="E8" i="271"/>
  <c r="F8" i="271" s="1"/>
  <c r="E8" i="236"/>
  <c r="F8" i="236" s="1"/>
  <c r="E8" i="165"/>
  <c r="F8" i="165" s="1"/>
  <c r="E8" i="163"/>
  <c r="F8" i="163" s="1"/>
  <c r="E8" i="179"/>
  <c r="F8" i="179" s="1"/>
  <c r="E8" i="171"/>
  <c r="F8" i="171" s="1"/>
  <c r="E8" i="231"/>
  <c r="F8" i="231" s="1"/>
  <c r="E8" i="218"/>
  <c r="F8" i="218" s="1"/>
  <c r="E8" i="194"/>
  <c r="F8" i="194" s="1"/>
  <c r="E8" i="193"/>
  <c r="F8" i="193" s="1"/>
  <c r="E8" i="250"/>
  <c r="F8" i="250" s="1"/>
  <c r="E8" i="382"/>
  <c r="F8" i="382" s="1"/>
  <c r="E8" i="363"/>
  <c r="F8" i="363" s="1"/>
  <c r="E8" i="359"/>
  <c r="F8" i="359" s="1"/>
  <c r="E8" i="343"/>
  <c r="F8" i="343" s="1"/>
  <c r="E8" i="317"/>
  <c r="F8" i="317" s="1"/>
  <c r="E8" i="282"/>
  <c r="F8" i="282" s="1"/>
  <c r="E8" i="277"/>
  <c r="F8" i="277" s="1"/>
  <c r="E8" i="258"/>
  <c r="F8" i="258" s="1"/>
  <c r="E8" i="315"/>
  <c r="F8" i="315" s="1"/>
  <c r="E8" i="384"/>
  <c r="F8" i="384" s="1"/>
  <c r="E8" i="172"/>
  <c r="F8" i="172" s="1"/>
  <c r="E8" i="227"/>
  <c r="F8" i="227" s="1"/>
  <c r="E8" i="189"/>
  <c r="F8" i="189" s="1"/>
  <c r="E8" i="380"/>
  <c r="F8" i="380" s="1"/>
  <c r="E8" i="240"/>
  <c r="F8" i="240" s="1"/>
  <c r="E8" i="367"/>
  <c r="F8" i="367" s="1"/>
  <c r="E8" i="203"/>
  <c r="F8" i="203" s="1"/>
  <c r="E8" i="201"/>
  <c r="F8" i="201" s="1"/>
  <c r="E8" i="262"/>
  <c r="F8" i="262" s="1"/>
  <c r="E8" i="244"/>
  <c r="F8" i="244" s="1"/>
  <c r="E8" i="204"/>
  <c r="F8" i="204" s="1"/>
  <c r="E8" i="192"/>
  <c r="F8" i="192" s="1"/>
  <c r="E8" i="321"/>
  <c r="F8" i="321" s="1"/>
  <c r="E8" i="205"/>
  <c r="F8" i="205" s="1"/>
  <c r="E8" i="229"/>
  <c r="F8" i="229" s="1"/>
  <c r="E8" i="254"/>
  <c r="F8" i="254" s="1"/>
  <c r="E8" i="176"/>
  <c r="F8" i="176" s="1"/>
  <c r="E8" i="355"/>
  <c r="F8" i="355" s="1"/>
  <c r="E8" i="206"/>
  <c r="F8" i="206" s="1"/>
  <c r="E8" i="376"/>
  <c r="F8" i="376" s="1"/>
  <c r="E8" i="168"/>
  <c r="F8" i="168" s="1"/>
  <c r="E8" i="190"/>
  <c r="F8" i="190" s="1"/>
  <c r="E8" i="371"/>
  <c r="F8" i="371" s="1"/>
  <c r="E8" i="351"/>
  <c r="F8" i="351" s="1"/>
  <c r="E8" i="202"/>
  <c r="F8" i="202" s="1"/>
  <c r="E8" i="191"/>
  <c r="F8" i="191" s="1"/>
  <c r="E8" i="162"/>
  <c r="F8" i="162" s="1"/>
  <c r="E8" i="174"/>
  <c r="F8" i="174" s="1"/>
  <c r="C41" i="158"/>
  <c r="E40" i="158"/>
  <c r="E41" i="158" s="1"/>
  <c r="G40" i="158"/>
  <c r="G41" i="158" s="1"/>
  <c r="E40" i="142"/>
  <c r="C41" i="142"/>
  <c r="C41" i="191"/>
  <c r="E40" i="191"/>
  <c r="E41" i="191" s="1"/>
  <c r="G40" i="191"/>
  <c r="G41" i="191" s="1"/>
  <c r="C41" i="221"/>
  <c r="G40" i="221"/>
  <c r="G41" i="221" s="1"/>
  <c r="E40" i="221"/>
  <c r="E41" i="221" s="1"/>
  <c r="C41" i="144"/>
  <c r="E40" i="144"/>
  <c r="C41" i="369"/>
  <c r="G40" i="369"/>
  <c r="G41" i="369" s="1"/>
  <c r="E40" i="369"/>
  <c r="E41" i="369" s="1"/>
  <c r="C41" i="266"/>
  <c r="G40" i="266"/>
  <c r="G41" i="266" s="1"/>
  <c r="E40" i="266"/>
  <c r="E41" i="266" s="1"/>
  <c r="E40" i="303"/>
  <c r="E41" i="303" s="1"/>
  <c r="C41" i="303"/>
  <c r="G40" i="303"/>
  <c r="G41" i="303" s="1"/>
  <c r="C41" i="331"/>
  <c r="G40" i="331"/>
  <c r="G41" i="331" s="1"/>
  <c r="E40" i="331"/>
  <c r="E41" i="331" s="1"/>
  <c r="C41" i="181"/>
  <c r="G40" i="181"/>
  <c r="G41" i="181" s="1"/>
  <c r="E40" i="181"/>
  <c r="E41" i="181" s="1"/>
  <c r="C41" i="145"/>
  <c r="E40" i="145"/>
  <c r="C41" i="240"/>
  <c r="G40" i="240"/>
  <c r="G41" i="240" s="1"/>
  <c r="E40" i="240"/>
  <c r="E41" i="240" s="1"/>
  <c r="C41" i="341"/>
  <c r="G40" i="341"/>
  <c r="G41" i="341" s="1"/>
  <c r="E40" i="341"/>
  <c r="E41" i="341" s="1"/>
  <c r="C41" i="319"/>
  <c r="G40" i="319"/>
  <c r="G41" i="319" s="1"/>
  <c r="E40" i="319"/>
  <c r="E41" i="319" s="1"/>
  <c r="C41" i="317"/>
  <c r="G40" i="317"/>
  <c r="G41" i="317" s="1"/>
  <c r="E40" i="317"/>
  <c r="E41" i="317" s="1"/>
  <c r="C41" i="180"/>
  <c r="E40" i="180"/>
  <c r="E41" i="180" s="1"/>
  <c r="G40" i="180"/>
  <c r="G41" i="180" s="1"/>
  <c r="C41" i="355"/>
  <c r="E40" i="355"/>
  <c r="E41" i="355" s="1"/>
  <c r="G40" i="355"/>
  <c r="G41" i="355" s="1"/>
  <c r="E40" i="139"/>
  <c r="E42" i="139" s="1"/>
  <c r="E41" i="212"/>
  <c r="G40" i="212"/>
  <c r="G41" i="212" s="1"/>
  <c r="C41" i="152"/>
  <c r="G40" i="152"/>
  <c r="G41" i="152" s="1"/>
  <c r="E40" i="152"/>
  <c r="E41" i="152" s="1"/>
  <c r="E40" i="218"/>
  <c r="E41" i="218" s="1"/>
  <c r="G40" i="218"/>
  <c r="G41" i="218" s="1"/>
  <c r="C41" i="218"/>
  <c r="C41" i="150"/>
  <c r="G40" i="150"/>
  <c r="G41" i="150" s="1"/>
  <c r="E40" i="150"/>
  <c r="E41" i="150" s="1"/>
  <c r="C41" i="260"/>
  <c r="G40" i="260"/>
  <c r="G41" i="260" s="1"/>
  <c r="E40" i="260"/>
  <c r="E41" i="260" s="1"/>
  <c r="C41" i="323"/>
  <c r="E40" i="323"/>
  <c r="E41" i="323" s="1"/>
  <c r="G40" i="323"/>
  <c r="G41" i="323" s="1"/>
  <c r="C41" i="327"/>
  <c r="E40" i="327"/>
  <c r="E41" i="327" s="1"/>
  <c r="G40" i="327"/>
  <c r="G41" i="327" s="1"/>
  <c r="C41" i="282"/>
  <c r="G40" i="282"/>
  <c r="G41" i="282" s="1"/>
  <c r="E40" i="282"/>
  <c r="E41" i="282" s="1"/>
  <c r="E41" i="146"/>
  <c r="G40" i="146"/>
  <c r="G41" i="146" s="1"/>
  <c r="C41" i="149"/>
  <c r="E40" i="149"/>
  <c r="E41" i="149" s="1"/>
  <c r="G40" i="149"/>
  <c r="G41" i="149" s="1"/>
  <c r="C41" i="155"/>
  <c r="G40" i="155"/>
  <c r="G41" i="155" s="1"/>
  <c r="E40" i="155"/>
  <c r="E41" i="155" s="1"/>
  <c r="E8" i="139"/>
  <c r="C22" i="139"/>
  <c r="G22" i="139"/>
  <c r="E7" i="139"/>
  <c r="D21" i="304"/>
  <c r="D21" i="300"/>
  <c r="D21" i="296"/>
  <c r="D21" i="72"/>
  <c r="D21" i="306"/>
  <c r="D21" i="302"/>
  <c r="D21" i="298"/>
  <c r="D21" i="294"/>
  <c r="D21" i="74"/>
  <c r="D21" i="102"/>
  <c r="D21" i="36"/>
  <c r="D21" i="103"/>
  <c r="D21" i="48"/>
  <c r="D21" i="385"/>
  <c r="D21" i="45"/>
  <c r="D21" i="62"/>
  <c r="D21" i="106"/>
  <c r="D21" i="104"/>
  <c r="D21" i="69"/>
  <c r="D21" i="68"/>
  <c r="D21" i="44"/>
  <c r="D21" i="105"/>
  <c r="E21" i="304"/>
  <c r="E21" i="300"/>
  <c r="E21" i="296"/>
  <c r="E21" i="72"/>
  <c r="E21" i="306"/>
  <c r="E21" i="302"/>
  <c r="E21" i="298"/>
  <c r="E21" i="294"/>
  <c r="E21" i="45"/>
  <c r="E21" i="62"/>
  <c r="E21" i="106"/>
  <c r="E21" i="104"/>
  <c r="E21" i="69"/>
  <c r="E21" i="68"/>
  <c r="E21" i="44"/>
  <c r="E21" i="105"/>
  <c r="E21" i="48"/>
  <c r="E21" i="102"/>
  <c r="E21" i="103"/>
  <c r="E21" i="74"/>
  <c r="E21" i="36"/>
  <c r="E21" i="385"/>
  <c r="F21" i="304"/>
  <c r="F21" i="300"/>
  <c r="F21" i="296"/>
  <c r="F21" i="72"/>
  <c r="F21" i="306"/>
  <c r="F21" i="302"/>
  <c r="F21" i="298"/>
  <c r="F21" i="294"/>
  <c r="F21" i="45"/>
  <c r="F21" i="62"/>
  <c r="F21" i="106"/>
  <c r="F21" i="104"/>
  <c r="F21" i="69"/>
  <c r="F21" i="68"/>
  <c r="F21" i="44"/>
  <c r="F21" i="105"/>
  <c r="F21" i="74"/>
  <c r="F21" i="102"/>
  <c r="F21" i="36"/>
  <c r="F21" i="103"/>
  <c r="F21" i="48"/>
  <c r="F21" i="385"/>
  <c r="F7" i="463" l="1"/>
  <c r="F7" i="532"/>
  <c r="F7" i="506"/>
  <c r="F7" i="508"/>
  <c r="F7" i="500"/>
  <c r="F7" i="530"/>
  <c r="F7" i="512"/>
  <c r="F15" i="512" s="1"/>
  <c r="F7" i="467"/>
  <c r="F15" i="467" s="1"/>
  <c r="F7" i="544"/>
  <c r="F7" i="520"/>
  <c r="F7" i="542"/>
  <c r="F7" i="536"/>
  <c r="F7" i="558"/>
  <c r="F7" i="518"/>
  <c r="F7" i="546"/>
  <c r="F15" i="546" s="1"/>
  <c r="F7" i="524"/>
  <c r="F15" i="524" s="1"/>
  <c r="F7" i="510"/>
  <c r="F7" i="514"/>
  <c r="F7" i="502"/>
  <c r="F13" i="502" s="1"/>
  <c r="F7" i="526"/>
  <c r="F15" i="526" s="1"/>
  <c r="F7" i="498"/>
  <c r="F15" i="498" s="1"/>
  <c r="F7" i="538"/>
  <c r="F13" i="538" s="1"/>
  <c r="F7" i="554"/>
  <c r="F15" i="554" s="1"/>
  <c r="F7" i="548"/>
  <c r="F15" i="548" s="1"/>
  <c r="F7" i="550"/>
  <c r="F7" i="552"/>
  <c r="F15" i="561"/>
  <c r="F13" i="561"/>
  <c r="C8" i="376"/>
  <c r="D8" i="376" s="1"/>
  <c r="C8" i="303"/>
  <c r="D8" i="303" s="1"/>
  <c r="C8" i="545"/>
  <c r="D8" i="545" s="1"/>
  <c r="C8" i="414"/>
  <c r="D8" i="414" s="1"/>
  <c r="C8" i="442"/>
  <c r="D8" i="442" s="1"/>
  <c r="C8" i="434"/>
  <c r="D8" i="434" s="1"/>
  <c r="C8" i="472"/>
  <c r="D8" i="472" s="1"/>
  <c r="C8" i="173"/>
  <c r="D8" i="173" s="1"/>
  <c r="C8" i="395"/>
  <c r="C6" i="395" s="1"/>
  <c r="C9" i="395" s="1"/>
  <c r="D10" i="395" s="1"/>
  <c r="C8" i="162"/>
  <c r="D8" i="162" s="1"/>
  <c r="C8" i="499"/>
  <c r="D8" i="499" s="1"/>
  <c r="C8" i="539"/>
  <c r="D8" i="539" s="1"/>
  <c r="C8" i="517"/>
  <c r="D8" i="517" s="1"/>
  <c r="C8" i="284"/>
  <c r="D8" i="284" s="1"/>
  <c r="C8" i="192"/>
  <c r="D8" i="192" s="1"/>
  <c r="C8" i="238"/>
  <c r="D8" i="238" s="1"/>
  <c r="C8" i="400"/>
  <c r="C6" i="400" s="1"/>
  <c r="C9" i="400" s="1"/>
  <c r="D10" i="400" s="1"/>
  <c r="C8" i="448"/>
  <c r="D8" i="448" s="1"/>
  <c r="C8" i="474"/>
  <c r="D8" i="474" s="1"/>
  <c r="C8" i="541"/>
  <c r="D8" i="541" s="1"/>
  <c r="C8" i="557"/>
  <c r="D8" i="557" s="1"/>
  <c r="C8" i="225"/>
  <c r="D8" i="225" s="1"/>
  <c r="C8" i="365"/>
  <c r="D8" i="365" s="1"/>
  <c r="C8" i="200"/>
  <c r="D8" i="200" s="1"/>
  <c r="C8" i="186"/>
  <c r="D8" i="186" s="1"/>
  <c r="C8" i="240"/>
  <c r="D8" i="240" s="1"/>
  <c r="C8" i="140"/>
  <c r="C8" i="389"/>
  <c r="C6" i="389" s="1"/>
  <c r="C9" i="389" s="1"/>
  <c r="D10" i="389" s="1"/>
  <c r="C8" i="418"/>
  <c r="D8" i="418" s="1"/>
  <c r="C8" i="436"/>
  <c r="D8" i="436" s="1"/>
  <c r="C8" i="454"/>
  <c r="D8" i="454" s="1"/>
  <c r="C8" i="462"/>
  <c r="D8" i="462" s="1"/>
  <c r="C8" i="521"/>
  <c r="D8" i="521" s="1"/>
  <c r="C8" i="547"/>
  <c r="D8" i="547" s="1"/>
  <c r="C8" i="551"/>
  <c r="D8" i="551" s="1"/>
  <c r="C8" i="505"/>
  <c r="D8" i="505" s="1"/>
  <c r="C8" i="182"/>
  <c r="D8" i="182" s="1"/>
  <c r="D10" i="182" s="1"/>
  <c r="C8" i="363"/>
  <c r="D8" i="363" s="1"/>
  <c r="C8" i="341"/>
  <c r="D8" i="341" s="1"/>
  <c r="C8" i="142"/>
  <c r="C8" i="397"/>
  <c r="C6" i="397" s="1"/>
  <c r="C9" i="397" s="1"/>
  <c r="D10" i="397" s="1"/>
  <c r="C8" i="446"/>
  <c r="D8" i="446" s="1"/>
  <c r="C8" i="450"/>
  <c r="C6" i="450" s="1"/>
  <c r="C9" i="450" s="1"/>
  <c r="C8" i="456"/>
  <c r="D8" i="456" s="1"/>
  <c r="C8" i="503"/>
  <c r="D8" i="503" s="1"/>
  <c r="C8" i="525"/>
  <c r="D8" i="525" s="1"/>
  <c r="C8" i="560"/>
  <c r="D8" i="560" s="1"/>
  <c r="C8" i="172"/>
  <c r="D8" i="172" s="1"/>
  <c r="C8" i="195"/>
  <c r="D8" i="195" s="1"/>
  <c r="C8" i="231"/>
  <c r="D8" i="231" s="1"/>
  <c r="C8" i="218"/>
  <c r="D8" i="218" s="1"/>
  <c r="C8" i="282"/>
  <c r="D8" i="282" s="1"/>
  <c r="C8" i="159"/>
  <c r="D8" i="159" s="1"/>
  <c r="C8" i="405"/>
  <c r="C6" i="405" s="1"/>
  <c r="C9" i="405" s="1"/>
  <c r="D10" i="405" s="1"/>
  <c r="C8" i="420"/>
  <c r="D8" i="420" s="1"/>
  <c r="C8" i="440"/>
  <c r="D8" i="440" s="1"/>
  <c r="C8" i="478"/>
  <c r="D8" i="478" s="1"/>
  <c r="C8" i="468"/>
  <c r="D8" i="468" s="1"/>
  <c r="C8" i="533"/>
  <c r="D8" i="533" s="1"/>
  <c r="C8" i="501"/>
  <c r="C6" i="501" s="1"/>
  <c r="C9" i="501" s="1"/>
  <c r="C8" i="559"/>
  <c r="D8" i="559" s="1"/>
  <c r="C8" i="523"/>
  <c r="D8" i="523" s="1"/>
  <c r="C8" i="137"/>
  <c r="C8" i="549"/>
  <c r="D8" i="549" s="1"/>
  <c r="C8" i="185"/>
  <c r="D8" i="185" s="1"/>
  <c r="C8" i="250"/>
  <c r="D8" i="250" s="1"/>
  <c r="C8" i="175"/>
  <c r="D8" i="175" s="1"/>
  <c r="C8" i="380"/>
  <c r="D8" i="380" s="1"/>
  <c r="C8" i="277"/>
  <c r="D8" i="277" s="1"/>
  <c r="C8" i="169"/>
  <c r="D8" i="169" s="1"/>
  <c r="C8" i="155"/>
  <c r="D8" i="155" s="1"/>
  <c r="C8" i="393"/>
  <c r="C6" i="393" s="1"/>
  <c r="C9" i="393" s="1"/>
  <c r="D10" i="393" s="1"/>
  <c r="C8" i="410"/>
  <c r="D8" i="410" s="1"/>
  <c r="C8" i="426"/>
  <c r="D8" i="426" s="1"/>
  <c r="C8" i="464"/>
  <c r="D8" i="464" s="1"/>
  <c r="C8" i="453"/>
  <c r="D8" i="453" s="1"/>
  <c r="C8" i="513"/>
  <c r="D8" i="513" s="1"/>
  <c r="C8" i="507"/>
  <c r="D8" i="507" s="1"/>
  <c r="C8" i="529"/>
  <c r="D8" i="529" s="1"/>
  <c r="C8" i="189"/>
  <c r="D8" i="189" s="1"/>
  <c r="C8" i="206"/>
  <c r="D8" i="206" s="1"/>
  <c r="C8" i="309"/>
  <c r="D8" i="309" s="1"/>
  <c r="C8" i="327"/>
  <c r="D8" i="327" s="1"/>
  <c r="C8" i="164"/>
  <c r="D8" i="164" s="1"/>
  <c r="C8" i="227"/>
  <c r="D8" i="227" s="1"/>
  <c r="C8" i="158"/>
  <c r="D8" i="158" s="1"/>
  <c r="C8" i="402"/>
  <c r="C6" i="402" s="1"/>
  <c r="C9" i="402" s="1"/>
  <c r="D10" i="402" s="1"/>
  <c r="C8" i="424"/>
  <c r="D8" i="424" s="1"/>
  <c r="C8" i="444"/>
  <c r="D8" i="444" s="1"/>
  <c r="C8" i="460"/>
  <c r="D8" i="460" s="1"/>
  <c r="C8" i="476"/>
  <c r="D8" i="476" s="1"/>
  <c r="C8" i="555"/>
  <c r="D8" i="555" s="1"/>
  <c r="C8" i="515"/>
  <c r="D8" i="515" s="1"/>
  <c r="C8" i="531"/>
  <c r="D8" i="531" s="1"/>
  <c r="C8" i="174"/>
  <c r="D8" i="174" s="1"/>
  <c r="C8" i="252"/>
  <c r="D8" i="252" s="1"/>
  <c r="C8" i="258"/>
  <c r="D8" i="258" s="1"/>
  <c r="C8" i="177"/>
  <c r="D8" i="177" s="1"/>
  <c r="C8" i="349"/>
  <c r="D8" i="349" s="1"/>
  <c r="C8" i="317"/>
  <c r="D8" i="317" s="1"/>
  <c r="C8" i="145"/>
  <c r="C8" i="404"/>
  <c r="C6" i="404" s="1"/>
  <c r="C9" i="404" s="1"/>
  <c r="D10" i="404" s="1"/>
  <c r="C8" i="412"/>
  <c r="D8" i="412" s="1"/>
  <c r="C8" i="416"/>
  <c r="D8" i="416" s="1"/>
  <c r="C8" i="432"/>
  <c r="D8" i="432" s="1"/>
  <c r="C8" i="466"/>
  <c r="D8" i="466" s="1"/>
  <c r="C8" i="519"/>
  <c r="D8" i="519" s="1"/>
  <c r="C8" i="509"/>
  <c r="D8" i="509" s="1"/>
  <c r="C8" i="535"/>
  <c r="D8" i="535" s="1"/>
  <c r="C8" i="197"/>
  <c r="D8" i="197" s="1"/>
  <c r="C8" i="254"/>
  <c r="D8" i="254" s="1"/>
  <c r="C8" i="260"/>
  <c r="D8" i="260" s="1"/>
  <c r="C8" i="194"/>
  <c r="D8" i="194" s="1"/>
  <c r="C8" i="335"/>
  <c r="D8" i="335" s="1"/>
  <c r="C8" i="144"/>
  <c r="C8" i="391"/>
  <c r="C6" i="391" s="1"/>
  <c r="C9" i="391" s="1"/>
  <c r="D10" i="391" s="1"/>
  <c r="C8" i="422"/>
  <c r="D8" i="422" s="1"/>
  <c r="C8" i="438"/>
  <c r="D8" i="438" s="1"/>
  <c r="C8" i="430"/>
  <c r="D8" i="430" s="1"/>
  <c r="C8" i="470"/>
  <c r="D8" i="470" s="1"/>
  <c r="C8" i="527"/>
  <c r="D8" i="527" s="1"/>
  <c r="C8" i="537"/>
  <c r="D8" i="537" s="1"/>
  <c r="C8" i="511"/>
  <c r="D8" i="511" s="1"/>
  <c r="C8" i="543"/>
  <c r="D8" i="543" s="1"/>
  <c r="D8" i="562"/>
  <c r="C6" i="562"/>
  <c r="C9" i="562" s="1"/>
  <c r="D10" i="562" s="1"/>
  <c r="E19" i="561"/>
  <c r="E25" i="561" s="1"/>
  <c r="G26" i="453"/>
  <c r="G26" i="562"/>
  <c r="D15" i="561"/>
  <c r="D13" i="561"/>
  <c r="F23" i="18"/>
  <c r="D23" i="18"/>
  <c r="E23" i="18"/>
  <c r="C42" i="141"/>
  <c r="E40" i="141"/>
  <c r="G40" i="140"/>
  <c r="G42" i="140" s="1"/>
  <c r="E15" i="506"/>
  <c r="E13" i="506"/>
  <c r="G26" i="535"/>
  <c r="G26" i="531"/>
  <c r="G26" i="513"/>
  <c r="G26" i="501"/>
  <c r="G26" i="529"/>
  <c r="G26" i="499"/>
  <c r="G26" i="547"/>
  <c r="G26" i="537"/>
  <c r="G26" i="503"/>
  <c r="G26" i="521"/>
  <c r="G26" i="519"/>
  <c r="G26" i="517"/>
  <c r="G26" i="509"/>
  <c r="G26" i="557"/>
  <c r="G26" i="549"/>
  <c r="G26" i="543"/>
  <c r="G26" i="539"/>
  <c r="G26" i="515"/>
  <c r="G26" i="541"/>
  <c r="G26" i="525"/>
  <c r="G26" i="559"/>
  <c r="G26" i="551"/>
  <c r="G26" i="523"/>
  <c r="G26" i="507"/>
  <c r="G26" i="555"/>
  <c r="G26" i="545"/>
  <c r="G26" i="533"/>
  <c r="G26" i="511"/>
  <c r="G26" i="505"/>
  <c r="G26" i="527"/>
  <c r="E15" i="554"/>
  <c r="E13" i="554"/>
  <c r="E15" i="534"/>
  <c r="E13" i="534"/>
  <c r="E15" i="502"/>
  <c r="E13" i="502"/>
  <c r="E15" i="522"/>
  <c r="E13" i="522"/>
  <c r="E15" i="498"/>
  <c r="E13" i="498"/>
  <c r="E15" i="538"/>
  <c r="E13" i="538"/>
  <c r="E15" i="512"/>
  <c r="E13" i="512"/>
  <c r="E15" i="508"/>
  <c r="E13" i="508"/>
  <c r="E15" i="526"/>
  <c r="E13" i="526"/>
  <c r="E15" i="510"/>
  <c r="E13" i="510"/>
  <c r="E15" i="542"/>
  <c r="E13" i="542"/>
  <c r="E13" i="516"/>
  <c r="E15" i="516"/>
  <c r="E15" i="520"/>
  <c r="E13" i="520"/>
  <c r="E15" i="518"/>
  <c r="E13" i="518"/>
  <c r="E15" i="530"/>
  <c r="E13" i="530"/>
  <c r="E15" i="546"/>
  <c r="E13" i="546"/>
  <c r="E15" i="524"/>
  <c r="E13" i="524"/>
  <c r="E13" i="550"/>
  <c r="E15" i="550"/>
  <c r="E15" i="558"/>
  <c r="E13" i="558"/>
  <c r="E15" i="514"/>
  <c r="E13" i="514"/>
  <c r="E15" i="532"/>
  <c r="E13" i="532"/>
  <c r="E15" i="500"/>
  <c r="E13" i="500"/>
  <c r="E15" i="540"/>
  <c r="E13" i="540"/>
  <c r="E15" i="528"/>
  <c r="E13" i="528"/>
  <c r="E15" i="552"/>
  <c r="E13" i="552"/>
  <c r="E15" i="536"/>
  <c r="E13" i="536"/>
  <c r="E15" i="504"/>
  <c r="E13" i="504"/>
  <c r="E13" i="556"/>
  <c r="E15" i="556"/>
  <c r="E15" i="548"/>
  <c r="E13" i="548"/>
  <c r="E15" i="544"/>
  <c r="E13" i="544"/>
  <c r="F15" i="536"/>
  <c r="F13" i="536"/>
  <c r="F15" i="510"/>
  <c r="F13" i="510"/>
  <c r="F15" i="506"/>
  <c r="F13" i="506"/>
  <c r="F15" i="516"/>
  <c r="F13" i="516"/>
  <c r="F15" i="544"/>
  <c r="F13" i="544"/>
  <c r="F15" i="530"/>
  <c r="F13" i="530"/>
  <c r="F15" i="522"/>
  <c r="F13" i="522"/>
  <c r="F15" i="556"/>
  <c r="F13" i="556"/>
  <c r="F13" i="500"/>
  <c r="F19" i="500" s="1"/>
  <c r="F25" i="500" s="1"/>
  <c r="F15" i="550"/>
  <c r="F13" i="550"/>
  <c r="F15" i="540"/>
  <c r="F13" i="540"/>
  <c r="F15" i="558"/>
  <c r="F13" i="558"/>
  <c r="F15" i="504"/>
  <c r="F13" i="504"/>
  <c r="F15" i="552"/>
  <c r="F13" i="552"/>
  <c r="F15" i="532"/>
  <c r="F13" i="532"/>
  <c r="F15" i="528"/>
  <c r="F13" i="528"/>
  <c r="F15" i="520"/>
  <c r="F13" i="520"/>
  <c r="F15" i="534"/>
  <c r="F13" i="534"/>
  <c r="F15" i="514"/>
  <c r="F13" i="514"/>
  <c r="F15" i="508"/>
  <c r="F13" i="508"/>
  <c r="F15" i="518"/>
  <c r="F13" i="518"/>
  <c r="F15" i="542"/>
  <c r="F13" i="542"/>
  <c r="F10" i="555"/>
  <c r="F10" i="539"/>
  <c r="F10" i="537"/>
  <c r="F10" i="527"/>
  <c r="F10" i="531"/>
  <c r="F10" i="511"/>
  <c r="F10" i="519"/>
  <c r="D7" i="556"/>
  <c r="D7" i="536"/>
  <c r="D7" i="526"/>
  <c r="D7" i="524"/>
  <c r="D7" i="522"/>
  <c r="D7" i="506"/>
  <c r="D7" i="514"/>
  <c r="D7" i="554"/>
  <c r="D7" i="532"/>
  <c r="D7" i="530"/>
  <c r="D7" i="528"/>
  <c r="D7" i="508"/>
  <c r="D7" i="552"/>
  <c r="D7" i="510"/>
  <c r="D7" i="498"/>
  <c r="D7" i="542"/>
  <c r="D7" i="540"/>
  <c r="D7" i="538"/>
  <c r="D7" i="518"/>
  <c r="D7" i="504"/>
  <c r="D7" i="520"/>
  <c r="D7" i="550"/>
  <c r="D7" i="516"/>
  <c r="D7" i="512"/>
  <c r="D7" i="502"/>
  <c r="D7" i="548"/>
  <c r="D7" i="544"/>
  <c r="D7" i="558"/>
  <c r="D7" i="546"/>
  <c r="D7" i="534"/>
  <c r="D7" i="500"/>
  <c r="G23" i="16"/>
  <c r="G40" i="137"/>
  <c r="G41" i="137" s="1"/>
  <c r="C40" i="170"/>
  <c r="C41" i="170" s="1"/>
  <c r="G40" i="182"/>
  <c r="G41" i="182" s="1"/>
  <c r="F11" i="215" s="1"/>
  <c r="E40" i="182"/>
  <c r="E41" i="182" s="1"/>
  <c r="E11" i="215" s="1"/>
  <c r="F15" i="455"/>
  <c r="F19" i="455" s="1"/>
  <c r="F25" i="455" s="1"/>
  <c r="E13" i="452"/>
  <c r="E19" i="452" s="1"/>
  <c r="E25" i="452" s="1"/>
  <c r="D7" i="455"/>
  <c r="D15" i="455" s="1"/>
  <c r="D7" i="477"/>
  <c r="D7" i="471"/>
  <c r="D7" i="469"/>
  <c r="D7" i="459"/>
  <c r="D7" i="461"/>
  <c r="D7" i="475"/>
  <c r="D7" i="467"/>
  <c r="D7" i="463"/>
  <c r="D7" i="465"/>
  <c r="D7" i="473"/>
  <c r="E15" i="471"/>
  <c r="E13" i="471"/>
  <c r="F15" i="463"/>
  <c r="F13" i="463"/>
  <c r="E15" i="463"/>
  <c r="E13" i="463"/>
  <c r="F10" i="472"/>
  <c r="F15" i="461"/>
  <c r="F13" i="461"/>
  <c r="F15" i="465"/>
  <c r="F13" i="465"/>
  <c r="F10" i="462"/>
  <c r="E15" i="461"/>
  <c r="E13" i="461"/>
  <c r="F10" i="454"/>
  <c r="E15" i="459"/>
  <c r="E13" i="459"/>
  <c r="F15" i="473"/>
  <c r="F13" i="473"/>
  <c r="G26" i="478"/>
  <c r="G26" i="476"/>
  <c r="G26" i="474"/>
  <c r="G26" i="468"/>
  <c r="G26" i="464"/>
  <c r="G26" i="462"/>
  <c r="G26" i="460"/>
  <c r="G26" i="454"/>
  <c r="G26" i="456"/>
  <c r="G26" i="466"/>
  <c r="G26" i="470"/>
  <c r="G26" i="472"/>
  <c r="E13" i="455"/>
  <c r="E19" i="455" s="1"/>
  <c r="E25" i="455" s="1"/>
  <c r="E15" i="473"/>
  <c r="E13" i="473"/>
  <c r="F10" i="474"/>
  <c r="F15" i="469"/>
  <c r="F13" i="469"/>
  <c r="F15" i="475"/>
  <c r="F13" i="475"/>
  <c r="E15" i="467"/>
  <c r="E13" i="467"/>
  <c r="E15" i="475"/>
  <c r="E13" i="475"/>
  <c r="E15" i="469"/>
  <c r="E13" i="469"/>
  <c r="F15" i="471"/>
  <c r="F13" i="471"/>
  <c r="F15" i="477"/>
  <c r="F13" i="477"/>
  <c r="E15" i="465"/>
  <c r="E13" i="465"/>
  <c r="E15" i="477"/>
  <c r="E13" i="477"/>
  <c r="F15" i="459"/>
  <c r="F13" i="459"/>
  <c r="F13" i="452"/>
  <c r="F19" i="452" s="1"/>
  <c r="F25" i="452" s="1"/>
  <c r="F15" i="457"/>
  <c r="F13" i="457"/>
  <c r="E15" i="457"/>
  <c r="E13" i="457"/>
  <c r="D7" i="452"/>
  <c r="D15" i="452" s="1"/>
  <c r="D7" i="457"/>
  <c r="E15" i="441"/>
  <c r="E13" i="441"/>
  <c r="G26" i="182"/>
  <c r="F9" i="215" s="1"/>
  <c r="G26" i="442"/>
  <c r="G26" i="434"/>
  <c r="G26" i="450"/>
  <c r="G26" i="444"/>
  <c r="G26" i="438"/>
  <c r="G26" i="436"/>
  <c r="G26" i="422"/>
  <c r="G26" i="448"/>
  <c r="G26" i="446"/>
  <c r="G26" i="432"/>
  <c r="G26" i="440"/>
  <c r="G26" i="426"/>
  <c r="G26" i="430"/>
  <c r="G26" i="414"/>
  <c r="G26" i="420"/>
  <c r="G26" i="412"/>
  <c r="G26" i="424"/>
  <c r="G26" i="410"/>
  <c r="G26" i="418"/>
  <c r="G26" i="416"/>
  <c r="F15" i="413"/>
  <c r="F13" i="413"/>
  <c r="F15" i="421"/>
  <c r="F13" i="421"/>
  <c r="F15" i="425"/>
  <c r="F13" i="425"/>
  <c r="E15" i="419"/>
  <c r="E13" i="419"/>
  <c r="E15" i="421"/>
  <c r="E13" i="421"/>
  <c r="F15" i="417"/>
  <c r="F13" i="417"/>
  <c r="F15" i="423"/>
  <c r="F13" i="423"/>
  <c r="E15" i="443"/>
  <c r="E13" i="443"/>
  <c r="E15" i="423"/>
  <c r="E13" i="423"/>
  <c r="F10" i="440"/>
  <c r="E15" i="447"/>
  <c r="E13" i="447"/>
  <c r="F15" i="419"/>
  <c r="F13" i="419"/>
  <c r="F15" i="431"/>
  <c r="F13" i="431"/>
  <c r="E15" i="415"/>
  <c r="E13" i="415"/>
  <c r="E15" i="431"/>
  <c r="E13" i="431"/>
  <c r="F10" i="422"/>
  <c r="E15" i="417"/>
  <c r="E13" i="417"/>
  <c r="F10" i="434"/>
  <c r="F15" i="433"/>
  <c r="F13" i="433"/>
  <c r="F15" i="437"/>
  <c r="F13" i="437"/>
  <c r="E15" i="425"/>
  <c r="E13" i="425"/>
  <c r="E15" i="437"/>
  <c r="E13" i="437"/>
  <c r="F10" i="444"/>
  <c r="F15" i="439"/>
  <c r="F13" i="439"/>
  <c r="F15" i="449"/>
  <c r="F13" i="449"/>
  <c r="F10" i="448"/>
  <c r="E15" i="439"/>
  <c r="E13" i="439"/>
  <c r="E15" i="445"/>
  <c r="E13" i="445"/>
  <c r="E15" i="449"/>
  <c r="E13" i="449"/>
  <c r="F10" i="442"/>
  <c r="F15" i="445"/>
  <c r="F13" i="445"/>
  <c r="D7" i="425"/>
  <c r="D7" i="447"/>
  <c r="D7" i="435"/>
  <c r="D7" i="429"/>
  <c r="D7" i="449"/>
  <c r="D7" i="437"/>
  <c r="D7" i="417"/>
  <c r="D7" i="439"/>
  <c r="D7" i="415"/>
  <c r="D7" i="445"/>
  <c r="D7" i="431"/>
  <c r="D7" i="419"/>
  <c r="D7" i="443"/>
  <c r="D7" i="423"/>
  <c r="D7" i="421"/>
  <c r="D7" i="441"/>
  <c r="D7" i="413"/>
  <c r="D7" i="411"/>
  <c r="D7" i="433"/>
  <c r="F15" i="415"/>
  <c r="F13" i="415"/>
  <c r="F15" i="441"/>
  <c r="F13" i="441"/>
  <c r="F15" i="429"/>
  <c r="F13" i="429"/>
  <c r="F10" i="430"/>
  <c r="E15" i="411"/>
  <c r="E13" i="411"/>
  <c r="E15" i="429"/>
  <c r="E13" i="429"/>
  <c r="F10" i="432"/>
  <c r="F10" i="426"/>
  <c r="F15" i="411"/>
  <c r="F13" i="411"/>
  <c r="F15" i="447"/>
  <c r="F13" i="447"/>
  <c r="F15" i="443"/>
  <c r="F13" i="443"/>
  <c r="F15" i="435"/>
  <c r="F13" i="435"/>
  <c r="E15" i="413"/>
  <c r="E13" i="413"/>
  <c r="E15" i="433"/>
  <c r="E13" i="433"/>
  <c r="E15" i="435"/>
  <c r="E13" i="435"/>
  <c r="F10" i="416"/>
  <c r="F10" i="410"/>
  <c r="F15" i="409"/>
  <c r="F13" i="409"/>
  <c r="D7" i="409"/>
  <c r="E15" i="409"/>
  <c r="E13" i="409"/>
  <c r="E41" i="402"/>
  <c r="G40" i="402"/>
  <c r="G41" i="402" s="1"/>
  <c r="F13" i="399"/>
  <c r="F15" i="399"/>
  <c r="E41" i="397"/>
  <c r="G40" i="397"/>
  <c r="G41" i="397" s="1"/>
  <c r="E15" i="392"/>
  <c r="E13" i="392"/>
  <c r="F15" i="396"/>
  <c r="F13" i="396"/>
  <c r="E15" i="396"/>
  <c r="E13" i="396"/>
  <c r="E15" i="401"/>
  <c r="E13" i="401"/>
  <c r="E41" i="404"/>
  <c r="G40" i="404"/>
  <c r="G41" i="404" s="1"/>
  <c r="G26" i="389"/>
  <c r="G26" i="405"/>
  <c r="G26" i="400"/>
  <c r="G26" i="395"/>
  <c r="G26" i="404"/>
  <c r="G26" i="393"/>
  <c r="G26" i="397"/>
  <c r="G26" i="391"/>
  <c r="G26" i="402"/>
  <c r="E15" i="394"/>
  <c r="E13" i="394"/>
  <c r="F15" i="394"/>
  <c r="F13" i="394"/>
  <c r="E13" i="403"/>
  <c r="E15" i="403"/>
  <c r="G40" i="395"/>
  <c r="G41" i="395" s="1"/>
  <c r="E41" i="395"/>
  <c r="F15" i="398"/>
  <c r="F13" i="398"/>
  <c r="E15" i="399"/>
  <c r="E13" i="399"/>
  <c r="E41" i="405"/>
  <c r="G40" i="405"/>
  <c r="G41" i="405" s="1"/>
  <c r="F15" i="403"/>
  <c r="F13" i="403"/>
  <c r="F10" i="393"/>
  <c r="F15" i="408"/>
  <c r="F13" i="408"/>
  <c r="E41" i="389"/>
  <c r="G40" i="389"/>
  <c r="G41" i="389" s="1"/>
  <c r="E13" i="398"/>
  <c r="E15" i="398"/>
  <c r="E41" i="391"/>
  <c r="G40" i="391"/>
  <c r="G41" i="391" s="1"/>
  <c r="F15" i="401"/>
  <c r="F13" i="401"/>
  <c r="F15" i="390"/>
  <c r="F13" i="390"/>
  <c r="F10" i="397"/>
  <c r="E15" i="408"/>
  <c r="E13" i="408"/>
  <c r="G40" i="400"/>
  <c r="G41" i="400" s="1"/>
  <c r="E41" i="400"/>
  <c r="D7" i="19"/>
  <c r="D7" i="403"/>
  <c r="D7" i="401"/>
  <c r="D7" i="392"/>
  <c r="D7" i="394"/>
  <c r="D7" i="396"/>
  <c r="D7" i="408"/>
  <c r="D7" i="390"/>
  <c r="D7" i="398"/>
  <c r="D7" i="399"/>
  <c r="E41" i="393"/>
  <c r="G40" i="393"/>
  <c r="G41" i="393" s="1"/>
  <c r="F15" i="392"/>
  <c r="F13" i="392"/>
  <c r="F10" i="389"/>
  <c r="E15" i="390"/>
  <c r="E13" i="390"/>
  <c r="F10" i="395"/>
  <c r="E9" i="182"/>
  <c r="F15" i="308"/>
  <c r="F13" i="308"/>
  <c r="E13" i="19"/>
  <c r="E15" i="19"/>
  <c r="C8" i="203"/>
  <c r="D8" i="203" s="1"/>
  <c r="C8" i="339"/>
  <c r="D8" i="339" s="1"/>
  <c r="C8" i="199"/>
  <c r="D8" i="199" s="1"/>
  <c r="C8" i="353"/>
  <c r="D8" i="353" s="1"/>
  <c r="C8" i="244"/>
  <c r="D8" i="244" s="1"/>
  <c r="C8" i="359"/>
  <c r="D8" i="359" s="1"/>
  <c r="C8" i="152"/>
  <c r="D8" i="152" s="1"/>
  <c r="C8" i="153"/>
  <c r="D8" i="153" s="1"/>
  <c r="C8" i="323"/>
  <c r="D8" i="323" s="1"/>
  <c r="C8" i="176"/>
  <c r="D8" i="176" s="1"/>
  <c r="C8" i="179"/>
  <c r="D8" i="179" s="1"/>
  <c r="C8" i="311"/>
  <c r="D8" i="311" s="1"/>
  <c r="C8" i="196"/>
  <c r="D8" i="196" s="1"/>
  <c r="C8" i="355"/>
  <c r="D8" i="355" s="1"/>
  <c r="C8" i="161"/>
  <c r="D8" i="161" s="1"/>
  <c r="C8" i="386"/>
  <c r="D8" i="386" s="1"/>
  <c r="C8" i="371"/>
  <c r="D8" i="371" s="1"/>
  <c r="C8" i="262"/>
  <c r="D8" i="262" s="1"/>
  <c r="C8" i="180"/>
  <c r="D8" i="180" s="1"/>
  <c r="C8" i="384"/>
  <c r="D8" i="384" s="1"/>
  <c r="C8" i="170"/>
  <c r="D8" i="170" s="1"/>
  <c r="C8" i="331"/>
  <c r="D8" i="331" s="1"/>
  <c r="C8" i="295"/>
  <c r="D8" i="295" s="1"/>
  <c r="C8" i="157"/>
  <c r="D8" i="157" s="1"/>
  <c r="C8" i="373"/>
  <c r="D8" i="373" s="1"/>
  <c r="C8" i="266"/>
  <c r="D8" i="266" s="1"/>
  <c r="C8" i="273"/>
  <c r="D8" i="273" s="1"/>
  <c r="C8" i="315"/>
  <c r="D8" i="315" s="1"/>
  <c r="C8" i="221"/>
  <c r="D8" i="221" s="1"/>
  <c r="C8" i="193"/>
  <c r="D8" i="193" s="1"/>
  <c r="C8" i="299"/>
  <c r="D8" i="299" s="1"/>
  <c r="C8" i="148"/>
  <c r="D8" i="148" s="1"/>
  <c r="C8" i="198"/>
  <c r="D8" i="198" s="1"/>
  <c r="C8" i="201"/>
  <c r="D8" i="201" s="1"/>
  <c r="C8" i="319"/>
  <c r="D8" i="319" s="1"/>
  <c r="C8" i="256"/>
  <c r="D8" i="256" s="1"/>
  <c r="C8" i="367"/>
  <c r="D8" i="367" s="1"/>
  <c r="C8" i="264"/>
  <c r="D8" i="264" s="1"/>
  <c r="C8" i="333"/>
  <c r="D8" i="333" s="1"/>
  <c r="C8" i="271"/>
  <c r="D8" i="271" s="1"/>
  <c r="C8" i="191"/>
  <c r="D8" i="191" s="1"/>
  <c r="C8" i="313"/>
  <c r="D8" i="313" s="1"/>
  <c r="C8" i="351"/>
  <c r="D8" i="351" s="1"/>
  <c r="C8" i="171"/>
  <c r="D8" i="171" s="1"/>
  <c r="C8" i="242"/>
  <c r="D8" i="242" s="1"/>
  <c r="C8" i="382"/>
  <c r="D8" i="382" s="1"/>
  <c r="C8" i="357"/>
  <c r="D8" i="357" s="1"/>
  <c r="C8" i="297"/>
  <c r="D8" i="297" s="1"/>
  <c r="C8" i="141"/>
  <c r="C8" i="146"/>
  <c r="C8" i="149"/>
  <c r="D8" i="149" s="1"/>
  <c r="C8" i="325"/>
  <c r="D8" i="325" s="1"/>
  <c r="C8" i="184"/>
  <c r="D8" i="184" s="1"/>
  <c r="C8" i="343"/>
  <c r="D8" i="343" s="1"/>
  <c r="C8" i="202"/>
  <c r="D8" i="202" s="1"/>
  <c r="C8" i="163"/>
  <c r="D8" i="163" s="1"/>
  <c r="C8" i="268"/>
  <c r="D8" i="268" s="1"/>
  <c r="C8" i="233"/>
  <c r="D8" i="233" s="1"/>
  <c r="C8" i="279"/>
  <c r="D8" i="279" s="1"/>
  <c r="C8" i="204"/>
  <c r="D8" i="204" s="1"/>
  <c r="C8" i="361"/>
  <c r="D8" i="361" s="1"/>
  <c r="C8" i="301"/>
  <c r="D8" i="301" s="1"/>
  <c r="C8" i="150"/>
  <c r="D8" i="150" s="1"/>
  <c r="C8" i="156"/>
  <c r="D8" i="156" s="1"/>
  <c r="C8" i="190"/>
  <c r="D8" i="190" s="1"/>
  <c r="C8" i="249"/>
  <c r="D8" i="249" s="1"/>
  <c r="C8" i="187"/>
  <c r="D8" i="187" s="1"/>
  <c r="C8" i="369"/>
  <c r="D8" i="369" s="1"/>
  <c r="C8" i="223"/>
  <c r="D8" i="223" s="1"/>
  <c r="C8" i="329"/>
  <c r="D8" i="329" s="1"/>
  <c r="C8" i="205"/>
  <c r="D8" i="205" s="1"/>
  <c r="C8" i="347"/>
  <c r="D8" i="347" s="1"/>
  <c r="C8" i="229"/>
  <c r="D8" i="229" s="1"/>
  <c r="C8" i="165"/>
  <c r="D8" i="165" s="1"/>
  <c r="C8" i="183"/>
  <c r="D8" i="183" s="1"/>
  <c r="C8" i="166"/>
  <c r="D8" i="166" s="1"/>
  <c r="C8" i="167"/>
  <c r="D8" i="167" s="1"/>
  <c r="C8" i="207"/>
  <c r="D8" i="207" s="1"/>
  <c r="C8" i="151"/>
  <c r="D8" i="151" s="1"/>
  <c r="C8" i="305"/>
  <c r="D8" i="305" s="1"/>
  <c r="C8" i="138"/>
  <c r="C8" i="147"/>
  <c r="D8" i="147" s="1"/>
  <c r="C8" i="378"/>
  <c r="D8" i="378" s="1"/>
  <c r="C8" i="208"/>
  <c r="D8" i="208" s="1"/>
  <c r="C8" i="337"/>
  <c r="D8" i="337" s="1"/>
  <c r="C8" i="181"/>
  <c r="D8" i="181" s="1"/>
  <c r="C8" i="275"/>
  <c r="D8" i="275" s="1"/>
  <c r="C8" i="188"/>
  <c r="D8" i="188" s="1"/>
  <c r="C8" i="236"/>
  <c r="D8" i="236" s="1"/>
  <c r="C8" i="168"/>
  <c r="D8" i="168" s="1"/>
  <c r="C8" i="246"/>
  <c r="D8" i="246" s="1"/>
  <c r="C8" i="160"/>
  <c r="D8" i="160" s="1"/>
  <c r="C8" i="307"/>
  <c r="D8" i="307" s="1"/>
  <c r="C8" i="212"/>
  <c r="C8" i="154"/>
  <c r="D8" i="154" s="1"/>
  <c r="C8" i="139"/>
  <c r="G9" i="212"/>
  <c r="H10" i="212" s="1"/>
  <c r="G9" i="145"/>
  <c r="H10" i="145" s="1"/>
  <c r="G9" i="144"/>
  <c r="H10" i="144" s="1"/>
  <c r="G9" i="142"/>
  <c r="H10" i="142" s="1"/>
  <c r="G9" i="141"/>
  <c r="H10" i="141" s="1"/>
  <c r="G9" i="139"/>
  <c r="H10" i="139" s="1"/>
  <c r="H10" i="138"/>
  <c r="D7" i="306"/>
  <c r="D7" i="232"/>
  <c r="D15" i="232" s="1"/>
  <c r="D7" i="248"/>
  <c r="D15" i="248" s="1"/>
  <c r="D7" i="80"/>
  <c r="D13" i="80" s="1"/>
  <c r="D7" i="308"/>
  <c r="D7" i="104"/>
  <c r="D15" i="104" s="1"/>
  <c r="D7" i="85"/>
  <c r="D15" i="85" s="1"/>
  <c r="D7" i="56"/>
  <c r="D15" i="56" s="1"/>
  <c r="D7" i="364"/>
  <c r="D13" i="364" s="1"/>
  <c r="D7" i="74"/>
  <c r="D15" i="74" s="1"/>
  <c r="D7" i="49"/>
  <c r="D15" i="49" s="1"/>
  <c r="D7" i="89"/>
  <c r="D15" i="89" s="1"/>
  <c r="D7" i="377"/>
  <c r="D15" i="377" s="1"/>
  <c r="D7" i="276"/>
  <c r="D13" i="276" s="1"/>
  <c r="D7" i="53"/>
  <c r="D13" i="53" s="1"/>
  <c r="D7" i="340"/>
  <c r="D13" i="340" s="1"/>
  <c r="D7" i="92"/>
  <c r="D15" i="92" s="1"/>
  <c r="D7" i="312"/>
  <c r="D15" i="312" s="1"/>
  <c r="D7" i="72"/>
  <c r="D15" i="72" s="1"/>
  <c r="D7" i="381"/>
  <c r="D15" i="381" s="1"/>
  <c r="D7" i="61"/>
  <c r="D15" i="61" s="1"/>
  <c r="D7" i="350"/>
  <c r="D15" i="350" s="1"/>
  <c r="D7" i="69"/>
  <c r="D15" i="69" s="1"/>
  <c r="D7" i="348"/>
  <c r="D15" i="348" s="1"/>
  <c r="D7" i="344"/>
  <c r="D13" i="344" s="1"/>
  <c r="D7" i="302"/>
  <c r="D15" i="302" s="1"/>
  <c r="D7" i="243"/>
  <c r="D15" i="243" s="1"/>
  <c r="D7" i="91"/>
  <c r="D15" i="91" s="1"/>
  <c r="D7" i="346"/>
  <c r="D13" i="346" s="1"/>
  <c r="D7" i="294"/>
  <c r="D13" i="294" s="1"/>
  <c r="D7" i="285"/>
  <c r="D13" i="285" s="1"/>
  <c r="D7" i="47"/>
  <c r="D15" i="47" s="1"/>
  <c r="D7" i="265"/>
  <c r="D15" i="265" s="1"/>
  <c r="D7" i="298"/>
  <c r="D15" i="298" s="1"/>
  <c r="D7" i="88"/>
  <c r="D15" i="88" s="1"/>
  <c r="D7" i="96"/>
  <c r="D15" i="96" s="1"/>
  <c r="D7" i="36"/>
  <c r="D15" i="36" s="1"/>
  <c r="D7" i="330"/>
  <c r="D15" i="330" s="1"/>
  <c r="D7" i="55"/>
  <c r="D15" i="55" s="1"/>
  <c r="D7" i="98"/>
  <c r="D15" i="98" s="1"/>
  <c r="D7" i="102"/>
  <c r="D15" i="102" s="1"/>
  <c r="D7" i="324"/>
  <c r="D13" i="324" s="1"/>
  <c r="D7" i="257"/>
  <c r="D15" i="257" s="1"/>
  <c r="D7" i="374"/>
  <c r="D15" i="374" s="1"/>
  <c r="D7" i="326"/>
  <c r="D15" i="326" s="1"/>
  <c r="D7" i="241"/>
  <c r="D15" i="241" s="1"/>
  <c r="D7" i="17"/>
  <c r="D15" i="17" s="1"/>
  <c r="D7" i="280"/>
  <c r="D15" i="280" s="1"/>
  <c r="D7" i="100"/>
  <c r="D13" i="100" s="1"/>
  <c r="D7" i="318"/>
  <c r="D15" i="318" s="1"/>
  <c r="D7" i="40"/>
  <c r="D15" i="40" s="1"/>
  <c r="D7" i="106"/>
  <c r="D15" i="106" s="1"/>
  <c r="D7" i="43"/>
  <c r="D13" i="43" s="1"/>
  <c r="D7" i="10"/>
  <c r="D15" i="10" s="1"/>
  <c r="C27" i="560" s="1"/>
  <c r="D7" i="37"/>
  <c r="D15" i="37" s="1"/>
  <c r="D7" i="385"/>
  <c r="D15" i="385" s="1"/>
  <c r="D7" i="230"/>
  <c r="D15" i="230" s="1"/>
  <c r="D7" i="263"/>
  <c r="D15" i="263" s="1"/>
  <c r="D7" i="366"/>
  <c r="D13" i="366" s="1"/>
  <c r="D7" i="50"/>
  <c r="D13" i="50" s="1"/>
  <c r="D7" i="42"/>
  <c r="D15" i="42" s="1"/>
  <c r="D7" i="300"/>
  <c r="D15" i="300" s="1"/>
  <c r="D7" i="135"/>
  <c r="D13" i="135" s="1"/>
  <c r="D7" i="314"/>
  <c r="D15" i="314" s="1"/>
  <c r="D7" i="342"/>
  <c r="D15" i="342" s="1"/>
  <c r="D7" i="45"/>
  <c r="D13" i="45" s="1"/>
  <c r="D7" i="211"/>
  <c r="D15" i="211" s="1"/>
  <c r="D7" i="81"/>
  <c r="D15" i="81" s="1"/>
  <c r="D7" i="336"/>
  <c r="D13" i="336" s="1"/>
  <c r="D7" i="320"/>
  <c r="D15" i="320" s="1"/>
  <c r="D7" i="247"/>
  <c r="D13" i="247" s="1"/>
  <c r="D7" i="356"/>
  <c r="D15" i="356" s="1"/>
  <c r="D7" i="368"/>
  <c r="D15" i="368" s="1"/>
  <c r="D7" i="86"/>
  <c r="D15" i="86" s="1"/>
  <c r="D7" i="338"/>
  <c r="D15" i="338" s="1"/>
  <c r="D7" i="83"/>
  <c r="D15" i="83" s="1"/>
  <c r="D7" i="226"/>
  <c r="D15" i="226" s="1"/>
  <c r="D7" i="68"/>
  <c r="D15" i="68" s="1"/>
  <c r="D7" i="51"/>
  <c r="D15" i="51" s="1"/>
  <c r="D7" i="95"/>
  <c r="D15" i="95" s="1"/>
  <c r="D7" i="272"/>
  <c r="D15" i="272" s="1"/>
  <c r="D7" i="383"/>
  <c r="D15" i="383" s="1"/>
  <c r="D7" i="234"/>
  <c r="D13" i="234" s="1"/>
  <c r="D7" i="237"/>
  <c r="D15" i="237" s="1"/>
  <c r="D7" i="278"/>
  <c r="D15" i="278" s="1"/>
  <c r="D7" i="97"/>
  <c r="D15" i="97" s="1"/>
  <c r="D7" i="52"/>
  <c r="D15" i="52" s="1"/>
  <c r="D7" i="16"/>
  <c r="D15" i="16" s="1"/>
  <c r="D7" i="62"/>
  <c r="D13" i="62" s="1"/>
  <c r="D7" i="64"/>
  <c r="D13" i="64" s="1"/>
  <c r="D7" i="267"/>
  <c r="D15" i="267" s="1"/>
  <c r="D7" i="255"/>
  <c r="D13" i="255" s="1"/>
  <c r="D7" i="334"/>
  <c r="D15" i="334" s="1"/>
  <c r="D7" i="34"/>
  <c r="D15" i="34" s="1"/>
  <c r="D7" i="57"/>
  <c r="D13" i="57" s="1"/>
  <c r="D7" i="352"/>
  <c r="D15" i="352" s="1"/>
  <c r="D7" i="217"/>
  <c r="D15" i="217" s="1"/>
  <c r="D7" i="39"/>
  <c r="D15" i="39" s="1"/>
  <c r="D7" i="29"/>
  <c r="D15" i="29" s="1"/>
  <c r="D7" i="65"/>
  <c r="D15" i="65" s="1"/>
  <c r="D7" i="222"/>
  <c r="D15" i="222" s="1"/>
  <c r="D7" i="322"/>
  <c r="D15" i="322" s="1"/>
  <c r="D7" i="358"/>
  <c r="D13" i="358" s="1"/>
  <c r="D7" i="41"/>
  <c r="D15" i="41" s="1"/>
  <c r="D7" i="103"/>
  <c r="D15" i="103" s="1"/>
  <c r="D7" i="328"/>
  <c r="D13" i="328" s="1"/>
  <c r="D7" i="235"/>
  <c r="D15" i="235" s="1"/>
  <c r="D7" i="239"/>
  <c r="D13" i="239" s="1"/>
  <c r="D7" i="251"/>
  <c r="D15" i="251" s="1"/>
  <c r="D7" i="66"/>
  <c r="D15" i="66" s="1"/>
  <c r="D7" i="253"/>
  <c r="D15" i="253" s="1"/>
  <c r="D7" i="362"/>
  <c r="D15" i="362" s="1"/>
  <c r="D7" i="304"/>
  <c r="D15" i="304" s="1"/>
  <c r="D7" i="261"/>
  <c r="D15" i="261" s="1"/>
  <c r="D7" i="228"/>
  <c r="D13" i="228" s="1"/>
  <c r="D7" i="70"/>
  <c r="D13" i="70" s="1"/>
  <c r="C26" i="140" s="1"/>
  <c r="D7" i="32"/>
  <c r="D15" i="32" s="1"/>
  <c r="D7" i="75"/>
  <c r="D13" i="75" s="1"/>
  <c r="D7" i="224"/>
  <c r="D15" i="224" s="1"/>
  <c r="D7" i="296"/>
  <c r="D13" i="296" s="1"/>
  <c r="D7" i="360"/>
  <c r="D13" i="360" s="1"/>
  <c r="D7" i="71"/>
  <c r="D13" i="71" s="1"/>
  <c r="D7" i="105"/>
  <c r="D13" i="105" s="1"/>
  <c r="D7" i="93"/>
  <c r="D15" i="93" s="1"/>
  <c r="D7" i="48"/>
  <c r="D15" i="48" s="1"/>
  <c r="D7" i="354"/>
  <c r="D13" i="354" s="1"/>
  <c r="D7" i="18"/>
  <c r="D15" i="18" s="1"/>
  <c r="C27" i="562" s="1"/>
  <c r="D7" i="73"/>
  <c r="D13" i="73" s="1"/>
  <c r="D7" i="274"/>
  <c r="D15" i="274" s="1"/>
  <c r="D7" i="370"/>
  <c r="D15" i="370" s="1"/>
  <c r="D7" i="310"/>
  <c r="D13" i="310" s="1"/>
  <c r="D7" i="44"/>
  <c r="D13" i="44" s="1"/>
  <c r="D7" i="63"/>
  <c r="D13" i="63" s="1"/>
  <c r="D7" i="87"/>
  <c r="D15" i="87" s="1"/>
  <c r="D7" i="316"/>
  <c r="D15" i="316" s="1"/>
  <c r="D7" i="372"/>
  <c r="D13" i="372" s="1"/>
  <c r="D7" i="245"/>
  <c r="D13" i="245" s="1"/>
  <c r="D7" i="77"/>
  <c r="D15" i="77" s="1"/>
  <c r="D7" i="332"/>
  <c r="D15" i="332" s="1"/>
  <c r="D7" i="38"/>
  <c r="D15" i="38" s="1"/>
  <c r="D7" i="269"/>
  <c r="D13" i="269" s="1"/>
  <c r="D7" i="259"/>
  <c r="D15" i="259" s="1"/>
  <c r="D7" i="27"/>
  <c r="D13" i="27" s="1"/>
  <c r="D7" i="101"/>
  <c r="D15" i="101" s="1"/>
  <c r="D7" i="379"/>
  <c r="D15" i="379" s="1"/>
  <c r="D7" i="82"/>
  <c r="D13" i="82" s="1"/>
  <c r="D7" i="59"/>
  <c r="D15" i="59" s="1"/>
  <c r="D7" i="54"/>
  <c r="D15" i="54" s="1"/>
  <c r="E20" i="172"/>
  <c r="G6" i="275"/>
  <c r="E20" i="203"/>
  <c r="G6" i="319"/>
  <c r="F13" i="49"/>
  <c r="F19" i="49" s="1"/>
  <c r="F25" i="49" s="1"/>
  <c r="F13" i="2" s="1"/>
  <c r="F13" i="48"/>
  <c r="F19" i="48" s="1"/>
  <c r="F25" i="48" s="1"/>
  <c r="F101" i="2" s="1"/>
  <c r="G6" i="218"/>
  <c r="G6" i="367"/>
  <c r="G6" i="256"/>
  <c r="G6" i="177"/>
  <c r="G6" i="185"/>
  <c r="G6" i="191"/>
  <c r="G6" i="258"/>
  <c r="G6" i="333"/>
  <c r="G6" i="189"/>
  <c r="G6" i="159"/>
  <c r="G6" i="195"/>
  <c r="G6" i="252"/>
  <c r="G6" i="157"/>
  <c r="G6" i="315"/>
  <c r="G6" i="202"/>
  <c r="G6" i="183"/>
  <c r="F15" i="18"/>
  <c r="G27" i="562" s="1"/>
  <c r="G26" i="173"/>
  <c r="F15" i="19"/>
  <c r="G6" i="169"/>
  <c r="G6" i="279"/>
  <c r="E20" i="382"/>
  <c r="E20" i="201"/>
  <c r="E20" i="325"/>
  <c r="G6" i="240"/>
  <c r="G6" i="254"/>
  <c r="G6" i="175"/>
  <c r="F15" i="346"/>
  <c r="F19" i="346" s="1"/>
  <c r="F25" i="346" s="1"/>
  <c r="G6" i="201"/>
  <c r="E20" i="193"/>
  <c r="E20" i="313"/>
  <c r="E20" i="299"/>
  <c r="E20" i="353"/>
  <c r="G6" i="301"/>
  <c r="G6" i="223"/>
  <c r="G6" i="158"/>
  <c r="G6" i="198"/>
  <c r="E20" i="271"/>
  <c r="E20" i="258"/>
  <c r="G6" i="174"/>
  <c r="G6" i="180"/>
  <c r="G6" i="161"/>
  <c r="G6" i="325"/>
  <c r="G6" i="156"/>
  <c r="G6" i="167"/>
  <c r="G6" i="171"/>
  <c r="G6" i="170"/>
  <c r="G6" i="231"/>
  <c r="G6" i="188"/>
  <c r="G6" i="371"/>
  <c r="G6" i="313"/>
  <c r="G6" i="147"/>
  <c r="G6" i="345"/>
  <c r="G6" i="199"/>
  <c r="G6" i="192"/>
  <c r="G6" i="299"/>
  <c r="G6" i="378"/>
  <c r="G6" i="166"/>
  <c r="G6" i="376"/>
  <c r="G6" i="204"/>
  <c r="G6" i="277"/>
  <c r="G6" i="200"/>
  <c r="G6" i="238"/>
  <c r="G6" i="153"/>
  <c r="G6" i="208"/>
  <c r="E20" i="227"/>
  <c r="E20" i="218"/>
  <c r="E20" i="367"/>
  <c r="G6" i="271"/>
  <c r="G6" i="359"/>
  <c r="G6" i="284"/>
  <c r="G6" i="194"/>
  <c r="G6" i="187"/>
  <c r="G6" i="335"/>
  <c r="G6" i="160"/>
  <c r="G6" i="373"/>
  <c r="G6" i="321"/>
  <c r="G6" i="207"/>
  <c r="G6" i="380"/>
  <c r="G6" i="339"/>
  <c r="G6" i="349"/>
  <c r="G6" i="233"/>
  <c r="G6" i="149"/>
  <c r="E20" i="166"/>
  <c r="E20" i="187"/>
  <c r="E20" i="233"/>
  <c r="E20" i="176"/>
  <c r="E20" i="244"/>
  <c r="E20" i="260"/>
  <c r="E20" i="246"/>
  <c r="E20" i="311"/>
  <c r="E20" i="179"/>
  <c r="E20" i="162"/>
  <c r="E20" i="208"/>
  <c r="E20" i="185"/>
  <c r="E20" i="156"/>
  <c r="E20" i="223"/>
  <c r="E20" i="160"/>
  <c r="E20" i="365"/>
  <c r="E20" i="282"/>
  <c r="E20" i="303"/>
  <c r="E20" i="266"/>
  <c r="E20" i="151"/>
  <c r="E20" i="231"/>
  <c r="E20" i="369"/>
  <c r="E20" i="309"/>
  <c r="E20" i="273"/>
  <c r="E20" i="200"/>
  <c r="E20" i="279"/>
  <c r="E20" i="205"/>
  <c r="E20" i="180"/>
  <c r="E20" i="376"/>
  <c r="E20" i="242"/>
  <c r="E20" i="297"/>
  <c r="E20" i="252"/>
  <c r="E20" i="343"/>
  <c r="E20" i="264"/>
  <c r="E20" i="331"/>
  <c r="E20" i="295"/>
  <c r="E20" i="155"/>
  <c r="E20" i="181"/>
  <c r="E20" i="195"/>
  <c r="E20" i="164"/>
  <c r="E20" i="204"/>
  <c r="E20" i="229"/>
  <c r="E20" i="240"/>
  <c r="E20" i="361"/>
  <c r="E20" i="191"/>
  <c r="E20" i="147"/>
  <c r="F13" i="237"/>
  <c r="F19" i="237" s="1"/>
  <c r="F25" i="237" s="1"/>
  <c r="F70" i="2" s="1"/>
  <c r="F15" i="338"/>
  <c r="F19" i="338" s="1"/>
  <c r="F25" i="338" s="1"/>
  <c r="F15" i="77"/>
  <c r="F19" i="77" s="1"/>
  <c r="F25" i="77" s="1"/>
  <c r="F34" i="2" s="1"/>
  <c r="F15" i="62"/>
  <c r="F19" i="62" s="1"/>
  <c r="F25" i="62" s="1"/>
  <c r="F104" i="2" s="1"/>
  <c r="F15" i="47"/>
  <c r="F19" i="47" s="1"/>
  <c r="F25" i="47" s="1"/>
  <c r="F39" i="2" s="1"/>
  <c r="F15" i="43"/>
  <c r="F19" i="43" s="1"/>
  <c r="F25" i="43" s="1"/>
  <c r="F66" i="2" s="1"/>
  <c r="G6" i="386"/>
  <c r="F13" i="89"/>
  <c r="F19" i="89" s="1"/>
  <c r="F25" i="89" s="1"/>
  <c r="F22" i="2" s="1"/>
  <c r="F15" i="298"/>
  <c r="F19" i="298" s="1"/>
  <c r="F25" i="298" s="1"/>
  <c r="F13" i="278"/>
  <c r="F19" i="278" s="1"/>
  <c r="F25" i="278" s="1"/>
  <c r="F91" i="2" s="1"/>
  <c r="F15" i="85"/>
  <c r="F19" i="85" s="1"/>
  <c r="F27" i="85" s="1"/>
  <c r="F11" i="2" s="1"/>
  <c r="G6" i="229"/>
  <c r="F13" i="294"/>
  <c r="F19" i="294" s="1"/>
  <c r="F25" i="294" s="1"/>
  <c r="F15" i="44"/>
  <c r="F19" i="44" s="1"/>
  <c r="F25" i="44" s="1"/>
  <c r="F98" i="2" s="1"/>
  <c r="F13" i="358"/>
  <c r="F19" i="358" s="1"/>
  <c r="F25" i="358" s="1"/>
  <c r="F13" i="45"/>
  <c r="F19" i="45" s="1"/>
  <c r="F25" i="45" s="1"/>
  <c r="F107" i="2" s="1"/>
  <c r="F15" i="100"/>
  <c r="F19" i="100" s="1"/>
  <c r="F25" i="100" s="1"/>
  <c r="F54" i="2" s="1"/>
  <c r="G6" i="197"/>
  <c r="G6" i="353"/>
  <c r="E20" i="207"/>
  <c r="G6" i="154"/>
  <c r="G6" i="151"/>
  <c r="E20" i="150"/>
  <c r="E20" i="345"/>
  <c r="E20" i="359"/>
  <c r="E20" i="371"/>
  <c r="E20" i="327"/>
  <c r="G6" i="155"/>
  <c r="G6" i="331"/>
  <c r="G6" i="369"/>
  <c r="G6" i="184"/>
  <c r="E20" i="378"/>
  <c r="E20" i="154"/>
  <c r="E20" i="380"/>
  <c r="G6" i="196"/>
  <c r="G6" i="221"/>
  <c r="G6" i="236"/>
  <c r="E20" i="357"/>
  <c r="E20" i="173"/>
  <c r="E20" i="175"/>
  <c r="E20" i="347"/>
  <c r="G6" i="173"/>
  <c r="G6" i="273"/>
  <c r="G6" i="260"/>
  <c r="G6" i="382"/>
  <c r="E20" i="157"/>
  <c r="E20" i="301"/>
  <c r="G6" i="181"/>
  <c r="G6" i="176"/>
  <c r="G6" i="162"/>
  <c r="G6" i="305"/>
  <c r="G6" i="363"/>
  <c r="E20" i="355"/>
  <c r="E20" i="167"/>
  <c r="E20" i="363"/>
  <c r="G6" i="179"/>
  <c r="G6" i="307"/>
  <c r="G6" i="282"/>
  <c r="G6" i="309"/>
  <c r="E20" i="148"/>
  <c r="E20" i="186"/>
  <c r="E20" i="197"/>
  <c r="E20" i="184"/>
  <c r="G6" i="343"/>
  <c r="G6" i="323"/>
  <c r="G6" i="264"/>
  <c r="H10" i="137"/>
  <c r="G6" i="168"/>
  <c r="G9" i="168" s="1"/>
  <c r="G6" i="186"/>
  <c r="G9" i="186" s="1"/>
  <c r="G6" i="341"/>
  <c r="G6" i="311"/>
  <c r="G9" i="311" s="1"/>
  <c r="G6" i="150"/>
  <c r="G9" i="150" s="1"/>
  <c r="E20" i="236"/>
  <c r="E20" i="307"/>
  <c r="G6" i="225"/>
  <c r="G9" i="225" s="1"/>
  <c r="G6" i="193"/>
  <c r="G9" i="193" s="1"/>
  <c r="E20" i="250"/>
  <c r="E20" i="198"/>
  <c r="G6" i="244"/>
  <c r="G9" i="244" s="1"/>
  <c r="E20" i="305"/>
  <c r="E20" i="152"/>
  <c r="E20" i="329"/>
  <c r="G6" i="148"/>
  <c r="G9" i="148" s="1"/>
  <c r="G6" i="355"/>
  <c r="E20" i="165"/>
  <c r="E20" i="373"/>
  <c r="G6" i="164"/>
  <c r="G6" i="384"/>
  <c r="G9" i="384" s="1"/>
  <c r="G6" i="246"/>
  <c r="G9" i="246" s="1"/>
  <c r="G6" i="317"/>
  <c r="G9" i="317" s="1"/>
  <c r="G6" i="262"/>
  <c r="G9" i="262" s="1"/>
  <c r="E20" i="192"/>
  <c r="G6" i="249"/>
  <c r="G9" i="249" s="1"/>
  <c r="G6" i="165"/>
  <c r="G9" i="165" s="1"/>
  <c r="G6" i="303"/>
  <c r="G9" i="303" s="1"/>
  <c r="G6" i="163"/>
  <c r="G9" i="163" s="1"/>
  <c r="G6" i="361"/>
  <c r="G9" i="361" s="1"/>
  <c r="G6" i="297"/>
  <c r="G9" i="297" s="1"/>
  <c r="G6" i="268"/>
  <c r="G9" i="268" s="1"/>
  <c r="G6" i="172"/>
  <c r="G9" i="172" s="1"/>
  <c r="G6" i="206"/>
  <c r="G9" i="206" s="1"/>
  <c r="E20" i="351"/>
  <c r="E20" i="225"/>
  <c r="E20" i="190"/>
  <c r="E20" i="268"/>
  <c r="E20" i="161"/>
  <c r="E20" i="177"/>
  <c r="E20" i="384"/>
  <c r="E20" i="174"/>
  <c r="E20" i="153"/>
  <c r="E20" i="335"/>
  <c r="E20" i="199"/>
  <c r="E20" i="339"/>
  <c r="E20" i="158"/>
  <c r="E20" i="170"/>
  <c r="E20" i="277"/>
  <c r="E20" i="349"/>
  <c r="E20" i="315"/>
  <c r="E20" i="321"/>
  <c r="E20" i="249"/>
  <c r="E20" i="254"/>
  <c r="E20" i="275"/>
  <c r="E20" i="256"/>
  <c r="E20" i="337"/>
  <c r="E20" i="319"/>
  <c r="E20" i="202"/>
  <c r="E20" i="194"/>
  <c r="E20" i="221"/>
  <c r="E20" i="262"/>
  <c r="E20" i="284"/>
  <c r="E20" i="183"/>
  <c r="E20" i="333"/>
  <c r="E20" i="238"/>
  <c r="E20" i="196"/>
  <c r="E20" i="317"/>
  <c r="E20" i="206"/>
  <c r="E20" i="386"/>
  <c r="E20" i="323"/>
  <c r="E20" i="171"/>
  <c r="E20" i="149"/>
  <c r="E20" i="168"/>
  <c r="E20" i="163"/>
  <c r="E20" i="189"/>
  <c r="E20" i="341"/>
  <c r="E20" i="169"/>
  <c r="E20" i="159"/>
  <c r="E20" i="188"/>
  <c r="G6" i="295"/>
  <c r="G9" i="295" s="1"/>
  <c r="G6" i="357"/>
  <c r="G9" i="357" s="1"/>
  <c r="F15" i="40"/>
  <c r="F19" i="40" s="1"/>
  <c r="F25" i="40" s="1"/>
  <c r="F14" i="2" s="1"/>
  <c r="G6" i="337"/>
  <c r="G9" i="337" s="1"/>
  <c r="G6" i="190"/>
  <c r="G9" i="190" s="1"/>
  <c r="G6" i="205"/>
  <c r="G9" i="205" s="1"/>
  <c r="G6" i="266"/>
  <c r="G6" i="327"/>
  <c r="G9" i="327" s="1"/>
  <c r="G6" i="242"/>
  <c r="G9" i="242" s="1"/>
  <c r="G6" i="152"/>
  <c r="G9" i="152" s="1"/>
  <c r="G6" i="347"/>
  <c r="G9" i="347" s="1"/>
  <c r="G6" i="227"/>
  <c r="G9" i="227" s="1"/>
  <c r="G6" i="250"/>
  <c r="G9" i="250" s="1"/>
  <c r="G6" i="351"/>
  <c r="G9" i="351" s="1"/>
  <c r="G6" i="329"/>
  <c r="G9" i="329" s="1"/>
  <c r="F15" i="17"/>
  <c r="F15" i="314"/>
  <c r="F19" i="314" s="1"/>
  <c r="F25" i="314" s="1"/>
  <c r="F15" i="316"/>
  <c r="F19" i="316" s="1"/>
  <c r="F25" i="316" s="1"/>
  <c r="G40" i="138"/>
  <c r="G41" i="138" s="1"/>
  <c r="F15" i="261"/>
  <c r="F19" i="261" s="1"/>
  <c r="F25" i="261" s="1"/>
  <c r="F83" i="2" s="1"/>
  <c r="F13" i="68"/>
  <c r="F19" i="68" s="1"/>
  <c r="F25" i="68" s="1"/>
  <c r="F100" i="2" s="1"/>
  <c r="F13" i="70"/>
  <c r="G26" i="139" s="1"/>
  <c r="F15" i="379"/>
  <c r="F19" i="379" s="1"/>
  <c r="F25" i="379" s="1"/>
  <c r="F15" i="64"/>
  <c r="F19" i="64" s="1"/>
  <c r="F25" i="64" s="1"/>
  <c r="F7" i="2" s="1"/>
  <c r="F13" i="97"/>
  <c r="F19" i="97" s="1"/>
  <c r="F25" i="97" s="1"/>
  <c r="F51" i="2" s="1"/>
  <c r="F13" i="91"/>
  <c r="F19" i="91" s="1"/>
  <c r="F25" i="91" s="1"/>
  <c r="F33" i="2" s="1"/>
  <c r="F13" i="354"/>
  <c r="F19" i="354" s="1"/>
  <c r="F25" i="354" s="1"/>
  <c r="F15" i="65"/>
  <c r="F19" i="65" s="1"/>
  <c r="F27" i="65" s="1"/>
  <c r="F9" i="2" s="1"/>
  <c r="F13" i="344"/>
  <c r="F19" i="344" s="1"/>
  <c r="F25" i="344" s="1"/>
  <c r="F13" i="320"/>
  <c r="F19" i="320" s="1"/>
  <c r="F25" i="320" s="1"/>
  <c r="F15" i="276"/>
  <c r="F19" i="276" s="1"/>
  <c r="F25" i="276" s="1"/>
  <c r="F90" i="2" s="1"/>
  <c r="F13" i="267"/>
  <c r="F19" i="267" s="1"/>
  <c r="F25" i="267" s="1"/>
  <c r="F86" i="2" s="1"/>
  <c r="F15" i="224"/>
  <c r="F19" i="224" s="1"/>
  <c r="F25" i="224" s="1"/>
  <c r="F43" i="2" s="1"/>
  <c r="F13" i="318"/>
  <c r="F19" i="318" s="1"/>
  <c r="F25" i="318" s="1"/>
  <c r="F15" i="239"/>
  <c r="F19" i="239" s="1"/>
  <c r="F25" i="239" s="1"/>
  <c r="F71" i="2" s="1"/>
  <c r="F13" i="59"/>
  <c r="F19" i="59" s="1"/>
  <c r="F25" i="59" s="1"/>
  <c r="F64" i="2" s="1"/>
  <c r="F15" i="10"/>
  <c r="G27" i="560" s="1"/>
  <c r="G23" i="560" s="1"/>
  <c r="F13" i="105"/>
  <c r="F19" i="105" s="1"/>
  <c r="F25" i="105" s="1"/>
  <c r="F99" i="2" s="1"/>
  <c r="F15" i="95"/>
  <c r="F19" i="95" s="1"/>
  <c r="F25" i="95" s="1"/>
  <c r="F50" i="2" s="1"/>
  <c r="F13" i="234"/>
  <c r="F19" i="234" s="1"/>
  <c r="F25" i="234" s="1"/>
  <c r="F56" i="2" s="1"/>
  <c r="F15" i="16"/>
  <c r="F13" i="102"/>
  <c r="F19" i="102" s="1"/>
  <c r="F25" i="102" s="1"/>
  <c r="F109" i="2" s="1"/>
  <c r="F15" i="61"/>
  <c r="F19" i="61" s="1"/>
  <c r="F25" i="61" s="1"/>
  <c r="F19" i="2" s="1"/>
  <c r="E20" i="144"/>
  <c r="E20" i="146"/>
  <c r="F15" i="50"/>
  <c r="F19" i="50" s="1"/>
  <c r="F25" i="50" s="1"/>
  <c r="F47" i="2" s="1"/>
  <c r="F13" i="352"/>
  <c r="F19" i="352" s="1"/>
  <c r="F25" i="352" s="1"/>
  <c r="F13" i="243"/>
  <c r="F19" i="243" s="1"/>
  <c r="F25" i="243" s="1"/>
  <c r="F73" i="2" s="1"/>
  <c r="F13" i="312"/>
  <c r="F19" i="312" s="1"/>
  <c r="F25" i="312" s="1"/>
  <c r="F13" i="377"/>
  <c r="F19" i="377" s="1"/>
  <c r="F25" i="377" s="1"/>
  <c r="F15" i="54"/>
  <c r="F19" i="54" s="1"/>
  <c r="F25" i="54" s="1"/>
  <c r="F23" i="2" s="1"/>
  <c r="F13" i="302"/>
  <c r="F19" i="302" s="1"/>
  <c r="F25" i="302" s="1"/>
  <c r="E20" i="139"/>
  <c r="F15" i="211"/>
  <c r="F19" i="211" s="1"/>
  <c r="F25" i="211" s="1"/>
  <c r="F15" i="2" s="1"/>
  <c r="E20" i="142"/>
  <c r="E20" i="140"/>
  <c r="F13" i="383"/>
  <c r="F19" i="383" s="1"/>
  <c r="F25" i="383" s="1"/>
  <c r="F15" i="81"/>
  <c r="F19" i="81" s="1"/>
  <c r="F25" i="81" s="1"/>
  <c r="F31" i="2" s="1"/>
  <c r="F15" i="272"/>
  <c r="F19" i="272" s="1"/>
  <c r="F25" i="272" s="1"/>
  <c r="F88" i="2" s="1"/>
  <c r="E20" i="212"/>
  <c r="F15" i="51"/>
  <c r="F19" i="51" s="1"/>
  <c r="F25" i="51" s="1"/>
  <c r="F48" i="2" s="1"/>
  <c r="F15" i="304"/>
  <c r="F19" i="304" s="1"/>
  <c r="F25" i="304" s="1"/>
  <c r="F13" i="232"/>
  <c r="F19" i="232" s="1"/>
  <c r="F25" i="232" s="1"/>
  <c r="F57" i="2" s="1"/>
  <c r="F13" i="280"/>
  <c r="F19" i="280" s="1"/>
  <c r="F25" i="280" s="1"/>
  <c r="F92" i="2" s="1"/>
  <c r="F13" i="80"/>
  <c r="F19" i="80" s="1"/>
  <c r="F25" i="80" s="1"/>
  <c r="F24" i="2" s="1"/>
  <c r="E20" i="137"/>
  <c r="F15" i="336"/>
  <c r="F19" i="336" s="1"/>
  <c r="F25" i="336" s="1"/>
  <c r="F15" i="72"/>
  <c r="F19" i="72" s="1"/>
  <c r="F25" i="72" s="1"/>
  <c r="F108" i="2" s="1"/>
  <c r="F15" i="74"/>
  <c r="F19" i="74" s="1"/>
  <c r="F25" i="74" s="1"/>
  <c r="F106" i="2" s="1"/>
  <c r="F15" i="364"/>
  <c r="F19" i="364" s="1"/>
  <c r="F25" i="364" s="1"/>
  <c r="F15" i="222"/>
  <c r="F19" i="222" s="1"/>
  <c r="F25" i="222" s="1"/>
  <c r="F42" i="2" s="1"/>
  <c r="F15" i="37"/>
  <c r="F19" i="37" s="1"/>
  <c r="F25" i="37" s="1"/>
  <c r="F12" i="2" s="1"/>
  <c r="F13" i="326"/>
  <c r="F19" i="326" s="1"/>
  <c r="F25" i="326" s="1"/>
  <c r="F15" i="52"/>
  <c r="F19" i="52" s="1"/>
  <c r="F25" i="52" s="1"/>
  <c r="F32" i="2" s="1"/>
  <c r="F15" i="285"/>
  <c r="F19" i="285" s="1"/>
  <c r="F25" i="285" s="1"/>
  <c r="F77" i="2" s="1"/>
  <c r="F15" i="340"/>
  <c r="F19" i="340" s="1"/>
  <c r="F25" i="340" s="1"/>
  <c r="E20" i="145"/>
  <c r="F13" i="385"/>
  <c r="F19" i="385" s="1"/>
  <c r="F25" i="385" s="1"/>
  <c r="F15" i="135"/>
  <c r="F19" i="135" s="1"/>
  <c r="F25" i="135" s="1"/>
  <c r="F53" i="2" s="1"/>
  <c r="F13" i="350"/>
  <c r="F19" i="350" s="1"/>
  <c r="F25" i="350" s="1"/>
  <c r="F13" i="253"/>
  <c r="F19" i="253" s="1"/>
  <c r="F25" i="253" s="1"/>
  <c r="F79" i="2" s="1"/>
  <c r="F15" i="269"/>
  <c r="F19" i="269" s="1"/>
  <c r="F25" i="269" s="1"/>
  <c r="F87" i="2" s="1"/>
  <c r="F13" i="96"/>
  <c r="F19" i="96" s="1"/>
  <c r="F25" i="96" s="1"/>
  <c r="F52" i="2" s="1"/>
  <c r="F13" i="57"/>
  <c r="F19" i="57" s="1"/>
  <c r="F25" i="57" s="1"/>
  <c r="F21" i="2" s="1"/>
  <c r="F15" i="381"/>
  <c r="F19" i="381" s="1"/>
  <c r="F25" i="381" s="1"/>
  <c r="F13" i="368"/>
  <c r="F19" i="368" s="1"/>
  <c r="F25" i="368" s="1"/>
  <c r="F15" i="265"/>
  <c r="F19" i="265" s="1"/>
  <c r="F25" i="265" s="1"/>
  <c r="F85" i="2" s="1"/>
  <c r="F15" i="53"/>
  <c r="F19" i="53" s="1"/>
  <c r="F25" i="53" s="1"/>
  <c r="F36" i="2" s="1"/>
  <c r="F15" i="247"/>
  <c r="F19" i="247" s="1"/>
  <c r="F25" i="247" s="1"/>
  <c r="F75" i="2" s="1"/>
  <c r="F13" i="38"/>
  <c r="F19" i="38" s="1"/>
  <c r="F25" i="38" s="1"/>
  <c r="F26" i="2" s="1"/>
  <c r="F15" i="86"/>
  <c r="F19" i="86" s="1"/>
  <c r="F25" i="86" s="1"/>
  <c r="F27" i="2" s="1"/>
  <c r="F15" i="41"/>
  <c r="F19" i="41" s="1"/>
  <c r="F25" i="41" s="1"/>
  <c r="F58" i="2" s="1"/>
  <c r="F13" i="334"/>
  <c r="F19" i="334" s="1"/>
  <c r="F25" i="334" s="1"/>
  <c r="F15" i="245"/>
  <c r="F19" i="245" s="1"/>
  <c r="F25" i="245" s="1"/>
  <c r="F74" i="2" s="1"/>
  <c r="F13" i="73"/>
  <c r="F19" i="73" s="1"/>
  <c r="F25" i="73" s="1"/>
  <c r="F67" i="2" s="1"/>
  <c r="E20" i="141"/>
  <c r="E20" i="138"/>
  <c r="F13" i="324"/>
  <c r="F19" i="324" s="1"/>
  <c r="F25" i="324" s="1"/>
  <c r="F13" i="56"/>
  <c r="F19" i="56" s="1"/>
  <c r="F25" i="56" s="1"/>
  <c r="F18" i="2" s="1"/>
  <c r="F13" i="372"/>
  <c r="F19" i="372" s="1"/>
  <c r="F25" i="372" s="1"/>
  <c r="F15" i="228"/>
  <c r="F19" i="228" s="1"/>
  <c r="F25" i="228" s="1"/>
  <c r="F45" i="2" s="1"/>
  <c r="F15" i="257"/>
  <c r="F19" i="257" s="1"/>
  <c r="F25" i="257" s="1"/>
  <c r="F81" i="2" s="1"/>
  <c r="F15" i="75"/>
  <c r="F19" i="75" s="1"/>
  <c r="F25" i="75" s="1"/>
  <c r="F60" i="2" s="1"/>
  <c r="F15" i="360"/>
  <c r="F19" i="360" s="1"/>
  <c r="F25" i="360" s="1"/>
  <c r="F15" i="259"/>
  <c r="F19" i="259" s="1"/>
  <c r="F25" i="259" s="1"/>
  <c r="F82" i="2" s="1"/>
  <c r="F13" i="235"/>
  <c r="F19" i="235" s="1"/>
  <c r="F25" i="235" s="1"/>
  <c r="F69" i="2" s="1"/>
  <c r="F15" i="217"/>
  <c r="F19" i="217" s="1"/>
  <c r="F25" i="217" s="1"/>
  <c r="F41" i="2" s="1"/>
  <c r="F15" i="296"/>
  <c r="F19" i="296" s="1"/>
  <c r="F25" i="296" s="1"/>
  <c r="F15" i="69"/>
  <c r="F19" i="69" s="1"/>
  <c r="F25" i="69" s="1"/>
  <c r="F102" i="2" s="1"/>
  <c r="F15" i="263"/>
  <c r="F19" i="263" s="1"/>
  <c r="F25" i="263" s="1"/>
  <c r="F84" i="2" s="1"/>
  <c r="F15" i="328"/>
  <c r="F19" i="328" s="1"/>
  <c r="F25" i="328" s="1"/>
  <c r="F13" i="374"/>
  <c r="F19" i="374" s="1"/>
  <c r="F25" i="374" s="1"/>
  <c r="F15" i="348"/>
  <c r="F19" i="348" s="1"/>
  <c r="F25" i="348" s="1"/>
  <c r="F13" i="366"/>
  <c r="F19" i="366" s="1"/>
  <c r="F25" i="366" s="1"/>
  <c r="F13" i="82"/>
  <c r="F19" i="82" s="1"/>
  <c r="F25" i="82" s="1"/>
  <c r="F93" i="2" s="1"/>
  <c r="F13" i="42"/>
  <c r="F19" i="42" s="1"/>
  <c r="F25" i="42" s="1"/>
  <c r="F94" i="2" s="1"/>
  <c r="F15" i="92"/>
  <c r="F19" i="92" s="1"/>
  <c r="F25" i="92" s="1"/>
  <c r="F29" i="2" s="1"/>
  <c r="F15" i="356"/>
  <c r="F19" i="356" s="1"/>
  <c r="F25" i="356" s="1"/>
  <c r="F13" i="274"/>
  <c r="F19" i="274" s="1"/>
  <c r="F25" i="274" s="1"/>
  <c r="F89" i="2" s="1"/>
  <c r="F15" i="29"/>
  <c r="F19" i="29" s="1"/>
  <c r="F25" i="29" s="1"/>
  <c r="F35" i="2" s="1"/>
  <c r="F13" i="322"/>
  <c r="F19" i="322" s="1"/>
  <c r="F25" i="322" s="1"/>
  <c r="F15" i="36"/>
  <c r="F19" i="36" s="1"/>
  <c r="F25" i="36" s="1"/>
  <c r="F103" i="2" s="1"/>
  <c r="F13" i="306"/>
  <c r="F19" i="306" s="1"/>
  <c r="F25" i="306" s="1"/>
  <c r="F13" i="248"/>
  <c r="F19" i="248" s="1"/>
  <c r="F25" i="248" s="1"/>
  <c r="F76" i="2" s="1"/>
  <c r="F15" i="230"/>
  <c r="F19" i="230" s="1"/>
  <c r="F25" i="230" s="1"/>
  <c r="F46" i="2" s="1"/>
  <c r="F15" i="255"/>
  <c r="F19" i="255" s="1"/>
  <c r="F25" i="255" s="1"/>
  <c r="F80" i="2" s="1"/>
  <c r="F15" i="83"/>
  <c r="F19" i="83" s="1"/>
  <c r="F25" i="83" s="1"/>
  <c r="F37" i="2" s="1"/>
  <c r="F13" i="71"/>
  <c r="F19" i="71" s="1"/>
  <c r="F25" i="71" s="1"/>
  <c r="F17" i="2" s="1"/>
  <c r="F13" i="34"/>
  <c r="F19" i="34" s="1"/>
  <c r="F25" i="34" s="1"/>
  <c r="F68" i="2" s="1"/>
  <c r="F15" i="103"/>
  <c r="F19" i="103" s="1"/>
  <c r="F25" i="103" s="1"/>
  <c r="F96" i="2" s="1"/>
  <c r="F13" i="300"/>
  <c r="F19" i="300" s="1"/>
  <c r="F25" i="300" s="1"/>
  <c r="F15" i="310"/>
  <c r="F19" i="310" s="1"/>
  <c r="F25" i="310" s="1"/>
  <c r="F13" i="104"/>
  <c r="F19" i="104" s="1"/>
  <c r="F25" i="104" s="1"/>
  <c r="F97" i="2" s="1"/>
  <c r="F13" i="241"/>
  <c r="F19" i="241" s="1"/>
  <c r="F25" i="241" s="1"/>
  <c r="F72" i="2" s="1"/>
  <c r="F13" i="226"/>
  <c r="F19" i="226" s="1"/>
  <c r="F25" i="226" s="1"/>
  <c r="F44" i="2" s="1"/>
  <c r="F15" i="27"/>
  <c r="F19" i="27" s="1"/>
  <c r="F25" i="27" s="1"/>
  <c r="F10" i="2" s="1"/>
  <c r="F13" i="98"/>
  <c r="F19" i="98" s="1"/>
  <c r="F25" i="98" s="1"/>
  <c r="F59" i="2" s="1"/>
  <c r="F15" i="93"/>
  <c r="F19" i="93" s="1"/>
  <c r="F25" i="93" s="1"/>
  <c r="F40" i="2" s="1"/>
  <c r="F15" i="39"/>
  <c r="F19" i="39" s="1"/>
  <c r="F25" i="39" s="1"/>
  <c r="F38" i="2" s="1"/>
  <c r="F15" i="370"/>
  <c r="F19" i="370" s="1"/>
  <c r="F25" i="370" s="1"/>
  <c r="F13" i="342"/>
  <c r="F19" i="342" s="1"/>
  <c r="F25" i="342" s="1"/>
  <c r="F13" i="63"/>
  <c r="F19" i="63" s="1"/>
  <c r="F25" i="63" s="1"/>
  <c r="F62" i="2" s="1"/>
  <c r="F15" i="106"/>
  <c r="F19" i="106" s="1"/>
  <c r="F25" i="106" s="1"/>
  <c r="F105" i="2" s="1"/>
  <c r="F13" i="55"/>
  <c r="F19" i="55" s="1"/>
  <c r="F25" i="55" s="1"/>
  <c r="F30" i="2" s="1"/>
  <c r="E6" i="140"/>
  <c r="E9" i="140" s="1"/>
  <c r="F13" i="251"/>
  <c r="F19" i="251" s="1"/>
  <c r="F25" i="251" s="1"/>
  <c r="F78" i="2" s="1"/>
  <c r="F15" i="101"/>
  <c r="F19" i="101" s="1"/>
  <c r="F25" i="101" s="1"/>
  <c r="F65" i="2" s="1"/>
  <c r="F13" i="362"/>
  <c r="F19" i="362" s="1"/>
  <c r="F25" i="362" s="1"/>
  <c r="F15" i="66"/>
  <c r="F19" i="66" s="1"/>
  <c r="F25" i="66" s="1"/>
  <c r="F25" i="2" s="1"/>
  <c r="F15" i="332"/>
  <c r="F19" i="332" s="1"/>
  <c r="F25" i="332" s="1"/>
  <c r="F13" i="88"/>
  <c r="F19" i="88" s="1"/>
  <c r="F25" i="88" s="1"/>
  <c r="F20" i="2" s="1"/>
  <c r="F15" i="330"/>
  <c r="F19" i="330" s="1"/>
  <c r="F25" i="330" s="1"/>
  <c r="F13" i="87"/>
  <c r="F19" i="87" s="1"/>
  <c r="F25" i="87" s="1"/>
  <c r="F28" i="2" s="1"/>
  <c r="F13" i="32"/>
  <c r="F19" i="32" s="1"/>
  <c r="F25" i="32" s="1"/>
  <c r="F55" i="2" s="1"/>
  <c r="H10" i="140"/>
  <c r="E6" i="138"/>
  <c r="E9" i="138" s="1"/>
  <c r="H10" i="203"/>
  <c r="H10" i="365"/>
  <c r="H10" i="146"/>
  <c r="E6" i="313"/>
  <c r="E9" i="313" s="1"/>
  <c r="E6" i="142"/>
  <c r="E9" i="142" s="1"/>
  <c r="E6" i="141"/>
  <c r="E9" i="141" s="1"/>
  <c r="E6" i="329"/>
  <c r="E9" i="329" s="1"/>
  <c r="E6" i="146"/>
  <c r="E9" i="146" s="1"/>
  <c r="E6" i="212"/>
  <c r="E9" i="212" s="1"/>
  <c r="E6" i="144"/>
  <c r="E9" i="144" s="1"/>
  <c r="E6" i="246"/>
  <c r="E9" i="246" s="1"/>
  <c r="E6" i="189"/>
  <c r="E9" i="189" s="1"/>
  <c r="E6" i="325"/>
  <c r="E9" i="325" s="1"/>
  <c r="E6" i="373"/>
  <c r="E9" i="373" s="1"/>
  <c r="E6" i="145"/>
  <c r="E9" i="145" s="1"/>
  <c r="E6" i="177"/>
  <c r="E9" i="177" s="1"/>
  <c r="E6" i="176"/>
  <c r="E9" i="176" s="1"/>
  <c r="E6" i="331"/>
  <c r="E9" i="331" s="1"/>
  <c r="E6" i="323"/>
  <c r="E9" i="323" s="1"/>
  <c r="E6" i="321"/>
  <c r="E9" i="321" s="1"/>
  <c r="E6" i="161"/>
  <c r="E9" i="161" s="1"/>
  <c r="E6" i="277"/>
  <c r="E9" i="277" s="1"/>
  <c r="E6" i="151"/>
  <c r="E9" i="151" s="1"/>
  <c r="E6" i="195"/>
  <c r="E9" i="195" s="1"/>
  <c r="E6" i="279"/>
  <c r="E9" i="279" s="1"/>
  <c r="E6" i="240"/>
  <c r="E9" i="240" s="1"/>
  <c r="E6" i="260"/>
  <c r="E9" i="260" s="1"/>
  <c r="E6" i="221"/>
  <c r="E9" i="221" s="1"/>
  <c r="E6" i="249"/>
  <c r="E9" i="249" s="1"/>
  <c r="E6" i="164"/>
  <c r="E9" i="164" s="1"/>
  <c r="E6" i="193"/>
  <c r="E9" i="193" s="1"/>
  <c r="E6" i="197"/>
  <c r="E9" i="197" s="1"/>
  <c r="E6" i="238"/>
  <c r="E9" i="238" s="1"/>
  <c r="E6" i="376"/>
  <c r="E9" i="376" s="1"/>
  <c r="E6" i="297"/>
  <c r="E9" i="297" s="1"/>
  <c r="E6" i="183"/>
  <c r="E9" i="183" s="1"/>
  <c r="E6" i="168"/>
  <c r="E9" i="168" s="1"/>
  <c r="E6" i="156"/>
  <c r="E9" i="156" s="1"/>
  <c r="E6" i="258"/>
  <c r="E9" i="258" s="1"/>
  <c r="E6" i="153"/>
  <c r="E9" i="153" s="1"/>
  <c r="E6" i="335"/>
  <c r="E9" i="335" s="1"/>
  <c r="E6" i="275"/>
  <c r="E9" i="275" s="1"/>
  <c r="E6" i="327"/>
  <c r="E9" i="327" s="1"/>
  <c r="E6" i="284"/>
  <c r="E9" i="284" s="1"/>
  <c r="E6" i="188"/>
  <c r="E9" i="188" s="1"/>
  <c r="E6" i="315"/>
  <c r="E9" i="315" s="1"/>
  <c r="E6" i="317"/>
  <c r="E9" i="317" s="1"/>
  <c r="E6" i="380"/>
  <c r="E9" i="380" s="1"/>
  <c r="E6" i="273"/>
  <c r="E9" i="273" s="1"/>
  <c r="E6" i="194"/>
  <c r="E9" i="194" s="1"/>
  <c r="E6" i="154"/>
  <c r="E9" i="154" s="1"/>
  <c r="E6" i="361"/>
  <c r="E9" i="361" s="1"/>
  <c r="E6" i="162"/>
  <c r="E9" i="162" s="1"/>
  <c r="E6" i="175"/>
  <c r="E9" i="175" s="1"/>
  <c r="E6" i="155"/>
  <c r="E9" i="155" s="1"/>
  <c r="E6" i="307"/>
  <c r="E9" i="307" s="1"/>
  <c r="E6" i="163"/>
  <c r="E9" i="163" s="1"/>
  <c r="E6" i="225"/>
  <c r="E9" i="225" s="1"/>
  <c r="E6" i="190"/>
  <c r="E9" i="190" s="1"/>
  <c r="E6" i="184"/>
  <c r="E9" i="184" s="1"/>
  <c r="E6" i="262"/>
  <c r="E9" i="262" s="1"/>
  <c r="E6" i="355"/>
  <c r="E9" i="355" s="1"/>
  <c r="E6" i="349"/>
  <c r="E9" i="349" s="1"/>
  <c r="E6" i="174"/>
  <c r="E9" i="174" s="1"/>
  <c r="E6" i="223"/>
  <c r="E9" i="223" s="1"/>
  <c r="E6" i="319"/>
  <c r="E9" i="319" s="1"/>
  <c r="E6" i="231"/>
  <c r="E9" i="231" s="1"/>
  <c r="E6" i="149"/>
  <c r="E9" i="149" s="1"/>
  <c r="E6" i="180"/>
  <c r="E9" i="180" s="1"/>
  <c r="E6" i="367"/>
  <c r="E9" i="367" s="1"/>
  <c r="E6" i="227"/>
  <c r="E9" i="227" s="1"/>
  <c r="E6" i="299"/>
  <c r="E9" i="299" s="1"/>
  <c r="E6" i="172"/>
  <c r="E9" i="172" s="1"/>
  <c r="E6" i="229"/>
  <c r="E9" i="229" s="1"/>
  <c r="E6" i="148"/>
  <c r="E9" i="148" s="1"/>
  <c r="E6" i="173"/>
  <c r="E9" i="173" s="1"/>
  <c r="E6" i="157"/>
  <c r="E9" i="157" s="1"/>
  <c r="E6" i="202"/>
  <c r="E9" i="202" s="1"/>
  <c r="E6" i="347"/>
  <c r="E9" i="347" s="1"/>
  <c r="E6" i="171"/>
  <c r="E9" i="171" s="1"/>
  <c r="E6" i="333"/>
  <c r="E9" i="333" s="1"/>
  <c r="E6" i="244"/>
  <c r="E9" i="244" s="1"/>
  <c r="E6" i="305"/>
  <c r="E9" i="305" s="1"/>
  <c r="E6" i="295"/>
  <c r="E9" i="295" s="1"/>
  <c r="E6" i="266"/>
  <c r="E9" i="266" s="1"/>
  <c r="E6" i="204"/>
  <c r="E9" i="204" s="1"/>
  <c r="E6" i="200"/>
  <c r="E9" i="200" s="1"/>
  <c r="E6" i="165"/>
  <c r="E9" i="165" s="1"/>
  <c r="E6" i="159"/>
  <c r="E9" i="159" s="1"/>
  <c r="E6" i="282"/>
  <c r="E9" i="282" s="1"/>
  <c r="E6" i="192"/>
  <c r="E9" i="192" s="1"/>
  <c r="E6" i="242"/>
  <c r="E9" i="242" s="1"/>
  <c r="E6" i="343"/>
  <c r="E9" i="343" s="1"/>
  <c r="E6" i="150"/>
  <c r="E9" i="150" s="1"/>
  <c r="E6" i="311"/>
  <c r="E9" i="311" s="1"/>
  <c r="E6" i="363"/>
  <c r="E9" i="363" s="1"/>
  <c r="E6" i="201"/>
  <c r="E9" i="201" s="1"/>
  <c r="E6" i="233"/>
  <c r="E9" i="233" s="1"/>
  <c r="E6" i="169"/>
  <c r="E9" i="169" s="1"/>
  <c r="E6" i="205"/>
  <c r="E9" i="205" s="1"/>
  <c r="E6" i="196"/>
  <c r="E9" i="196" s="1"/>
  <c r="E6" i="351"/>
  <c r="E9" i="351" s="1"/>
  <c r="E6" i="303"/>
  <c r="E9" i="303" s="1"/>
  <c r="E6" i="309"/>
  <c r="E9" i="309" s="1"/>
  <c r="E6" i="181"/>
  <c r="E9" i="181" s="1"/>
  <c r="E6" i="345"/>
  <c r="E9" i="345" s="1"/>
  <c r="E6" i="359"/>
  <c r="E9" i="359" s="1"/>
  <c r="E6" i="147"/>
  <c r="E9" i="147" s="1"/>
  <c r="E6" i="268"/>
  <c r="E9" i="268" s="1"/>
  <c r="E6" i="191"/>
  <c r="E9" i="191" s="1"/>
  <c r="E6" i="208"/>
  <c r="E9" i="208" s="1"/>
  <c r="E6" i="203"/>
  <c r="E9" i="203" s="1"/>
  <c r="E6" i="152"/>
  <c r="E9" i="152" s="1"/>
  <c r="E6" i="339"/>
  <c r="E9" i="339" s="1"/>
  <c r="E6" i="386"/>
  <c r="E9" i="386" s="1"/>
  <c r="E6" i="371"/>
  <c r="E9" i="371" s="1"/>
  <c r="E6" i="382"/>
  <c r="E9" i="382" s="1"/>
  <c r="E6" i="301"/>
  <c r="E9" i="301" s="1"/>
  <c r="E6" i="218"/>
  <c r="E9" i="218" s="1"/>
  <c r="E6" i="207"/>
  <c r="E9" i="207" s="1"/>
  <c r="E6" i="166"/>
  <c r="E9" i="166" s="1"/>
  <c r="E6" i="353"/>
  <c r="E9" i="353" s="1"/>
  <c r="E6" i="369"/>
  <c r="E9" i="369" s="1"/>
  <c r="E6" i="264"/>
  <c r="E9" i="264" s="1"/>
  <c r="E6" i="250"/>
  <c r="E9" i="250" s="1"/>
  <c r="E6" i="206"/>
  <c r="E9" i="206" s="1"/>
  <c r="E6" i="158"/>
  <c r="E9" i="158" s="1"/>
  <c r="E6" i="271"/>
  <c r="E9" i="271" s="1"/>
  <c r="E6" i="160"/>
  <c r="E9" i="160" s="1"/>
  <c r="E6" i="199"/>
  <c r="E9" i="199" s="1"/>
  <c r="E6" i="378"/>
  <c r="E9" i="378" s="1"/>
  <c r="E6" i="186"/>
  <c r="E9" i="186" s="1"/>
  <c r="E6" i="187"/>
  <c r="E9" i="187" s="1"/>
  <c r="E6" i="337"/>
  <c r="E9" i="337" s="1"/>
  <c r="E6" i="179"/>
  <c r="E9" i="179" s="1"/>
  <c r="E6" i="341"/>
  <c r="E9" i="341" s="1"/>
  <c r="E6" i="167"/>
  <c r="E9" i="167" s="1"/>
  <c r="E6" i="236"/>
  <c r="E9" i="236" s="1"/>
  <c r="E6" i="254"/>
  <c r="E9" i="254" s="1"/>
  <c r="E6" i="357"/>
  <c r="E9" i="357" s="1"/>
  <c r="E6" i="256"/>
  <c r="E9" i="256" s="1"/>
  <c r="E6" i="185"/>
  <c r="E9" i="185" s="1"/>
  <c r="E6" i="170"/>
  <c r="E9" i="170" s="1"/>
  <c r="E6" i="252"/>
  <c r="E9" i="252" s="1"/>
  <c r="E6" i="365"/>
  <c r="E9" i="365" s="1"/>
  <c r="E6" i="198"/>
  <c r="E9" i="198" s="1"/>
  <c r="E6" i="384"/>
  <c r="E9" i="384" s="1"/>
  <c r="G26" i="353"/>
  <c r="G26" i="349"/>
  <c r="G26" i="345"/>
  <c r="G26" i="339"/>
  <c r="G26" i="321"/>
  <c r="G26" i="317"/>
  <c r="G26" i="168"/>
  <c r="G26" i="167"/>
  <c r="G26" i="282"/>
  <c r="G26" i="244"/>
  <c r="G26" i="242"/>
  <c r="G26" i="240"/>
  <c r="G26" i="236"/>
  <c r="G26" i="355"/>
  <c r="G26" i="351"/>
  <c r="G26" i="319"/>
  <c r="G26" i="169"/>
  <c r="G26" i="250"/>
  <c r="G26" i="163"/>
  <c r="G26" i="315"/>
  <c r="G26" i="313"/>
  <c r="G26" i="384"/>
  <c r="G26" i="311"/>
  <c r="G26" i="331"/>
  <c r="G26" i="380"/>
  <c r="G26" i="357"/>
  <c r="G26" i="252"/>
  <c r="G26" i="165"/>
  <c r="G26" i="164"/>
  <c r="G26" i="329"/>
  <c r="G26" i="162"/>
  <c r="G26" i="382"/>
  <c r="G26" i="378"/>
  <c r="G26" i="376"/>
  <c r="G26" i="254"/>
  <c r="G26" i="335"/>
  <c r="G26" i="373"/>
  <c r="G26" i="371"/>
  <c r="G26" i="369"/>
  <c r="G26" i="367"/>
  <c r="G26" i="365"/>
  <c r="G26" i="363"/>
  <c r="G26" i="361"/>
  <c r="G26" i="359"/>
  <c r="G26" i="260"/>
  <c r="G26" i="258"/>
  <c r="G26" i="256"/>
  <c r="G26" i="166"/>
  <c r="G26" i="277"/>
  <c r="G26" i="273"/>
  <c r="G26" i="266"/>
  <c r="G26" i="268"/>
  <c r="G26" i="262"/>
  <c r="G26" i="347"/>
  <c r="G26" i="343"/>
  <c r="G26" i="341"/>
  <c r="G26" i="337"/>
  <c r="G26" i="327"/>
  <c r="G26" i="325"/>
  <c r="G26" i="323"/>
  <c r="G26" i="279"/>
  <c r="G26" i="249"/>
  <c r="G26" i="284"/>
  <c r="G26" i="246"/>
  <c r="G26" i="238"/>
  <c r="G26" i="333"/>
  <c r="G26" i="275"/>
  <c r="G26" i="271"/>
  <c r="G26" i="264"/>
  <c r="G26" i="158"/>
  <c r="G26" i="153"/>
  <c r="G26" i="295"/>
  <c r="G26" i="161"/>
  <c r="G26" i="160"/>
  <c r="G26" i="159"/>
  <c r="G26" i="148"/>
  <c r="G26" i="301"/>
  <c r="G26" i="299"/>
  <c r="G26" i="297"/>
  <c r="G26" i="154"/>
  <c r="G26" i="386"/>
  <c r="G26" i="303"/>
  <c r="G26" i="155"/>
  <c r="G26" i="149"/>
  <c r="G26" i="156"/>
  <c r="G26" i="150"/>
  <c r="G26" i="147"/>
  <c r="G26" i="305"/>
  <c r="G26" i="151"/>
  <c r="G26" i="307"/>
  <c r="G26" i="157"/>
  <c r="G26" i="152"/>
  <c r="G26" i="137"/>
  <c r="G26" i="138"/>
  <c r="G26" i="146"/>
  <c r="G26" i="212"/>
  <c r="G26" i="145"/>
  <c r="G26" i="142"/>
  <c r="G26" i="144"/>
  <c r="G27" i="139"/>
  <c r="G27" i="140"/>
  <c r="G27" i="141"/>
  <c r="E41" i="144"/>
  <c r="G40" i="144"/>
  <c r="G41" i="144" s="1"/>
  <c r="E41" i="145"/>
  <c r="G40" i="145"/>
  <c r="G41" i="145" s="1"/>
  <c r="E41" i="142"/>
  <c r="G40" i="142"/>
  <c r="G41" i="142" s="1"/>
  <c r="G40" i="139"/>
  <c r="G42" i="139" s="1"/>
  <c r="E6" i="137"/>
  <c r="E9" i="137" s="1"/>
  <c r="E6" i="139"/>
  <c r="E9" i="139" s="1"/>
  <c r="F13" i="467" l="1"/>
  <c r="F13" i="546"/>
  <c r="F13" i="512"/>
  <c r="C6" i="545"/>
  <c r="C9" i="545" s="1"/>
  <c r="F13" i="526"/>
  <c r="F15" i="538"/>
  <c r="F13" i="498"/>
  <c r="F19" i="498" s="1"/>
  <c r="F25" i="498" s="1"/>
  <c r="F15" i="502"/>
  <c r="F19" i="502" s="1"/>
  <c r="F25" i="502" s="1"/>
  <c r="F13" i="554"/>
  <c r="F19" i="554" s="1"/>
  <c r="F25" i="554" s="1"/>
  <c r="F13" i="548"/>
  <c r="F19" i="548" s="1"/>
  <c r="F25" i="548" s="1"/>
  <c r="F13" i="524"/>
  <c r="F19" i="524" s="1"/>
  <c r="F25" i="524" s="1"/>
  <c r="C6" i="434"/>
  <c r="C9" i="434" s="1"/>
  <c r="D10" i="434" s="1"/>
  <c r="F19" i="561"/>
  <c r="F25" i="561" s="1"/>
  <c r="C6" i="539"/>
  <c r="C9" i="539" s="1"/>
  <c r="D10" i="539" s="1"/>
  <c r="D15" i="19"/>
  <c r="C27" i="182" s="1"/>
  <c r="D10" i="215" s="1"/>
  <c r="D13" i="19"/>
  <c r="C6" i="414"/>
  <c r="C9" i="414" s="1"/>
  <c r="D10" i="414" s="1"/>
  <c r="C6" i="472"/>
  <c r="C9" i="472" s="1"/>
  <c r="D10" i="472" s="1"/>
  <c r="C6" i="529"/>
  <c r="C9" i="529" s="1"/>
  <c r="D10" i="529" s="1"/>
  <c r="C6" i="420"/>
  <c r="C9" i="420" s="1"/>
  <c r="D10" i="420" s="1"/>
  <c r="C6" i="543"/>
  <c r="C9" i="543" s="1"/>
  <c r="D10" i="543" s="1"/>
  <c r="C6" i="412"/>
  <c r="C9" i="412" s="1"/>
  <c r="D10" i="412" s="1"/>
  <c r="C6" i="430"/>
  <c r="C9" i="430" s="1"/>
  <c r="D10" i="430" s="1"/>
  <c r="C6" i="462"/>
  <c r="C9" i="462" s="1"/>
  <c r="D10" i="462" s="1"/>
  <c r="C6" i="470"/>
  <c r="C9" i="470" s="1"/>
  <c r="D10" i="470" s="1"/>
  <c r="C6" i="499"/>
  <c r="C9" i="499" s="1"/>
  <c r="D10" i="499" s="1"/>
  <c r="C6" i="551"/>
  <c r="C9" i="551" s="1"/>
  <c r="D10" i="551" s="1"/>
  <c r="D8" i="450"/>
  <c r="C6" i="533"/>
  <c r="C9" i="533" s="1"/>
  <c r="D10" i="533" s="1"/>
  <c r="C6" i="464"/>
  <c r="C9" i="464" s="1"/>
  <c r="D10" i="464" s="1"/>
  <c r="C6" i="549"/>
  <c r="C9" i="549" s="1"/>
  <c r="D10" i="549" s="1"/>
  <c r="C6" i="519"/>
  <c r="C9" i="519" s="1"/>
  <c r="D10" i="519" s="1"/>
  <c r="C6" i="560"/>
  <c r="C9" i="560" s="1"/>
  <c r="D10" i="560" s="1"/>
  <c r="C6" i="442"/>
  <c r="C9" i="442" s="1"/>
  <c r="D10" i="442" s="1"/>
  <c r="C6" i="424"/>
  <c r="C9" i="424" s="1"/>
  <c r="D10" i="424" s="1"/>
  <c r="C6" i="517"/>
  <c r="C9" i="517" s="1"/>
  <c r="D10" i="517" s="1"/>
  <c r="C6" i="416"/>
  <c r="C9" i="416" s="1"/>
  <c r="D10" i="416" s="1"/>
  <c r="C6" i="476"/>
  <c r="C9" i="476" s="1"/>
  <c r="D10" i="476" s="1"/>
  <c r="C6" i="440"/>
  <c r="C9" i="440" s="1"/>
  <c r="D10" i="440" s="1"/>
  <c r="C6" i="474"/>
  <c r="C9" i="474" s="1"/>
  <c r="D10" i="474" s="1"/>
  <c r="C6" i="432"/>
  <c r="C9" i="432" s="1"/>
  <c r="D10" i="432" s="1"/>
  <c r="C6" i="460"/>
  <c r="C9" i="460" s="1"/>
  <c r="D10" i="460" s="1"/>
  <c r="C6" i="547"/>
  <c r="C9" i="547" s="1"/>
  <c r="D10" i="547" s="1"/>
  <c r="C6" i="444"/>
  <c r="C9" i="444" s="1"/>
  <c r="D10" i="444" s="1"/>
  <c r="C6" i="478"/>
  <c r="C9" i="478" s="1"/>
  <c r="D10" i="478" s="1"/>
  <c r="C6" i="531"/>
  <c r="C9" i="531" s="1"/>
  <c r="D10" i="531" s="1"/>
  <c r="C6" i="521"/>
  <c r="C9" i="521" s="1"/>
  <c r="D10" i="521" s="1"/>
  <c r="D8" i="501"/>
  <c r="C6" i="410"/>
  <c r="C9" i="410" s="1"/>
  <c r="D10" i="410" s="1"/>
  <c r="C6" i="456"/>
  <c r="C9" i="456" s="1"/>
  <c r="D10" i="456" s="1"/>
  <c r="C6" i="453"/>
  <c r="C9" i="453" s="1"/>
  <c r="D10" i="453" s="1"/>
  <c r="C6" i="503"/>
  <c r="C9" i="503" s="1"/>
  <c r="D10" i="503" s="1"/>
  <c r="C6" i="182"/>
  <c r="D5" i="215" s="1"/>
  <c r="C6" i="557"/>
  <c r="C9" i="557" s="1"/>
  <c r="D10" i="557" s="1"/>
  <c r="C6" i="541"/>
  <c r="C9" i="541" s="1"/>
  <c r="D10" i="541" s="1"/>
  <c r="C6" i="418"/>
  <c r="C9" i="418" s="1"/>
  <c r="D10" i="418" s="1"/>
  <c r="C6" i="509"/>
  <c r="C9" i="509" s="1"/>
  <c r="D10" i="509" s="1"/>
  <c r="C6" i="505"/>
  <c r="C9" i="505" s="1"/>
  <c r="D10" i="505" s="1"/>
  <c r="C6" i="555"/>
  <c r="C9" i="555" s="1"/>
  <c r="D10" i="555" s="1"/>
  <c r="C6" i="511"/>
  <c r="C9" i="511" s="1"/>
  <c r="D10" i="511" s="1"/>
  <c r="C6" i="438"/>
  <c r="C9" i="438" s="1"/>
  <c r="D10" i="438" s="1"/>
  <c r="C6" i="446"/>
  <c r="C9" i="446" s="1"/>
  <c r="D10" i="446" s="1"/>
  <c r="C6" i="466"/>
  <c r="C9" i="466" s="1"/>
  <c r="D10" i="466" s="1"/>
  <c r="C6" i="525"/>
  <c r="C9" i="525" s="1"/>
  <c r="D10" i="525" s="1"/>
  <c r="C6" i="436"/>
  <c r="C9" i="436" s="1"/>
  <c r="D10" i="436" s="1"/>
  <c r="C6" i="448"/>
  <c r="C9" i="448" s="1"/>
  <c r="D10" i="448" s="1"/>
  <c r="C6" i="535"/>
  <c r="C9" i="535" s="1"/>
  <c r="D10" i="535" s="1"/>
  <c r="C6" i="527"/>
  <c r="C9" i="527" s="1"/>
  <c r="D10" i="527" s="1"/>
  <c r="C6" i="426"/>
  <c r="C9" i="426" s="1"/>
  <c r="D10" i="426" s="1"/>
  <c r="C6" i="559"/>
  <c r="C9" i="559" s="1"/>
  <c r="D10" i="559" s="1"/>
  <c r="C6" i="523"/>
  <c r="C9" i="523" s="1"/>
  <c r="D10" i="523" s="1"/>
  <c r="C6" i="515"/>
  <c r="C9" i="515" s="1"/>
  <c r="D10" i="515" s="1"/>
  <c r="C6" i="507"/>
  <c r="C9" i="507" s="1"/>
  <c r="D10" i="507" s="1"/>
  <c r="C6" i="422"/>
  <c r="C9" i="422" s="1"/>
  <c r="D10" i="422" s="1"/>
  <c r="C6" i="454"/>
  <c r="C9" i="454" s="1"/>
  <c r="D10" i="454" s="1"/>
  <c r="C6" i="513"/>
  <c r="C9" i="513" s="1"/>
  <c r="D10" i="513" s="1"/>
  <c r="C6" i="468"/>
  <c r="C9" i="468" s="1"/>
  <c r="D10" i="468" s="1"/>
  <c r="C6" i="537"/>
  <c r="C9" i="537" s="1"/>
  <c r="D10" i="537" s="1"/>
  <c r="D19" i="561"/>
  <c r="D25" i="561" s="1"/>
  <c r="G23" i="562"/>
  <c r="G21" i="562" s="1"/>
  <c r="G31" i="562" s="1"/>
  <c r="E27" i="182"/>
  <c r="E10" i="215" s="1"/>
  <c r="E26" i="182"/>
  <c r="E23" i="16"/>
  <c r="F23" i="16"/>
  <c r="D23" i="16"/>
  <c r="E40" i="170"/>
  <c r="E41" i="170" s="1"/>
  <c r="G40" i="170"/>
  <c r="G41" i="170" s="1"/>
  <c r="E42" i="141"/>
  <c r="G40" i="141"/>
  <c r="G42" i="141" s="1"/>
  <c r="G21" i="560"/>
  <c r="G31" i="560" s="1"/>
  <c r="G29" i="560"/>
  <c r="H30" i="560" s="1"/>
  <c r="C40" i="162"/>
  <c r="E40" i="162" s="1"/>
  <c r="E41" i="162" s="1"/>
  <c r="G23" i="10"/>
  <c r="E19" i="520"/>
  <c r="E25" i="520" s="1"/>
  <c r="E19" i="526"/>
  <c r="E25" i="526" s="1"/>
  <c r="E19" i="522"/>
  <c r="E25" i="522" s="1"/>
  <c r="F19" i="526"/>
  <c r="F25" i="526" s="1"/>
  <c r="E19" i="550"/>
  <c r="E25" i="550" s="1"/>
  <c r="E19" i="518"/>
  <c r="E25" i="518" s="1"/>
  <c r="E19" i="506"/>
  <c r="E25" i="506" s="1"/>
  <c r="E19" i="556"/>
  <c r="E25" i="556" s="1"/>
  <c r="E19" i="528"/>
  <c r="E25" i="528" s="1"/>
  <c r="E19" i="514"/>
  <c r="E25" i="514" s="1"/>
  <c r="E19" i="546"/>
  <c r="E25" i="546" s="1"/>
  <c r="E19" i="498"/>
  <c r="E25" i="498" s="1"/>
  <c r="E19" i="502"/>
  <c r="E25" i="502" s="1"/>
  <c r="E19" i="534"/>
  <c r="E25" i="534" s="1"/>
  <c r="E19" i="542"/>
  <c r="E25" i="542" s="1"/>
  <c r="E19" i="532"/>
  <c r="E25" i="532" s="1"/>
  <c r="E19" i="540"/>
  <c r="E25" i="540" s="1"/>
  <c r="E19" i="516"/>
  <c r="E25" i="516" s="1"/>
  <c r="E19" i="548"/>
  <c r="E25" i="548" s="1"/>
  <c r="E19" i="510"/>
  <c r="E25" i="510" s="1"/>
  <c r="E19" i="538"/>
  <c r="E25" i="538" s="1"/>
  <c r="E19" i="524"/>
  <c r="E25" i="524" s="1"/>
  <c r="E19" i="544"/>
  <c r="E25" i="544" s="1"/>
  <c r="E19" i="536"/>
  <c r="E25" i="536" s="1"/>
  <c r="E19" i="500"/>
  <c r="E25" i="500" s="1"/>
  <c r="E19" i="558"/>
  <c r="E25" i="558" s="1"/>
  <c r="E19" i="530"/>
  <c r="E25" i="530" s="1"/>
  <c r="E19" i="504"/>
  <c r="E25" i="504" s="1"/>
  <c r="E19" i="552"/>
  <c r="E25" i="552" s="1"/>
  <c r="E19" i="512"/>
  <c r="E19" i="554"/>
  <c r="E25" i="554" s="1"/>
  <c r="F19" i="542"/>
  <c r="F25" i="542" s="1"/>
  <c r="G27" i="160"/>
  <c r="G23" i="160" s="1"/>
  <c r="G27" i="557"/>
  <c r="G23" i="557" s="1"/>
  <c r="G27" i="549"/>
  <c r="G23" i="549" s="1"/>
  <c r="G27" i="543"/>
  <c r="G23" i="543" s="1"/>
  <c r="G27" i="539"/>
  <c r="G23" i="539" s="1"/>
  <c r="G27" i="515"/>
  <c r="G23" i="515" s="1"/>
  <c r="G27" i="547"/>
  <c r="G23" i="547" s="1"/>
  <c r="G27" i="519"/>
  <c r="G23" i="519" s="1"/>
  <c r="G27" i="509"/>
  <c r="G23" i="509" s="1"/>
  <c r="G27" i="559"/>
  <c r="G23" i="559" s="1"/>
  <c r="G27" i="551"/>
  <c r="G23" i="551" s="1"/>
  <c r="G27" i="523"/>
  <c r="G23" i="523" s="1"/>
  <c r="G27" i="507"/>
  <c r="G23" i="507" s="1"/>
  <c r="G27" i="537"/>
  <c r="G23" i="537" s="1"/>
  <c r="G27" i="545"/>
  <c r="G23" i="545" s="1"/>
  <c r="G27" i="533"/>
  <c r="G23" i="533" s="1"/>
  <c r="G27" i="511"/>
  <c r="G23" i="511" s="1"/>
  <c r="G27" i="505"/>
  <c r="G23" i="505" s="1"/>
  <c r="G27" i="555"/>
  <c r="G23" i="555" s="1"/>
  <c r="G27" i="541"/>
  <c r="G23" i="541" s="1"/>
  <c r="G27" i="529"/>
  <c r="G23" i="529" s="1"/>
  <c r="G27" i="527"/>
  <c r="G23" i="527" s="1"/>
  <c r="G27" i="525"/>
  <c r="G23" i="525" s="1"/>
  <c r="G27" i="499"/>
  <c r="G23" i="499" s="1"/>
  <c r="G27" i="503"/>
  <c r="G23" i="503" s="1"/>
  <c r="G27" i="517"/>
  <c r="G23" i="517" s="1"/>
  <c r="G27" i="535"/>
  <c r="G23" i="535" s="1"/>
  <c r="G27" i="531"/>
  <c r="G23" i="531" s="1"/>
  <c r="G27" i="513"/>
  <c r="G23" i="513" s="1"/>
  <c r="G27" i="501"/>
  <c r="G23" i="501" s="1"/>
  <c r="G27" i="521"/>
  <c r="G23" i="521" s="1"/>
  <c r="C27" i="154"/>
  <c r="C27" i="547"/>
  <c r="C27" i="537"/>
  <c r="C27" i="503"/>
  <c r="C27" i="521"/>
  <c r="C27" i="519"/>
  <c r="C27" i="517"/>
  <c r="C27" i="509"/>
  <c r="C27" i="513"/>
  <c r="C27" i="557"/>
  <c r="C27" i="549"/>
  <c r="C27" i="543"/>
  <c r="C27" i="539"/>
  <c r="C27" i="515"/>
  <c r="C27" i="525"/>
  <c r="C27" i="559"/>
  <c r="C27" i="551"/>
  <c r="C27" i="523"/>
  <c r="C27" i="507"/>
  <c r="C27" i="545"/>
  <c r="C27" i="533"/>
  <c r="C27" i="511"/>
  <c r="C27" i="505"/>
  <c r="C27" i="555"/>
  <c r="C27" i="541"/>
  <c r="C27" i="529"/>
  <c r="C27" i="527"/>
  <c r="C27" i="499"/>
  <c r="C27" i="535"/>
  <c r="C27" i="531"/>
  <c r="C27" i="501"/>
  <c r="E19" i="508"/>
  <c r="E25" i="508" s="1"/>
  <c r="F19" i="552"/>
  <c r="F25" i="552" s="1"/>
  <c r="F19" i="518"/>
  <c r="F25" i="518" s="1"/>
  <c r="F19" i="512"/>
  <c r="F19" i="546"/>
  <c r="F25" i="546" s="1"/>
  <c r="F19" i="540"/>
  <c r="F25" i="540" s="1"/>
  <c r="F19" i="556"/>
  <c r="F25" i="556" s="1"/>
  <c r="F19" i="510"/>
  <c r="F25" i="510" s="1"/>
  <c r="F19" i="520"/>
  <c r="F25" i="520" s="1"/>
  <c r="F19" i="528"/>
  <c r="F25" i="528" s="1"/>
  <c r="F19" i="550"/>
  <c r="F25" i="550" s="1"/>
  <c r="F19" i="530"/>
  <c r="F25" i="530" s="1"/>
  <c r="F19" i="516"/>
  <c r="F25" i="516" s="1"/>
  <c r="F19" i="514"/>
  <c r="F25" i="514" s="1"/>
  <c r="F19" i="532"/>
  <c r="F25" i="532" s="1"/>
  <c r="F19" i="558"/>
  <c r="F25" i="558" s="1"/>
  <c r="F19" i="504"/>
  <c r="F25" i="504" s="1"/>
  <c r="F19" i="522"/>
  <c r="F25" i="522" s="1"/>
  <c r="F19" i="544"/>
  <c r="F25" i="544" s="1"/>
  <c r="F19" i="536"/>
  <c r="F25" i="536" s="1"/>
  <c r="F19" i="534"/>
  <c r="F25" i="534" s="1"/>
  <c r="F19" i="506"/>
  <c r="F25" i="506" s="1"/>
  <c r="F19" i="508"/>
  <c r="F25" i="508" s="1"/>
  <c r="F19" i="538"/>
  <c r="F25" i="538" s="1"/>
  <c r="D10" i="545"/>
  <c r="D15" i="536"/>
  <c r="D13" i="536"/>
  <c r="D15" i="512"/>
  <c r="D13" i="512"/>
  <c r="D15" i="542"/>
  <c r="D13" i="542"/>
  <c r="D15" i="532"/>
  <c r="D13" i="532"/>
  <c r="D15" i="556"/>
  <c r="D13" i="556"/>
  <c r="D15" i="530"/>
  <c r="D13" i="530"/>
  <c r="D15" i="500"/>
  <c r="D13" i="500"/>
  <c r="D15" i="516"/>
  <c r="D13" i="516"/>
  <c r="D15" i="498"/>
  <c r="D13" i="498"/>
  <c r="D15" i="554"/>
  <c r="D13" i="554"/>
  <c r="D10" i="501"/>
  <c r="D15" i="534"/>
  <c r="D13" i="534"/>
  <c r="D15" i="550"/>
  <c r="D13" i="550"/>
  <c r="D15" i="510"/>
  <c r="D13" i="510"/>
  <c r="D15" i="514"/>
  <c r="D13" i="514"/>
  <c r="D15" i="546"/>
  <c r="D13" i="546"/>
  <c r="D15" i="520"/>
  <c r="D13" i="520"/>
  <c r="D15" i="552"/>
  <c r="D13" i="552"/>
  <c r="D15" i="506"/>
  <c r="D13" i="506"/>
  <c r="D15" i="540"/>
  <c r="D13" i="540"/>
  <c r="D15" i="558"/>
  <c r="D13" i="558"/>
  <c r="D15" i="504"/>
  <c r="D13" i="504"/>
  <c r="D15" i="522"/>
  <c r="D13" i="522"/>
  <c r="D15" i="544"/>
  <c r="D13" i="544"/>
  <c r="D15" i="518"/>
  <c r="D13" i="518"/>
  <c r="D15" i="508"/>
  <c r="D13" i="508"/>
  <c r="D15" i="524"/>
  <c r="D13" i="524"/>
  <c r="D15" i="502"/>
  <c r="D13" i="502"/>
  <c r="D15" i="548"/>
  <c r="D13" i="548"/>
  <c r="D15" i="538"/>
  <c r="D13" i="538"/>
  <c r="D15" i="528"/>
  <c r="D13" i="528"/>
  <c r="D15" i="526"/>
  <c r="D13" i="526"/>
  <c r="F19" i="459"/>
  <c r="F25" i="459" s="1"/>
  <c r="F19" i="477"/>
  <c r="F25" i="477" s="1"/>
  <c r="F19" i="469"/>
  <c r="F25" i="469" s="1"/>
  <c r="F19" i="463"/>
  <c r="F25" i="463" s="1"/>
  <c r="F19" i="471"/>
  <c r="F25" i="471" s="1"/>
  <c r="E19" i="465"/>
  <c r="E25" i="465" s="1"/>
  <c r="F19" i="445"/>
  <c r="F25" i="445" s="1"/>
  <c r="E19" i="477"/>
  <c r="E25" i="477" s="1"/>
  <c r="E19" i="467"/>
  <c r="E25" i="467" s="1"/>
  <c r="F19" i="465"/>
  <c r="F25" i="465" s="1"/>
  <c r="E19" i="473"/>
  <c r="E25" i="473" s="1"/>
  <c r="F19" i="473"/>
  <c r="F25" i="473" s="1"/>
  <c r="F19" i="467"/>
  <c r="F25" i="467" s="1"/>
  <c r="F19" i="461"/>
  <c r="F25" i="461" s="1"/>
  <c r="E19" i="471"/>
  <c r="E25" i="471" s="1"/>
  <c r="F19" i="475"/>
  <c r="F25" i="475" s="1"/>
  <c r="E19" i="475"/>
  <c r="E25" i="475" s="1"/>
  <c r="E19" i="459"/>
  <c r="E25" i="459" s="1"/>
  <c r="E19" i="461"/>
  <c r="E25" i="461" s="1"/>
  <c r="E19" i="463"/>
  <c r="E25" i="463" s="1"/>
  <c r="D13" i="455"/>
  <c r="D19" i="455" s="1"/>
  <c r="D25" i="455" s="1"/>
  <c r="D15" i="461"/>
  <c r="D13" i="461"/>
  <c r="G27" i="315"/>
  <c r="G23" i="315" s="1"/>
  <c r="G27" i="474"/>
  <c r="G23" i="474" s="1"/>
  <c r="G27" i="468"/>
  <c r="G23" i="468" s="1"/>
  <c r="G27" i="464"/>
  <c r="G23" i="464" s="1"/>
  <c r="G27" i="462"/>
  <c r="G23" i="462" s="1"/>
  <c r="G27" i="460"/>
  <c r="G23" i="460" s="1"/>
  <c r="G27" i="470"/>
  <c r="G23" i="470" s="1"/>
  <c r="G27" i="466"/>
  <c r="G23" i="466" s="1"/>
  <c r="G27" i="472"/>
  <c r="G23" i="472" s="1"/>
  <c r="G27" i="456"/>
  <c r="G23" i="456" s="1"/>
  <c r="G27" i="454"/>
  <c r="G23" i="454" s="1"/>
  <c r="G27" i="476"/>
  <c r="G23" i="476" s="1"/>
  <c r="G27" i="478"/>
  <c r="G23" i="478" s="1"/>
  <c r="D15" i="459"/>
  <c r="D13" i="459"/>
  <c r="D15" i="469"/>
  <c r="D13" i="469"/>
  <c r="F19" i="449"/>
  <c r="F25" i="449" s="1"/>
  <c r="E19" i="469"/>
  <c r="E25" i="469" s="1"/>
  <c r="D15" i="473"/>
  <c r="D13" i="473"/>
  <c r="D15" i="471"/>
  <c r="D13" i="471"/>
  <c r="D15" i="465"/>
  <c r="D13" i="465"/>
  <c r="D13" i="477"/>
  <c r="D15" i="477"/>
  <c r="C27" i="376"/>
  <c r="C27" i="478"/>
  <c r="C27" i="476"/>
  <c r="C27" i="474"/>
  <c r="C27" i="468"/>
  <c r="C27" i="464"/>
  <c r="C27" i="462"/>
  <c r="C27" i="460"/>
  <c r="C27" i="470"/>
  <c r="C27" i="466"/>
  <c r="C27" i="454"/>
  <c r="C27" i="456"/>
  <c r="C27" i="472"/>
  <c r="D15" i="463"/>
  <c r="D13" i="463"/>
  <c r="D15" i="475"/>
  <c r="D13" i="475"/>
  <c r="D15" i="467"/>
  <c r="D13" i="467"/>
  <c r="F19" i="437"/>
  <c r="F25" i="437" s="1"/>
  <c r="F19" i="308"/>
  <c r="F25" i="308" s="1"/>
  <c r="F19" i="457"/>
  <c r="F25" i="457" s="1"/>
  <c r="E19" i="437"/>
  <c r="E25" i="437" s="1"/>
  <c r="E19" i="423"/>
  <c r="E25" i="423" s="1"/>
  <c r="F19" i="401"/>
  <c r="F25" i="401" s="1"/>
  <c r="F19" i="435"/>
  <c r="F25" i="435" s="1"/>
  <c r="E19" i="439"/>
  <c r="E25" i="439" s="1"/>
  <c r="E19" i="457"/>
  <c r="E25" i="457" s="1"/>
  <c r="E19" i="411"/>
  <c r="E25" i="411" s="1"/>
  <c r="F19" i="413"/>
  <c r="F25" i="413" s="1"/>
  <c r="E19" i="429"/>
  <c r="E25" i="429" s="1"/>
  <c r="F19" i="417"/>
  <c r="F25" i="417" s="1"/>
  <c r="F19" i="425"/>
  <c r="F25" i="425" s="1"/>
  <c r="D13" i="452"/>
  <c r="D19" i="452" s="1"/>
  <c r="D25" i="452" s="1"/>
  <c r="E19" i="431"/>
  <c r="E25" i="431" s="1"/>
  <c r="F19" i="421"/>
  <c r="F25" i="421" s="1"/>
  <c r="D15" i="457"/>
  <c r="D13" i="457"/>
  <c r="F19" i="411"/>
  <c r="F25" i="411" s="1"/>
  <c r="F19" i="403"/>
  <c r="F25" i="403" s="1"/>
  <c r="E19" i="409"/>
  <c r="E25" i="409" s="1"/>
  <c r="F19" i="443"/>
  <c r="F25" i="443" s="1"/>
  <c r="E19" i="417"/>
  <c r="E25" i="417" s="1"/>
  <c r="F19" i="419"/>
  <c r="F25" i="419" s="1"/>
  <c r="E19" i="447"/>
  <c r="E25" i="447" s="1"/>
  <c r="E19" i="421"/>
  <c r="E25" i="421" s="1"/>
  <c r="E19" i="392"/>
  <c r="E25" i="392" s="1"/>
  <c r="E19" i="445"/>
  <c r="E25" i="445" s="1"/>
  <c r="F19" i="441"/>
  <c r="F25" i="441" s="1"/>
  <c r="F19" i="439"/>
  <c r="F25" i="439" s="1"/>
  <c r="F19" i="433"/>
  <c r="F25" i="433" s="1"/>
  <c r="F19" i="423"/>
  <c r="F25" i="423" s="1"/>
  <c r="E19" i="419"/>
  <c r="E25" i="419" s="1"/>
  <c r="F19" i="409"/>
  <c r="F25" i="409" s="1"/>
  <c r="E19" i="413"/>
  <c r="E25" i="413" s="1"/>
  <c r="F19" i="415"/>
  <c r="F25" i="415" s="1"/>
  <c r="F19" i="431"/>
  <c r="F25" i="431" s="1"/>
  <c r="C27" i="171"/>
  <c r="C27" i="453"/>
  <c r="F19" i="447"/>
  <c r="F25" i="447" s="1"/>
  <c r="E19" i="425"/>
  <c r="E25" i="425" s="1"/>
  <c r="E19" i="401"/>
  <c r="E25" i="401" s="1"/>
  <c r="F19" i="429"/>
  <c r="F25" i="429" s="1"/>
  <c r="E19" i="449"/>
  <c r="E25" i="449" s="1"/>
  <c r="E19" i="441"/>
  <c r="E25" i="441" s="1"/>
  <c r="E19" i="435"/>
  <c r="E25" i="435" s="1"/>
  <c r="E19" i="415"/>
  <c r="E25" i="415" s="1"/>
  <c r="E19" i="443"/>
  <c r="E25" i="443" s="1"/>
  <c r="G27" i="176"/>
  <c r="G27" i="453"/>
  <c r="G23" i="453" s="1"/>
  <c r="E19" i="433"/>
  <c r="E25" i="433" s="1"/>
  <c r="D15" i="421"/>
  <c r="D13" i="421"/>
  <c r="D15" i="423"/>
  <c r="D13" i="423"/>
  <c r="D15" i="437"/>
  <c r="D13" i="437"/>
  <c r="D10" i="450"/>
  <c r="D15" i="439"/>
  <c r="D13" i="439"/>
  <c r="E27" i="450"/>
  <c r="E27" i="444"/>
  <c r="E27" i="438"/>
  <c r="E27" i="436"/>
  <c r="E27" i="448"/>
  <c r="E27" i="446"/>
  <c r="E27" i="432"/>
  <c r="E27" i="420"/>
  <c r="E27" i="440"/>
  <c r="E27" i="426"/>
  <c r="E27" i="430"/>
  <c r="E27" i="424"/>
  <c r="E27" i="442"/>
  <c r="E27" i="412"/>
  <c r="E27" i="410"/>
  <c r="E27" i="418"/>
  <c r="E27" i="416"/>
  <c r="E27" i="422"/>
  <c r="E27" i="414"/>
  <c r="E27" i="434"/>
  <c r="E19" i="403"/>
  <c r="E25" i="403" s="1"/>
  <c r="D15" i="443"/>
  <c r="D13" i="443"/>
  <c r="D15" i="449"/>
  <c r="D13" i="449"/>
  <c r="E26" i="424"/>
  <c r="E26" i="442"/>
  <c r="E26" i="434"/>
  <c r="E26" i="450"/>
  <c r="E26" i="444"/>
  <c r="E26" i="438"/>
  <c r="E26" i="436"/>
  <c r="E26" i="422"/>
  <c r="E26" i="448"/>
  <c r="E26" i="446"/>
  <c r="E26" i="432"/>
  <c r="E26" i="420"/>
  <c r="E26" i="440"/>
  <c r="E26" i="426"/>
  <c r="E26" i="414"/>
  <c r="E26" i="412"/>
  <c r="E26" i="430"/>
  <c r="E26" i="418"/>
  <c r="E26" i="410"/>
  <c r="E26" i="416"/>
  <c r="D15" i="419"/>
  <c r="D13" i="419"/>
  <c r="D15" i="429"/>
  <c r="D13" i="429"/>
  <c r="D15" i="433"/>
  <c r="D13" i="433"/>
  <c r="D15" i="431"/>
  <c r="D13" i="431"/>
  <c r="D15" i="435"/>
  <c r="D13" i="435"/>
  <c r="D15" i="417"/>
  <c r="D13" i="417"/>
  <c r="G27" i="448"/>
  <c r="G23" i="448" s="1"/>
  <c r="G27" i="446"/>
  <c r="G23" i="446" s="1"/>
  <c r="G27" i="432"/>
  <c r="G23" i="432" s="1"/>
  <c r="G27" i="420"/>
  <c r="G23" i="420" s="1"/>
  <c r="G27" i="440"/>
  <c r="G23" i="440" s="1"/>
  <c r="G27" i="426"/>
  <c r="G23" i="426" s="1"/>
  <c r="G27" i="430"/>
  <c r="G23" i="430" s="1"/>
  <c r="G27" i="424"/>
  <c r="G23" i="424" s="1"/>
  <c r="G27" i="442"/>
  <c r="G23" i="442" s="1"/>
  <c r="G27" i="434"/>
  <c r="G23" i="434" s="1"/>
  <c r="G27" i="438"/>
  <c r="G23" i="438" s="1"/>
  <c r="G27" i="436"/>
  <c r="G23" i="436" s="1"/>
  <c r="G27" i="444"/>
  <c r="G23" i="444" s="1"/>
  <c r="G27" i="410"/>
  <c r="G23" i="410" s="1"/>
  <c r="G27" i="418"/>
  <c r="G23" i="418" s="1"/>
  <c r="G27" i="416"/>
  <c r="G23" i="416" s="1"/>
  <c r="G27" i="422"/>
  <c r="G23" i="422" s="1"/>
  <c r="G27" i="414"/>
  <c r="G23" i="414" s="1"/>
  <c r="G27" i="450"/>
  <c r="G23" i="450" s="1"/>
  <c r="G27" i="412"/>
  <c r="G23" i="412" s="1"/>
  <c r="D15" i="411"/>
  <c r="D13" i="411"/>
  <c r="D15" i="445"/>
  <c r="D13" i="445"/>
  <c r="D15" i="447"/>
  <c r="D13" i="447"/>
  <c r="D15" i="441"/>
  <c r="D13" i="441"/>
  <c r="D15" i="413"/>
  <c r="D13" i="413"/>
  <c r="D15" i="415"/>
  <c r="D13" i="415"/>
  <c r="D15" i="425"/>
  <c r="D13" i="425"/>
  <c r="D15" i="409"/>
  <c r="D13" i="409"/>
  <c r="F19" i="399"/>
  <c r="F25" i="399" s="1"/>
  <c r="E19" i="408"/>
  <c r="E25" i="408" s="1"/>
  <c r="F19" i="398"/>
  <c r="F25" i="398" s="1"/>
  <c r="E19" i="394"/>
  <c r="E25" i="394" s="1"/>
  <c r="E19" i="396"/>
  <c r="E25" i="396" s="1"/>
  <c r="E19" i="390"/>
  <c r="E25" i="390" s="1"/>
  <c r="F19" i="390"/>
  <c r="F25" i="390" s="1"/>
  <c r="F19" i="392"/>
  <c r="F25" i="392" s="1"/>
  <c r="E19" i="399"/>
  <c r="E25" i="399" s="1"/>
  <c r="F19" i="396"/>
  <c r="F25" i="396" s="1"/>
  <c r="E19" i="398"/>
  <c r="E25" i="398" s="1"/>
  <c r="D15" i="399"/>
  <c r="D13" i="399"/>
  <c r="G27" i="142"/>
  <c r="G23" i="142" s="1"/>
  <c r="G27" i="397"/>
  <c r="G23" i="397" s="1"/>
  <c r="G27" i="400"/>
  <c r="G23" i="400" s="1"/>
  <c r="G27" i="395"/>
  <c r="G23" i="395" s="1"/>
  <c r="G27" i="404"/>
  <c r="G23" i="404" s="1"/>
  <c r="G27" i="393"/>
  <c r="G23" i="393" s="1"/>
  <c r="G27" i="402"/>
  <c r="G23" i="402" s="1"/>
  <c r="G27" i="391"/>
  <c r="G23" i="391" s="1"/>
  <c r="G27" i="389"/>
  <c r="G23" i="389" s="1"/>
  <c r="G27" i="405"/>
  <c r="G23" i="405" s="1"/>
  <c r="D13" i="398"/>
  <c r="D15" i="398"/>
  <c r="D15" i="390"/>
  <c r="D13" i="390"/>
  <c r="C27" i="138"/>
  <c r="C27" i="389"/>
  <c r="C27" i="405"/>
  <c r="C27" i="397"/>
  <c r="C27" i="400"/>
  <c r="C27" i="404"/>
  <c r="C27" i="393"/>
  <c r="C27" i="391"/>
  <c r="C27" i="395"/>
  <c r="C27" i="402"/>
  <c r="D15" i="403"/>
  <c r="D13" i="403"/>
  <c r="D15" i="408"/>
  <c r="D13" i="408"/>
  <c r="F19" i="408"/>
  <c r="F25" i="408" s="1"/>
  <c r="F19" i="394"/>
  <c r="F25" i="394" s="1"/>
  <c r="D15" i="396"/>
  <c r="D13" i="396"/>
  <c r="D15" i="394"/>
  <c r="D13" i="394"/>
  <c r="D15" i="392"/>
  <c r="D13" i="392"/>
  <c r="D15" i="401"/>
  <c r="D13" i="401"/>
  <c r="G27" i="208"/>
  <c r="G27" i="182"/>
  <c r="D15" i="308"/>
  <c r="D13" i="308"/>
  <c r="E19" i="19"/>
  <c r="E26" i="183"/>
  <c r="F9" i="132"/>
  <c r="G26" i="183"/>
  <c r="D13" i="91"/>
  <c r="D19" i="91" s="1"/>
  <c r="D25" i="91" s="1"/>
  <c r="D33" i="2" s="1"/>
  <c r="D13" i="211"/>
  <c r="D19" i="211" s="1"/>
  <c r="D25" i="211" s="1"/>
  <c r="D15" i="2" s="1"/>
  <c r="D13" i="72"/>
  <c r="D19" i="72" s="1"/>
  <c r="D25" i="72" s="1"/>
  <c r="D108" i="2" s="1"/>
  <c r="D15" i="64"/>
  <c r="D19" i="64" s="1"/>
  <c r="D25" i="64" s="1"/>
  <c r="D7" i="2" s="1"/>
  <c r="D13" i="298"/>
  <c r="D19" i="298" s="1"/>
  <c r="D25" i="298" s="1"/>
  <c r="D15" i="234"/>
  <c r="D19" i="234" s="1"/>
  <c r="D25" i="234" s="1"/>
  <c r="D56" i="2" s="1"/>
  <c r="D13" i="267"/>
  <c r="D19" i="267" s="1"/>
  <c r="D25" i="267" s="1"/>
  <c r="D86" i="2" s="1"/>
  <c r="D13" i="370"/>
  <c r="D19" i="370" s="1"/>
  <c r="D25" i="370" s="1"/>
  <c r="D13" i="302"/>
  <c r="D19" i="302" s="1"/>
  <c r="D25" i="302" s="1"/>
  <c r="D13" i="257"/>
  <c r="D19" i="257" s="1"/>
  <c r="D25" i="257" s="1"/>
  <c r="D81" i="2" s="1"/>
  <c r="D13" i="318"/>
  <c r="D19" i="318" s="1"/>
  <c r="D25" i="318" s="1"/>
  <c r="D13" i="235"/>
  <c r="D19" i="235" s="1"/>
  <c r="D25" i="235" s="1"/>
  <c r="D69" i="2" s="1"/>
  <c r="D13" i="248"/>
  <c r="D19" i="248" s="1"/>
  <c r="D25" i="248" s="1"/>
  <c r="D76" i="2" s="1"/>
  <c r="D13" i="312"/>
  <c r="D19" i="312" s="1"/>
  <c r="D25" i="312" s="1"/>
  <c r="D15" i="324"/>
  <c r="D19" i="324" s="1"/>
  <c r="D25" i="324" s="1"/>
  <c r="D13" i="74"/>
  <c r="D19" i="74" s="1"/>
  <c r="D25" i="74" s="1"/>
  <c r="D106" i="2" s="1"/>
  <c r="D13" i="88"/>
  <c r="D19" i="88" s="1"/>
  <c r="D25" i="88" s="1"/>
  <c r="D20" i="2" s="1"/>
  <c r="D15" i="364"/>
  <c r="D19" i="364" s="1"/>
  <c r="D25" i="364" s="1"/>
  <c r="D13" i="368"/>
  <c r="D19" i="368" s="1"/>
  <c r="D25" i="368" s="1"/>
  <c r="D15" i="62"/>
  <c r="D19" i="62" s="1"/>
  <c r="D25" i="62" s="1"/>
  <c r="D104" i="2" s="1"/>
  <c r="D13" i="92"/>
  <c r="D19" i="92" s="1"/>
  <c r="D25" i="92" s="1"/>
  <c r="D29" i="2" s="1"/>
  <c r="D15" i="344"/>
  <c r="D19" i="344" s="1"/>
  <c r="D25" i="344" s="1"/>
  <c r="D13" i="232"/>
  <c r="D19" i="232" s="1"/>
  <c r="D25" i="232" s="1"/>
  <c r="D57" i="2" s="1"/>
  <c r="D13" i="265"/>
  <c r="D19" i="265" s="1"/>
  <c r="D25" i="265" s="1"/>
  <c r="D85" i="2" s="1"/>
  <c r="D13" i="102"/>
  <c r="D19" i="102" s="1"/>
  <c r="D25" i="102" s="1"/>
  <c r="D109" i="2" s="1"/>
  <c r="D15" i="100"/>
  <c r="D19" i="100" s="1"/>
  <c r="D25" i="100" s="1"/>
  <c r="D54" i="2" s="1"/>
  <c r="D13" i="230"/>
  <c r="D19" i="230" s="1"/>
  <c r="D25" i="230" s="1"/>
  <c r="D46" i="2" s="1"/>
  <c r="D13" i="342"/>
  <c r="D19" i="342" s="1"/>
  <c r="D25" i="342" s="1"/>
  <c r="C27" i="323"/>
  <c r="C27" i="250"/>
  <c r="C27" i="168"/>
  <c r="D13" i="304"/>
  <c r="D19" i="304" s="1"/>
  <c r="D25" i="304" s="1"/>
  <c r="C27" i="329"/>
  <c r="D15" i="44"/>
  <c r="D19" i="44" s="1"/>
  <c r="D25" i="44" s="1"/>
  <c r="D98" i="2" s="1"/>
  <c r="C27" i="279"/>
  <c r="C27" i="355"/>
  <c r="D13" i="381"/>
  <c r="D19" i="381" s="1"/>
  <c r="D25" i="381" s="1"/>
  <c r="C27" i="351"/>
  <c r="C27" i="319"/>
  <c r="C27" i="166"/>
  <c r="C27" i="315"/>
  <c r="C27" i="331"/>
  <c r="C27" i="277"/>
  <c r="C27" i="327"/>
  <c r="C27" i="162"/>
  <c r="C27" i="236"/>
  <c r="C27" i="167"/>
  <c r="C27" i="345"/>
  <c r="C27" i="240"/>
  <c r="C27" i="353"/>
  <c r="C27" i="244"/>
  <c r="C27" i="339"/>
  <c r="C27" i="246"/>
  <c r="C27" i="169"/>
  <c r="C27" i="325"/>
  <c r="C27" i="282"/>
  <c r="C27" i="313"/>
  <c r="C27" i="337"/>
  <c r="C27" i="165"/>
  <c r="C27" i="242"/>
  <c r="C27" i="359"/>
  <c r="C27" i="260"/>
  <c r="C27" i="341"/>
  <c r="C27" i="284"/>
  <c r="C27" i="252"/>
  <c r="C27" i="256"/>
  <c r="C27" i="262"/>
  <c r="C27" i="343"/>
  <c r="D15" i="340"/>
  <c r="D19" i="340" s="1"/>
  <c r="D25" i="340" s="1"/>
  <c r="C27" i="321"/>
  <c r="C27" i="258"/>
  <c r="C27" i="382"/>
  <c r="C27" i="266"/>
  <c r="C27" i="367"/>
  <c r="C27" i="378"/>
  <c r="D13" i="352"/>
  <c r="D19" i="352" s="1"/>
  <c r="D25" i="352" s="1"/>
  <c r="C27" i="238"/>
  <c r="C27" i="361"/>
  <c r="C27" i="268"/>
  <c r="C27" i="347"/>
  <c r="C27" i="264"/>
  <c r="C27" i="164"/>
  <c r="C27" i="271"/>
  <c r="C27" i="369"/>
  <c r="C27" i="317"/>
  <c r="G9" i="305"/>
  <c r="H10" i="305" s="1"/>
  <c r="G9" i="147"/>
  <c r="H10" i="147" s="1"/>
  <c r="G9" i="156"/>
  <c r="H10" i="156" s="1"/>
  <c r="G9" i="158"/>
  <c r="H10" i="158" s="1"/>
  <c r="G9" i="157"/>
  <c r="H10" i="157" s="1"/>
  <c r="G9" i="149"/>
  <c r="H10" i="149" s="1"/>
  <c r="G9" i="160"/>
  <c r="H10" i="160" s="1"/>
  <c r="G9" i="307"/>
  <c r="H10" i="307" s="1"/>
  <c r="G9" i="161"/>
  <c r="H10" i="161" s="1"/>
  <c r="G9" i="301"/>
  <c r="H10" i="301" s="1"/>
  <c r="G9" i="159"/>
  <c r="H10" i="159" s="1"/>
  <c r="G9" i="386"/>
  <c r="H10" i="386" s="1"/>
  <c r="G9" i="153"/>
  <c r="H10" i="153" s="1"/>
  <c r="G9" i="299"/>
  <c r="H10" i="299" s="1"/>
  <c r="G9" i="151"/>
  <c r="H10" i="151" s="1"/>
  <c r="G9" i="154"/>
  <c r="H10" i="154" s="1"/>
  <c r="G9" i="155"/>
  <c r="H10" i="155" s="1"/>
  <c r="G9" i="319"/>
  <c r="H10" i="319" s="1"/>
  <c r="G9" i="282"/>
  <c r="H10" i="282" s="1"/>
  <c r="G9" i="376"/>
  <c r="H10" i="376" s="1"/>
  <c r="G9" i="325"/>
  <c r="H10" i="325" s="1"/>
  <c r="G9" i="373"/>
  <c r="H10" i="373" s="1"/>
  <c r="G9" i="323"/>
  <c r="H10" i="323" s="1"/>
  <c r="G9" i="335"/>
  <c r="H10" i="335" s="1"/>
  <c r="G9" i="371"/>
  <c r="H10" i="371" s="1"/>
  <c r="G9" i="353"/>
  <c r="H10" i="353" s="1"/>
  <c r="G9" i="343"/>
  <c r="H10" i="343" s="1"/>
  <c r="G9" i="349"/>
  <c r="H10" i="349" s="1"/>
  <c r="G9" i="378"/>
  <c r="H10" i="378" s="1"/>
  <c r="G9" i="367"/>
  <c r="H10" i="367" s="1"/>
  <c r="G9" i="169"/>
  <c r="H10" i="169" s="1"/>
  <c r="G9" i="339"/>
  <c r="H10" i="339" s="1"/>
  <c r="G9" i="341"/>
  <c r="H10" i="341" s="1"/>
  <c r="G9" i="369"/>
  <c r="H10" i="369" s="1"/>
  <c r="G9" i="380"/>
  <c r="H10" i="380" s="1"/>
  <c r="G9" i="333"/>
  <c r="H10" i="333" s="1"/>
  <c r="G9" i="382"/>
  <c r="H10" i="382" s="1"/>
  <c r="G9" i="331"/>
  <c r="H10" i="331" s="1"/>
  <c r="G9" i="359"/>
  <c r="H10" i="359" s="1"/>
  <c r="G9" i="355"/>
  <c r="H10" i="355" s="1"/>
  <c r="G9" i="363"/>
  <c r="H10" i="363" s="1"/>
  <c r="G9" i="321"/>
  <c r="H10" i="321" s="1"/>
  <c r="G9" i="277"/>
  <c r="H10" i="277" s="1"/>
  <c r="G9" i="345"/>
  <c r="H10" i="345" s="1"/>
  <c r="G9" i="167"/>
  <c r="H10" i="167" s="1"/>
  <c r="G9" i="279"/>
  <c r="H10" i="279" s="1"/>
  <c r="G9" i="273"/>
  <c r="H10" i="273" s="1"/>
  <c r="G9" i="264"/>
  <c r="H10" i="264" s="1"/>
  <c r="G9" i="162"/>
  <c r="H10" i="162" s="1"/>
  <c r="G9" i="173"/>
  <c r="H10" i="173" s="1"/>
  <c r="G9" i="197"/>
  <c r="H10" i="197" s="1"/>
  <c r="G9" i="313"/>
  <c r="H10" i="313" s="1"/>
  <c r="G9" i="223"/>
  <c r="H10" i="223" s="1"/>
  <c r="G9" i="175"/>
  <c r="H10" i="175" s="1"/>
  <c r="G9" i="252"/>
  <c r="H10" i="252" s="1"/>
  <c r="G9" i="177"/>
  <c r="H10" i="177" s="1"/>
  <c r="G9" i="204"/>
  <c r="H10" i="204" s="1"/>
  <c r="G9" i="176"/>
  <c r="H10" i="176" s="1"/>
  <c r="G9" i="233"/>
  <c r="H10" i="233" s="1"/>
  <c r="G9" i="166"/>
  <c r="H10" i="166" s="1"/>
  <c r="G9" i="254"/>
  <c r="H10" i="254" s="1"/>
  <c r="G9" i="195"/>
  <c r="H10" i="195" s="1"/>
  <c r="G9" i="256"/>
  <c r="H10" i="256" s="1"/>
  <c r="G9" i="275"/>
  <c r="H10" i="275" s="1"/>
  <c r="G9" i="309"/>
  <c r="H10" i="309" s="1"/>
  <c r="G9" i="179"/>
  <c r="H10" i="179" s="1"/>
  <c r="G9" i="181"/>
  <c r="H10" i="181" s="1"/>
  <c r="G9" i="208"/>
  <c r="H10" i="208" s="1"/>
  <c r="G9" i="180"/>
  <c r="H10" i="180" s="1"/>
  <c r="G9" i="240"/>
  <c r="H10" i="240" s="1"/>
  <c r="G9" i="266"/>
  <c r="H10" i="266" s="1"/>
  <c r="G9" i="196"/>
  <c r="H10" i="196" s="1"/>
  <c r="G9" i="164"/>
  <c r="H10" i="164" s="1"/>
  <c r="G9" i="194"/>
  <c r="H10" i="194" s="1"/>
  <c r="G9" i="231"/>
  <c r="H10" i="231" s="1"/>
  <c r="G9" i="174"/>
  <c r="H10" i="174" s="1"/>
  <c r="G9" i="218"/>
  <c r="H10" i="218" s="1"/>
  <c r="G9" i="284"/>
  <c r="H10" i="284" s="1"/>
  <c r="G9" i="238"/>
  <c r="H10" i="238" s="1"/>
  <c r="G9" i="192"/>
  <c r="H10" i="192" s="1"/>
  <c r="G9" i="170"/>
  <c r="H10" i="170" s="1"/>
  <c r="G9" i="236"/>
  <c r="H10" i="236" s="1"/>
  <c r="G9" i="207"/>
  <c r="H10" i="207" s="1"/>
  <c r="G9" i="200"/>
  <c r="H10" i="200" s="1"/>
  <c r="G9" i="199"/>
  <c r="H10" i="199" s="1"/>
  <c r="G9" i="171"/>
  <c r="H10" i="171" s="1"/>
  <c r="G9" i="202"/>
  <c r="H10" i="202" s="1"/>
  <c r="G9" i="258"/>
  <c r="H10" i="258" s="1"/>
  <c r="G9" i="260"/>
  <c r="H10" i="260" s="1"/>
  <c r="G9" i="221"/>
  <c r="H10" i="221" s="1"/>
  <c r="G9" i="229"/>
  <c r="H10" i="229" s="1"/>
  <c r="G9" i="271"/>
  <c r="H10" i="271" s="1"/>
  <c r="G9" i="198"/>
  <c r="H10" i="198" s="1"/>
  <c r="G9" i="201"/>
  <c r="H10" i="201" s="1"/>
  <c r="G9" i="315"/>
  <c r="H10" i="315" s="1"/>
  <c r="G9" i="185"/>
  <c r="H10" i="185" s="1"/>
  <c r="G9" i="187"/>
  <c r="H10" i="187" s="1"/>
  <c r="G9" i="188"/>
  <c r="H10" i="188" s="1"/>
  <c r="G9" i="189"/>
  <c r="H10" i="189" s="1"/>
  <c r="G9" i="191"/>
  <c r="H10" i="191" s="1"/>
  <c r="G9" i="182"/>
  <c r="H10" i="182" s="1"/>
  <c r="G9" i="184"/>
  <c r="H10" i="184" s="1"/>
  <c r="G9" i="183"/>
  <c r="H10" i="183" s="1"/>
  <c r="D13" i="263"/>
  <c r="D19" i="263" s="1"/>
  <c r="D25" i="263" s="1"/>
  <c r="D84" i="2" s="1"/>
  <c r="D13" i="86"/>
  <c r="D19" i="86" s="1"/>
  <c r="D25" i="86" s="1"/>
  <c r="D27" i="2" s="1"/>
  <c r="D15" i="45"/>
  <c r="D19" i="45" s="1"/>
  <c r="D25" i="45" s="1"/>
  <c r="D107" i="2" s="1"/>
  <c r="D13" i="374"/>
  <c r="D19" i="374" s="1"/>
  <c r="D25" i="374" s="1"/>
  <c r="D13" i="83"/>
  <c r="D19" i="83" s="1"/>
  <c r="D25" i="83" s="1"/>
  <c r="D37" i="2" s="1"/>
  <c r="C26" i="139"/>
  <c r="D13" i="106"/>
  <c r="D19" i="106" s="1"/>
  <c r="D25" i="106" s="1"/>
  <c r="D105" i="2" s="1"/>
  <c r="D13" i="81"/>
  <c r="D19" i="81" s="1"/>
  <c r="D25" i="81" s="1"/>
  <c r="D31" i="2" s="1"/>
  <c r="D15" i="239"/>
  <c r="D19" i="239" s="1"/>
  <c r="D25" i="239" s="1"/>
  <c r="D71" i="2" s="1"/>
  <c r="D13" i="29"/>
  <c r="D19" i="29" s="1"/>
  <c r="D25" i="29" s="1"/>
  <c r="D35" i="2" s="1"/>
  <c r="D15" i="360"/>
  <c r="D19" i="360" s="1"/>
  <c r="D25" i="360" s="1"/>
  <c r="D13" i="217"/>
  <c r="D19" i="217" s="1"/>
  <c r="D25" i="217" s="1"/>
  <c r="D41" i="2" s="1"/>
  <c r="D13" i="272"/>
  <c r="D19" i="272" s="1"/>
  <c r="D25" i="272" s="1"/>
  <c r="D88" i="2" s="1"/>
  <c r="D13" i="103"/>
  <c r="D19" i="103" s="1"/>
  <c r="D25" i="103" s="1"/>
  <c r="D96" i="2" s="1"/>
  <c r="D15" i="245"/>
  <c r="D19" i="245" s="1"/>
  <c r="D25" i="245" s="1"/>
  <c r="D74" i="2" s="1"/>
  <c r="D13" i="274"/>
  <c r="D19" i="274" s="1"/>
  <c r="D25" i="274" s="1"/>
  <c r="D89" i="2" s="1"/>
  <c r="D13" i="334"/>
  <c r="D19" i="334" s="1"/>
  <c r="D25" i="334" s="1"/>
  <c r="D15" i="269"/>
  <c r="D19" i="269" s="1"/>
  <c r="D25" i="269" s="1"/>
  <c r="D87" i="2" s="1"/>
  <c r="D13" i="42"/>
  <c r="D19" i="42" s="1"/>
  <c r="D25" i="42" s="1"/>
  <c r="D94" i="2" s="1"/>
  <c r="D13" i="383"/>
  <c r="D19" i="383" s="1"/>
  <c r="D25" i="383" s="1"/>
  <c r="D13" i="77"/>
  <c r="D19" i="77" s="1"/>
  <c r="D25" i="77" s="1"/>
  <c r="D34" i="2" s="1"/>
  <c r="D15" i="328"/>
  <c r="D19" i="328" s="1"/>
  <c r="D25" i="328" s="1"/>
  <c r="D15" i="71"/>
  <c r="D19" i="71" s="1"/>
  <c r="D25" i="71" s="1"/>
  <c r="D17" i="2" s="1"/>
  <c r="D13" i="261"/>
  <c r="D19" i="261" s="1"/>
  <c r="D25" i="261" s="1"/>
  <c r="D83" i="2" s="1"/>
  <c r="D13" i="39"/>
  <c r="D19" i="39" s="1"/>
  <c r="D25" i="39" s="1"/>
  <c r="D38" i="2" s="1"/>
  <c r="D15" i="82"/>
  <c r="D19" i="82" s="1"/>
  <c r="D25" i="82" s="1"/>
  <c r="D93" i="2" s="1"/>
  <c r="C27" i="349"/>
  <c r="C27" i="311"/>
  <c r="C27" i="273"/>
  <c r="C27" i="363"/>
  <c r="C27" i="249"/>
  <c r="C27" i="333"/>
  <c r="C27" i="371"/>
  <c r="C27" i="357"/>
  <c r="C27" i="380"/>
  <c r="D13" i="379"/>
  <c r="D19" i="379" s="1"/>
  <c r="D25" i="379" s="1"/>
  <c r="C27" i="163"/>
  <c r="C27" i="384"/>
  <c r="C27" i="275"/>
  <c r="C27" i="365"/>
  <c r="C27" i="254"/>
  <c r="C27" i="335"/>
  <c r="C27" i="373"/>
  <c r="C26" i="141"/>
  <c r="C27" i="295"/>
  <c r="D15" i="228"/>
  <c r="D19" i="228" s="1"/>
  <c r="D25" i="228" s="1"/>
  <c r="D45" i="2" s="1"/>
  <c r="D13" i="40"/>
  <c r="D19" i="40" s="1"/>
  <c r="D25" i="40" s="1"/>
  <c r="D14" i="2" s="1"/>
  <c r="D13" i="338"/>
  <c r="D19" i="338" s="1"/>
  <c r="D25" i="338" s="1"/>
  <c r="D15" i="105"/>
  <c r="D19" i="105" s="1"/>
  <c r="D25" i="105" s="1"/>
  <c r="D99" i="2" s="1"/>
  <c r="C27" i="161"/>
  <c r="D13" i="59"/>
  <c r="D19" i="59" s="1"/>
  <c r="D25" i="59" s="1"/>
  <c r="D64" i="2" s="1"/>
  <c r="D13" i="243"/>
  <c r="D19" i="243" s="1"/>
  <c r="D25" i="243" s="1"/>
  <c r="D73" i="2" s="1"/>
  <c r="D15" i="366"/>
  <c r="D19" i="366" s="1"/>
  <c r="D25" i="366" s="1"/>
  <c r="D15" i="310"/>
  <c r="D19" i="310" s="1"/>
  <c r="D25" i="310" s="1"/>
  <c r="D13" i="332"/>
  <c r="D19" i="332" s="1"/>
  <c r="D25" i="332" s="1"/>
  <c r="D13" i="104"/>
  <c r="D19" i="104" s="1"/>
  <c r="D25" i="104" s="1"/>
  <c r="D97" i="2" s="1"/>
  <c r="D13" i="49"/>
  <c r="D19" i="49" s="1"/>
  <c r="D25" i="49" s="1"/>
  <c r="D13" i="2" s="1"/>
  <c r="C27" i="157"/>
  <c r="D15" i="354"/>
  <c r="D19" i="354" s="1"/>
  <c r="D25" i="354" s="1"/>
  <c r="D13" i="97"/>
  <c r="D19" i="97" s="1"/>
  <c r="D25" i="97" s="1"/>
  <c r="D51" i="2" s="1"/>
  <c r="C27" i="148"/>
  <c r="D13" i="320"/>
  <c r="D19" i="320" s="1"/>
  <c r="D25" i="320" s="1"/>
  <c r="C27" i="153"/>
  <c r="C27" i="299"/>
  <c r="C27" i="307"/>
  <c r="D13" i="259"/>
  <c r="D19" i="259" s="1"/>
  <c r="D25" i="259" s="1"/>
  <c r="D82" i="2" s="1"/>
  <c r="D13" i="322"/>
  <c r="D19" i="322" s="1"/>
  <c r="D25" i="322" s="1"/>
  <c r="C27" i="149"/>
  <c r="C27" i="155"/>
  <c r="C27" i="305"/>
  <c r="D13" i="87"/>
  <c r="D19" i="87" s="1"/>
  <c r="D25" i="87" s="1"/>
  <c r="D28" i="2" s="1"/>
  <c r="C27" i="301"/>
  <c r="D13" i="66"/>
  <c r="D19" i="66" s="1"/>
  <c r="D25" i="66" s="1"/>
  <c r="D25" i="2" s="1"/>
  <c r="C27" i="156"/>
  <c r="D13" i="68"/>
  <c r="D19" i="68" s="1"/>
  <c r="D25" i="68" s="1"/>
  <c r="D100" i="2" s="1"/>
  <c r="C27" i="303"/>
  <c r="C27" i="151"/>
  <c r="C27" i="386"/>
  <c r="C27" i="150"/>
  <c r="D13" i="350"/>
  <c r="D19" i="350" s="1"/>
  <c r="D25" i="350" s="1"/>
  <c r="C27" i="147"/>
  <c r="C27" i="159"/>
  <c r="C27" i="152"/>
  <c r="D15" i="294"/>
  <c r="D19" i="294" s="1"/>
  <c r="D25" i="294" s="1"/>
  <c r="D13" i="330"/>
  <c r="D19" i="330" s="1"/>
  <c r="D25" i="330" s="1"/>
  <c r="D15" i="276"/>
  <c r="D19" i="276" s="1"/>
  <c r="D25" i="276" s="1"/>
  <c r="D90" i="2" s="1"/>
  <c r="C27" i="158"/>
  <c r="D13" i="241"/>
  <c r="D19" i="241" s="1"/>
  <c r="D25" i="241" s="1"/>
  <c r="D72" i="2" s="1"/>
  <c r="C27" i="297"/>
  <c r="C27" i="160"/>
  <c r="D13" i="61"/>
  <c r="D19" i="61" s="1"/>
  <c r="D25" i="61" s="1"/>
  <c r="D19" i="2" s="1"/>
  <c r="D15" i="43"/>
  <c r="D19" i="43" s="1"/>
  <c r="D25" i="43" s="1"/>
  <c r="D66" i="2" s="1"/>
  <c r="D13" i="96"/>
  <c r="D19" i="96" s="1"/>
  <c r="D25" i="96" s="1"/>
  <c r="D52" i="2" s="1"/>
  <c r="D13" i="222"/>
  <c r="D19" i="222" s="1"/>
  <c r="D25" i="222" s="1"/>
  <c r="D42" i="2" s="1"/>
  <c r="C27" i="175"/>
  <c r="D13" i="48"/>
  <c r="D19" i="48" s="1"/>
  <c r="D25" i="48" s="1"/>
  <c r="D101" i="2" s="1"/>
  <c r="D15" i="336"/>
  <c r="D19" i="336" s="1"/>
  <c r="D25" i="336" s="1"/>
  <c r="D13" i="38"/>
  <c r="D19" i="38" s="1"/>
  <c r="D25" i="38" s="1"/>
  <c r="D26" i="2" s="1"/>
  <c r="D13" i="237"/>
  <c r="D19" i="237" s="1"/>
  <c r="D25" i="237" s="1"/>
  <c r="D70" i="2" s="1"/>
  <c r="D13" i="89"/>
  <c r="D19" i="89" s="1"/>
  <c r="D25" i="89" s="1"/>
  <c r="D22" i="2" s="1"/>
  <c r="D13" i="32"/>
  <c r="D19" i="32" s="1"/>
  <c r="D25" i="32" s="1"/>
  <c r="D55" i="2" s="1"/>
  <c r="D15" i="255"/>
  <c r="D19" i="255" s="1"/>
  <c r="D25" i="255" s="1"/>
  <c r="D80" i="2" s="1"/>
  <c r="D13" i="377"/>
  <c r="D19" i="377" s="1"/>
  <c r="D25" i="377" s="1"/>
  <c r="D13" i="36"/>
  <c r="D19" i="36" s="1"/>
  <c r="D25" i="36" s="1"/>
  <c r="D103" i="2" s="1"/>
  <c r="D15" i="50"/>
  <c r="D19" i="50" s="1"/>
  <c r="D25" i="50" s="1"/>
  <c r="D47" i="2" s="1"/>
  <c r="D13" i="251"/>
  <c r="D19" i="251" s="1"/>
  <c r="D25" i="251" s="1"/>
  <c r="D78" i="2" s="1"/>
  <c r="D15" i="80"/>
  <c r="D19" i="80" s="1"/>
  <c r="D25" i="80" s="1"/>
  <c r="D24" i="2" s="1"/>
  <c r="D13" i="93"/>
  <c r="D19" i="93" s="1"/>
  <c r="D25" i="93" s="1"/>
  <c r="D40" i="2" s="1"/>
  <c r="D15" i="63"/>
  <c r="D19" i="63" s="1"/>
  <c r="D25" i="63" s="1"/>
  <c r="D62" i="2" s="1"/>
  <c r="D13" i="326"/>
  <c r="D19" i="326" s="1"/>
  <c r="D25" i="326" s="1"/>
  <c r="D13" i="278"/>
  <c r="D19" i="278" s="1"/>
  <c r="D25" i="278" s="1"/>
  <c r="D91" i="2" s="1"/>
  <c r="D15" i="346"/>
  <c r="D19" i="346" s="1"/>
  <c r="D25" i="346" s="1"/>
  <c r="D13" i="226"/>
  <c r="D19" i="226" s="1"/>
  <c r="D25" i="226" s="1"/>
  <c r="D44" i="2" s="1"/>
  <c r="D13" i="54"/>
  <c r="D19" i="54" s="1"/>
  <c r="D25" i="54" s="1"/>
  <c r="D23" i="2" s="1"/>
  <c r="D15" i="70"/>
  <c r="D19" i="70" s="1"/>
  <c r="D27" i="70" s="1"/>
  <c r="D8" i="2" s="1"/>
  <c r="D13" i="65"/>
  <c r="D19" i="65" s="1"/>
  <c r="D27" i="65" s="1"/>
  <c r="D9" i="2" s="1"/>
  <c r="D13" i="385"/>
  <c r="D19" i="385" s="1"/>
  <c r="D25" i="385" s="1"/>
  <c r="D13" i="56"/>
  <c r="D19" i="56" s="1"/>
  <c r="D25" i="56" s="1"/>
  <c r="D18" i="2" s="1"/>
  <c r="D13" i="47"/>
  <c r="D19" i="47" s="1"/>
  <c r="D25" i="47" s="1"/>
  <c r="D39" i="2" s="1"/>
  <c r="D13" i="314"/>
  <c r="D19" i="314" s="1"/>
  <c r="D25" i="314" s="1"/>
  <c r="D13" i="16"/>
  <c r="D13" i="280"/>
  <c r="D19" i="280" s="1"/>
  <c r="D25" i="280" s="1"/>
  <c r="D92" i="2" s="1"/>
  <c r="D15" i="372"/>
  <c r="D19" i="372" s="1"/>
  <c r="D25" i="372" s="1"/>
  <c r="D13" i="41"/>
  <c r="D19" i="41" s="1"/>
  <c r="D13" i="98"/>
  <c r="D19" i="98" s="1"/>
  <c r="D25" i="98" s="1"/>
  <c r="D59" i="2" s="1"/>
  <c r="D13" i="348"/>
  <c r="D19" i="348" s="1"/>
  <c r="D25" i="348" s="1"/>
  <c r="D15" i="73"/>
  <c r="D19" i="73" s="1"/>
  <c r="D25" i="73" s="1"/>
  <c r="D67" i="2" s="1"/>
  <c r="D13" i="101"/>
  <c r="D19" i="101" s="1"/>
  <c r="D25" i="101" s="1"/>
  <c r="D65" i="2" s="1"/>
  <c r="D13" i="95"/>
  <c r="D19" i="95" s="1"/>
  <c r="D25" i="95" s="1"/>
  <c r="D50" i="2" s="1"/>
  <c r="D13" i="362"/>
  <c r="D19" i="362" s="1"/>
  <c r="D25" i="362" s="1"/>
  <c r="D13" i="356"/>
  <c r="D19" i="356" s="1"/>
  <c r="D25" i="356" s="1"/>
  <c r="D15" i="296"/>
  <c r="D19" i="296" s="1"/>
  <c r="D25" i="296" s="1"/>
  <c r="D13" i="10"/>
  <c r="C26" i="560" s="1"/>
  <c r="C23" i="560" s="1"/>
  <c r="C21" i="560" s="1"/>
  <c r="D13" i="300"/>
  <c r="D19" i="300" s="1"/>
  <c r="D25" i="300" s="1"/>
  <c r="D15" i="75"/>
  <c r="D19" i="75" s="1"/>
  <c r="D25" i="75" s="1"/>
  <c r="D60" i="2" s="1"/>
  <c r="D13" i="34"/>
  <c r="D19" i="34" s="1"/>
  <c r="D25" i="34" s="1"/>
  <c r="D68" i="2" s="1"/>
  <c r="D15" i="57"/>
  <c r="D19" i="57" s="1"/>
  <c r="D25" i="57" s="1"/>
  <c r="D21" i="2" s="1"/>
  <c r="C27" i="144"/>
  <c r="C27" i="180"/>
  <c r="D15" i="27"/>
  <c r="D19" i="27" s="1"/>
  <c r="D25" i="27" s="1"/>
  <c r="D10" i="2" s="1"/>
  <c r="D15" i="358"/>
  <c r="D19" i="358" s="1"/>
  <c r="D25" i="358" s="1"/>
  <c r="D13" i="51"/>
  <c r="D19" i="51" s="1"/>
  <c r="D25" i="51" s="1"/>
  <c r="D48" i="2" s="1"/>
  <c r="C27" i="212"/>
  <c r="C27" i="181"/>
  <c r="C27" i="145"/>
  <c r="C27" i="172"/>
  <c r="D13" i="17"/>
  <c r="D13" i="69"/>
  <c r="D19" i="69" s="1"/>
  <c r="D25" i="69" s="1"/>
  <c r="D102" i="2" s="1"/>
  <c r="C27" i="137"/>
  <c r="C27" i="179"/>
  <c r="D13" i="224"/>
  <c r="D19" i="224" s="1"/>
  <c r="D25" i="224" s="1"/>
  <c r="D43" i="2" s="1"/>
  <c r="D15" i="135"/>
  <c r="D19" i="135" s="1"/>
  <c r="D25" i="135" s="1"/>
  <c r="D53" i="2" s="1"/>
  <c r="D13" i="37"/>
  <c r="D19" i="37" s="1"/>
  <c r="D25" i="37" s="1"/>
  <c r="D12" i="2" s="1"/>
  <c r="D15" i="53"/>
  <c r="D19" i="53" s="1"/>
  <c r="D25" i="53" s="1"/>
  <c r="D36" i="2" s="1"/>
  <c r="C27" i="233"/>
  <c r="C27" i="221"/>
  <c r="D15" i="247"/>
  <c r="D19" i="247" s="1"/>
  <c r="D25" i="247" s="1"/>
  <c r="D75" i="2" s="1"/>
  <c r="D13" i="253"/>
  <c r="D19" i="253" s="1"/>
  <c r="D25" i="253" s="1"/>
  <c r="D79" i="2" s="1"/>
  <c r="C27" i="142"/>
  <c r="C27" i="173"/>
  <c r="C27" i="174"/>
  <c r="D13" i="52"/>
  <c r="D19" i="52" s="1"/>
  <c r="D25" i="52" s="1"/>
  <c r="D32" i="2" s="1"/>
  <c r="D13" i="85"/>
  <c r="D19" i="85" s="1"/>
  <c r="D27" i="85" s="1"/>
  <c r="D11" i="2" s="1"/>
  <c r="D13" i="18"/>
  <c r="C26" i="562" s="1"/>
  <c r="C27" i="146"/>
  <c r="C27" i="176"/>
  <c r="C27" i="170"/>
  <c r="D15" i="285"/>
  <c r="D19" i="285" s="1"/>
  <c r="D25" i="285" s="1"/>
  <c r="D77" i="2" s="1"/>
  <c r="D13" i="55"/>
  <c r="D19" i="55" s="1"/>
  <c r="D25" i="55" s="1"/>
  <c r="D30" i="2" s="1"/>
  <c r="D13" i="316"/>
  <c r="D19" i="316" s="1"/>
  <c r="D25" i="316" s="1"/>
  <c r="C27" i="177"/>
  <c r="D15" i="306"/>
  <c r="D13" i="306"/>
  <c r="G27" i="203"/>
  <c r="G27" i="190"/>
  <c r="G27" i="202"/>
  <c r="E7" i="259"/>
  <c r="E7" i="251"/>
  <c r="E7" i="302"/>
  <c r="E7" i="328"/>
  <c r="E7" i="66"/>
  <c r="E7" i="368"/>
  <c r="E7" i="322"/>
  <c r="E7" i="304"/>
  <c r="E7" i="332"/>
  <c r="E7" i="106"/>
  <c r="E7" i="253"/>
  <c r="E7" i="92"/>
  <c r="E7" i="70"/>
  <c r="E7" i="63"/>
  <c r="E7" i="360"/>
  <c r="E7" i="64"/>
  <c r="E7" i="42"/>
  <c r="E7" i="61"/>
  <c r="E7" i="103"/>
  <c r="E7" i="285"/>
  <c r="E7" i="383"/>
  <c r="E7" i="346"/>
  <c r="E7" i="222"/>
  <c r="E7" i="41"/>
  <c r="E7" i="36"/>
  <c r="E7" i="100"/>
  <c r="E7" i="51"/>
  <c r="E7" i="274"/>
  <c r="E7" i="324"/>
  <c r="E7" i="59"/>
  <c r="E7" i="342"/>
  <c r="E7" i="98"/>
  <c r="E7" i="326"/>
  <c r="E7" i="18"/>
  <c r="E7" i="74"/>
  <c r="E7" i="45"/>
  <c r="E7" i="224"/>
  <c r="E7" i="320"/>
  <c r="E7" i="377"/>
  <c r="E7" i="358"/>
  <c r="E7" i="96"/>
  <c r="E7" i="257"/>
  <c r="E7" i="261"/>
  <c r="E7" i="104"/>
  <c r="E7" i="298"/>
  <c r="E7" i="48"/>
  <c r="E7" i="340"/>
  <c r="E7" i="300"/>
  <c r="E7" i="44"/>
  <c r="E7" i="105"/>
  <c r="E7" i="57"/>
  <c r="E7" i="308"/>
  <c r="E13" i="308" s="1"/>
  <c r="E7" i="95"/>
  <c r="E7" i="280"/>
  <c r="E7" i="55"/>
  <c r="E7" i="234"/>
  <c r="E7" i="269"/>
  <c r="E7" i="230"/>
  <c r="E7" i="255"/>
  <c r="E7" i="247"/>
  <c r="E7" i="314"/>
  <c r="E7" i="73"/>
  <c r="E7" i="385"/>
  <c r="E7" i="27"/>
  <c r="E7" i="334"/>
  <c r="E7" i="49"/>
  <c r="E7" i="91"/>
  <c r="E7" i="101"/>
  <c r="E7" i="330"/>
  <c r="E7" i="56"/>
  <c r="E7" i="226"/>
  <c r="E7" i="211"/>
  <c r="E7" i="278"/>
  <c r="E7" i="348"/>
  <c r="E7" i="40"/>
  <c r="E7" i="232"/>
  <c r="E7" i="379"/>
  <c r="E7" i="248"/>
  <c r="E7" i="71"/>
  <c r="E7" i="350"/>
  <c r="E7" i="318"/>
  <c r="E7" i="366"/>
  <c r="E7" i="80"/>
  <c r="E7" i="72"/>
  <c r="E7" i="54"/>
  <c r="E7" i="85"/>
  <c r="E7" i="228"/>
  <c r="E7" i="306"/>
  <c r="E7" i="263"/>
  <c r="E7" i="374"/>
  <c r="E7" i="69"/>
  <c r="E7" i="239"/>
  <c r="E7" i="62"/>
  <c r="E7" i="88"/>
  <c r="E7" i="32"/>
  <c r="E7" i="370"/>
  <c r="E7" i="50"/>
  <c r="E7" i="241"/>
  <c r="E7" i="237"/>
  <c r="E7" i="17"/>
  <c r="E7" i="38"/>
  <c r="E7" i="276"/>
  <c r="E7" i="364"/>
  <c r="E7" i="338"/>
  <c r="E7" i="296"/>
  <c r="E7" i="356"/>
  <c r="E7" i="77"/>
  <c r="E7" i="362"/>
  <c r="E7" i="37"/>
  <c r="E7" i="75"/>
  <c r="E7" i="336"/>
  <c r="E7" i="83"/>
  <c r="E7" i="53"/>
  <c r="E7" i="102"/>
  <c r="E7" i="81"/>
  <c r="E7" i="43"/>
  <c r="E7" i="97"/>
  <c r="E7" i="29"/>
  <c r="E7" i="135"/>
  <c r="E7" i="245"/>
  <c r="E7" i="10"/>
  <c r="E7" i="243"/>
  <c r="E7" i="354"/>
  <c r="E7" i="316"/>
  <c r="E7" i="93"/>
  <c r="E7" i="272"/>
  <c r="E7" i="310"/>
  <c r="E7" i="47"/>
  <c r="E7" i="16"/>
  <c r="E7" i="372"/>
  <c r="E7" i="87"/>
  <c r="E7" i="344"/>
  <c r="E7" i="89"/>
  <c r="E7" i="82"/>
  <c r="E7" i="86"/>
  <c r="E7" i="235"/>
  <c r="E7" i="39"/>
  <c r="E7" i="217"/>
  <c r="E7" i="267"/>
  <c r="E7" i="265"/>
  <c r="E7" i="34"/>
  <c r="E7" i="312"/>
  <c r="E7" i="381"/>
  <c r="E7" i="294"/>
  <c r="E7" i="65"/>
  <c r="E7" i="68"/>
  <c r="E7" i="52"/>
  <c r="E7" i="352"/>
  <c r="G27" i="170"/>
  <c r="G27" i="177"/>
  <c r="G27" i="180"/>
  <c r="G27" i="175"/>
  <c r="G27" i="181"/>
  <c r="G27" i="174"/>
  <c r="G27" i="179"/>
  <c r="G27" i="221"/>
  <c r="G27" i="233"/>
  <c r="G27" i="172"/>
  <c r="G27" i="173"/>
  <c r="G23" i="173" s="1"/>
  <c r="G27" i="171"/>
  <c r="G27" i="137"/>
  <c r="G23" i="137" s="1"/>
  <c r="G27" i="145"/>
  <c r="G23" i="145" s="1"/>
  <c r="G27" i="138"/>
  <c r="G23" i="138" s="1"/>
  <c r="F20" i="17"/>
  <c r="G27" i="144"/>
  <c r="G23" i="144" s="1"/>
  <c r="G27" i="146"/>
  <c r="G23" i="146" s="1"/>
  <c r="G27" i="212"/>
  <c r="G23" i="212" s="1"/>
  <c r="H10" i="311"/>
  <c r="F10" i="164"/>
  <c r="F10" i="325"/>
  <c r="H10" i="163"/>
  <c r="H10" i="347"/>
  <c r="F10" i="277"/>
  <c r="H10" i="148"/>
  <c r="F10" i="155"/>
  <c r="F10" i="317"/>
  <c r="F10" i="221"/>
  <c r="F10" i="321"/>
  <c r="F10" i="246"/>
  <c r="F10" i="146"/>
  <c r="F10" i="313"/>
  <c r="H10" i="242"/>
  <c r="H10" i="384"/>
  <c r="F10" i="156"/>
  <c r="F10" i="260"/>
  <c r="F10" i="323"/>
  <c r="F10" i="329"/>
  <c r="H10" i="327"/>
  <c r="H10" i="357"/>
  <c r="H10" i="206"/>
  <c r="H10" i="262"/>
  <c r="F10" i="212"/>
  <c r="H10" i="303"/>
  <c r="H10" i="225"/>
  <c r="F10" i="188"/>
  <c r="F10" i="168"/>
  <c r="F10" i="240"/>
  <c r="F10" i="331"/>
  <c r="F10" i="176"/>
  <c r="H10" i="244"/>
  <c r="H10" i="329"/>
  <c r="H10" i="295"/>
  <c r="H10" i="172"/>
  <c r="H10" i="249"/>
  <c r="H10" i="193"/>
  <c r="F10" i="189"/>
  <c r="H10" i="168"/>
  <c r="F10" i="183"/>
  <c r="F10" i="238"/>
  <c r="F10" i="279"/>
  <c r="F10" i="177"/>
  <c r="F10" i="142"/>
  <c r="H10" i="268"/>
  <c r="F10" i="190"/>
  <c r="F10" i="154"/>
  <c r="F10" i="195"/>
  <c r="F10" i="145"/>
  <c r="H10" i="250"/>
  <c r="H10" i="190"/>
  <c r="H10" i="297"/>
  <c r="H10" i="317"/>
  <c r="H10" i="186"/>
  <c r="H10" i="152"/>
  <c r="F10" i="275"/>
  <c r="F10" i="373"/>
  <c r="F10" i="138"/>
  <c r="F10" i="140"/>
  <c r="H10" i="337"/>
  <c r="H10" i="361"/>
  <c r="H10" i="246"/>
  <c r="H10" i="150"/>
  <c r="H10" i="165"/>
  <c r="H10" i="205"/>
  <c r="H10" i="227"/>
  <c r="H10" i="351"/>
  <c r="G26" i="140"/>
  <c r="G23" i="140" s="1"/>
  <c r="G27" i="152"/>
  <c r="G23" i="152" s="1"/>
  <c r="F19" i="10"/>
  <c r="F9" i="289" s="1"/>
  <c r="G27" i="154"/>
  <c r="G23" i="154" s="1"/>
  <c r="G27" i="295"/>
  <c r="G23" i="295" s="1"/>
  <c r="G26" i="206"/>
  <c r="F19" i="70"/>
  <c r="F27" i="70" s="1"/>
  <c r="F8" i="2" s="1"/>
  <c r="G26" i="141"/>
  <c r="G23" i="141" s="1"/>
  <c r="G26" i="231"/>
  <c r="G26" i="203"/>
  <c r="G26" i="204"/>
  <c r="G27" i="236"/>
  <c r="G23" i="236" s="1"/>
  <c r="G26" i="200"/>
  <c r="G26" i="190"/>
  <c r="G26" i="197"/>
  <c r="G27" i="359"/>
  <c r="G23" i="359" s="1"/>
  <c r="G26" i="198"/>
  <c r="G26" i="193"/>
  <c r="G27" i="246"/>
  <c r="G23" i="246" s="1"/>
  <c r="G26" i="227"/>
  <c r="G26" i="199"/>
  <c r="G26" i="188"/>
  <c r="G26" i="309"/>
  <c r="G26" i="186"/>
  <c r="G26" i="208"/>
  <c r="G26" i="218"/>
  <c r="G26" i="192"/>
  <c r="G26" i="187"/>
  <c r="G26" i="229"/>
  <c r="G26" i="207"/>
  <c r="G26" i="194"/>
  <c r="G26" i="189"/>
  <c r="G26" i="191"/>
  <c r="G26" i="196"/>
  <c r="G26" i="225"/>
  <c r="G26" i="202"/>
  <c r="G26" i="195"/>
  <c r="G26" i="185"/>
  <c r="G26" i="201"/>
  <c r="G26" i="184"/>
  <c r="G26" i="223"/>
  <c r="G26" i="205"/>
  <c r="F10" i="182"/>
  <c r="G27" i="345"/>
  <c r="G23" i="345" s="1"/>
  <c r="G27" i="256"/>
  <c r="G23" i="256" s="1"/>
  <c r="G27" i="380"/>
  <c r="G23" i="380" s="1"/>
  <c r="F19" i="16"/>
  <c r="G27" i="264"/>
  <c r="G23" i="264" s="1"/>
  <c r="G27" i="367"/>
  <c r="G23" i="367" s="1"/>
  <c r="G27" i="311"/>
  <c r="G23" i="311" s="1"/>
  <c r="G27" i="273"/>
  <c r="G23" i="273" s="1"/>
  <c r="G27" i="369"/>
  <c r="G23" i="369" s="1"/>
  <c r="G27" i="163"/>
  <c r="G23" i="163" s="1"/>
  <c r="G27" i="323"/>
  <c r="G23" i="323" s="1"/>
  <c r="G27" i="331"/>
  <c r="G23" i="331" s="1"/>
  <c r="G27" i="284"/>
  <c r="G23" i="284" s="1"/>
  <c r="G27" i="250"/>
  <c r="G23" i="250" s="1"/>
  <c r="G27" i="242"/>
  <c r="G23" i="242" s="1"/>
  <c r="G27" i="333"/>
  <c r="G23" i="333" s="1"/>
  <c r="G27" i="382"/>
  <c r="G23" i="382" s="1"/>
  <c r="G27" i="351"/>
  <c r="G23" i="351" s="1"/>
  <c r="G27" i="168"/>
  <c r="G23" i="168" s="1"/>
  <c r="G27" i="347"/>
  <c r="G23" i="347" s="1"/>
  <c r="G27" i="279"/>
  <c r="G23" i="279" s="1"/>
  <c r="G27" i="317"/>
  <c r="G23" i="317" s="1"/>
  <c r="G27" i="166"/>
  <c r="G23" i="166" s="1"/>
  <c r="G27" i="164"/>
  <c r="G23" i="164" s="1"/>
  <c r="G27" i="305"/>
  <c r="G23" i="305" s="1"/>
  <c r="G27" i="386"/>
  <c r="G23" i="386" s="1"/>
  <c r="G27" i="161"/>
  <c r="G23" i="161" s="1"/>
  <c r="G27" i="307"/>
  <c r="G23" i="307" s="1"/>
  <c r="G27" i="297"/>
  <c r="G23" i="297" s="1"/>
  <c r="G27" i="157"/>
  <c r="G23" i="157" s="1"/>
  <c r="G27" i="150"/>
  <c r="G23" i="150" s="1"/>
  <c r="G27" i="299"/>
  <c r="G23" i="299" s="1"/>
  <c r="G27" i="153"/>
  <c r="G23" i="153" s="1"/>
  <c r="G27" i="147"/>
  <c r="G23" i="147" s="1"/>
  <c r="G27" i="301"/>
  <c r="G23" i="301" s="1"/>
  <c r="G26" i="176"/>
  <c r="G27" i="158"/>
  <c r="G23" i="158" s="1"/>
  <c r="G27" i="149"/>
  <c r="G23" i="149" s="1"/>
  <c r="G27" i="148"/>
  <c r="G23" i="148" s="1"/>
  <c r="G27" i="156"/>
  <c r="G23" i="156" s="1"/>
  <c r="G27" i="155"/>
  <c r="G23" i="155" s="1"/>
  <c r="G27" i="159"/>
  <c r="G23" i="159" s="1"/>
  <c r="G27" i="151"/>
  <c r="G23" i="151" s="1"/>
  <c r="G27" i="303"/>
  <c r="G23" i="303" s="1"/>
  <c r="G27" i="191"/>
  <c r="G27" i="341"/>
  <c r="G23" i="341" s="1"/>
  <c r="G27" i="321"/>
  <c r="G23" i="321" s="1"/>
  <c r="G27" i="266"/>
  <c r="G23" i="266" s="1"/>
  <c r="G21" i="266" s="1"/>
  <c r="G27" i="335"/>
  <c r="G23" i="335" s="1"/>
  <c r="G27" i="258"/>
  <c r="G23" i="258" s="1"/>
  <c r="G27" i="371"/>
  <c r="G23" i="371" s="1"/>
  <c r="G27" i="325"/>
  <c r="G23" i="325" s="1"/>
  <c r="G27" i="249"/>
  <c r="G23" i="249" s="1"/>
  <c r="G27" i="169"/>
  <c r="G23" i="169" s="1"/>
  <c r="G27" i="199"/>
  <c r="G27" i="240"/>
  <c r="G23" i="240" s="1"/>
  <c r="G27" i="339"/>
  <c r="G23" i="339" s="1"/>
  <c r="G27" i="271"/>
  <c r="G23" i="271" s="1"/>
  <c r="G27" i="327"/>
  <c r="G23" i="327" s="1"/>
  <c r="G27" i="260"/>
  <c r="G23" i="260" s="1"/>
  <c r="G27" i="373"/>
  <c r="G23" i="373" s="1"/>
  <c r="G27" i="337"/>
  <c r="G23" i="337" s="1"/>
  <c r="G27" i="343"/>
  <c r="G23" i="343" s="1"/>
  <c r="G27" i="319"/>
  <c r="G23" i="319" s="1"/>
  <c r="F10" i="132"/>
  <c r="G27" i="244"/>
  <c r="G23" i="244" s="1"/>
  <c r="G27" i="262"/>
  <c r="G23" i="262" s="1"/>
  <c r="G27" i="384"/>
  <c r="G23" i="384" s="1"/>
  <c r="G27" i="206"/>
  <c r="G27" i="282"/>
  <c r="G23" i="282" s="1"/>
  <c r="G27" i="353"/>
  <c r="G23" i="353" s="1"/>
  <c r="G27" i="277"/>
  <c r="G23" i="277" s="1"/>
  <c r="G27" i="268"/>
  <c r="G23" i="268" s="1"/>
  <c r="G27" i="363"/>
  <c r="G23" i="363" s="1"/>
  <c r="G27" i="376"/>
  <c r="G23" i="376" s="1"/>
  <c r="G27" i="252"/>
  <c r="G23" i="252" s="1"/>
  <c r="G27" i="313"/>
  <c r="G23" i="313" s="1"/>
  <c r="G27" i="201"/>
  <c r="G27" i="349"/>
  <c r="G23" i="349" s="1"/>
  <c r="G27" i="275"/>
  <c r="G23" i="275" s="1"/>
  <c r="G27" i="361"/>
  <c r="G23" i="361" s="1"/>
  <c r="G27" i="254"/>
  <c r="G23" i="254" s="1"/>
  <c r="G27" i="165"/>
  <c r="G23" i="165" s="1"/>
  <c r="G27" i="355"/>
  <c r="G23" i="355" s="1"/>
  <c r="G27" i="167"/>
  <c r="G23" i="167" s="1"/>
  <c r="G27" i="162"/>
  <c r="G23" i="162" s="1"/>
  <c r="G27" i="329"/>
  <c r="G23" i="329" s="1"/>
  <c r="G27" i="238"/>
  <c r="G23" i="238" s="1"/>
  <c r="G27" i="365"/>
  <c r="G23" i="365" s="1"/>
  <c r="G27" i="378"/>
  <c r="G23" i="378" s="1"/>
  <c r="G27" i="357"/>
  <c r="G23" i="357" s="1"/>
  <c r="G27" i="205"/>
  <c r="G27" i="309"/>
  <c r="G27" i="184"/>
  <c r="G27" i="185"/>
  <c r="G26" i="170"/>
  <c r="G26" i="177"/>
  <c r="F19" i="18"/>
  <c r="F7" i="289" s="1"/>
  <c r="G27" i="183"/>
  <c r="G27" i="188"/>
  <c r="G27" i="186"/>
  <c r="G27" i="218"/>
  <c r="G26" i="174"/>
  <c r="G26" i="180"/>
  <c r="G27" i="187"/>
  <c r="G27" i="192"/>
  <c r="G27" i="189"/>
  <c r="G27" i="197"/>
  <c r="G26" i="175"/>
  <c r="G26" i="181"/>
  <c r="F19" i="19"/>
  <c r="F6" i="289" s="1"/>
  <c r="G27" i="207"/>
  <c r="G27" i="227"/>
  <c r="G27" i="194"/>
  <c r="G27" i="200"/>
  <c r="G27" i="229"/>
  <c r="G26" i="179"/>
  <c r="G26" i="221"/>
  <c r="G26" i="233"/>
  <c r="G26" i="171"/>
  <c r="G27" i="193"/>
  <c r="G27" i="196"/>
  <c r="G27" i="225"/>
  <c r="G27" i="204"/>
  <c r="G26" i="172"/>
  <c r="G27" i="195"/>
  <c r="G27" i="198"/>
  <c r="G27" i="231"/>
  <c r="G27" i="223"/>
  <c r="G23" i="139"/>
  <c r="F10" i="141"/>
  <c r="F10" i="144"/>
  <c r="F10" i="151"/>
  <c r="F10" i="161"/>
  <c r="F10" i="249"/>
  <c r="F10" i="197"/>
  <c r="F10" i="193"/>
  <c r="F10" i="194"/>
  <c r="F10" i="284"/>
  <c r="F10" i="273"/>
  <c r="F10" i="327"/>
  <c r="F10" i="297"/>
  <c r="F10" i="380"/>
  <c r="F10" i="335"/>
  <c r="F10" i="376"/>
  <c r="F10" i="153"/>
  <c r="F10" i="315"/>
  <c r="F10" i="258"/>
  <c r="F10" i="163"/>
  <c r="F10" i="307"/>
  <c r="F10" i="175"/>
  <c r="F10" i="162"/>
  <c r="F10" i="225"/>
  <c r="F10" i="361"/>
  <c r="F10" i="231"/>
  <c r="F10" i="148"/>
  <c r="F10" i="319"/>
  <c r="F10" i="262"/>
  <c r="F10" i="173"/>
  <c r="F10" i="355"/>
  <c r="F10" i="227"/>
  <c r="F10" i="223"/>
  <c r="F10" i="171"/>
  <c r="F10" i="180"/>
  <c r="F10" i="305"/>
  <c r="F10" i="347"/>
  <c r="F10" i="229"/>
  <c r="F10" i="149"/>
  <c r="F10" i="184"/>
  <c r="F10" i="367"/>
  <c r="F10" i="244"/>
  <c r="F10" i="202"/>
  <c r="F10" i="172"/>
  <c r="F10" i="174"/>
  <c r="F10" i="333"/>
  <c r="F10" i="157"/>
  <c r="F10" i="299"/>
  <c r="F10" i="349"/>
  <c r="F10" i="256"/>
  <c r="F10" i="266"/>
  <c r="F10" i="357"/>
  <c r="F10" i="186"/>
  <c r="F10" i="264"/>
  <c r="F10" i="371"/>
  <c r="F10" i="147"/>
  <c r="F10" i="205"/>
  <c r="F10" i="242"/>
  <c r="F10" i="295"/>
  <c r="F10" i="187"/>
  <c r="F10" i="384"/>
  <c r="F10" i="254"/>
  <c r="F10" i="378"/>
  <c r="F10" i="369"/>
  <c r="F10" i="386"/>
  <c r="F10" i="359"/>
  <c r="F10" i="169"/>
  <c r="F10" i="192"/>
  <c r="F10" i="343"/>
  <c r="F10" i="198"/>
  <c r="F10" i="236"/>
  <c r="F10" i="199"/>
  <c r="F10" i="353"/>
  <c r="F10" i="339"/>
  <c r="F10" i="345"/>
  <c r="F10" i="233"/>
  <c r="F10" i="282"/>
  <c r="F10" i="382"/>
  <c r="F10" i="365"/>
  <c r="F10" i="167"/>
  <c r="F10" i="160"/>
  <c r="F10" i="166"/>
  <c r="F10" i="152"/>
  <c r="F10" i="181"/>
  <c r="F10" i="201"/>
  <c r="F10" i="159"/>
  <c r="F10" i="268"/>
  <c r="F10" i="252"/>
  <c r="F10" i="341"/>
  <c r="F10" i="271"/>
  <c r="F10" i="207"/>
  <c r="F10" i="203"/>
  <c r="F10" i="309"/>
  <c r="F10" i="363"/>
  <c r="F10" i="165"/>
  <c r="F10" i="250"/>
  <c r="F10" i="170"/>
  <c r="F10" i="179"/>
  <c r="F10" i="158"/>
  <c r="F10" i="218"/>
  <c r="F10" i="208"/>
  <c r="F10" i="303"/>
  <c r="F10" i="311"/>
  <c r="F10" i="200"/>
  <c r="F10" i="196"/>
  <c r="F10" i="185"/>
  <c r="F10" i="337"/>
  <c r="F10" i="206"/>
  <c r="F10" i="301"/>
  <c r="F10" i="191"/>
  <c r="F10" i="351"/>
  <c r="F10" i="150"/>
  <c r="F10" i="204"/>
  <c r="F10" i="139"/>
  <c r="F10" i="137"/>
  <c r="C27" i="185" l="1"/>
  <c r="C27" i="430"/>
  <c r="C27" i="412"/>
  <c r="C27" i="436"/>
  <c r="C27" i="410"/>
  <c r="C27" i="446"/>
  <c r="C27" i="448"/>
  <c r="C27" i="424"/>
  <c r="C27" i="422"/>
  <c r="C27" i="426"/>
  <c r="C27" i="438"/>
  <c r="D10" i="132"/>
  <c r="C27" i="414"/>
  <c r="C27" i="440"/>
  <c r="C27" i="444"/>
  <c r="C27" i="416"/>
  <c r="C27" i="420"/>
  <c r="C27" i="434"/>
  <c r="C27" i="418"/>
  <c r="C27" i="432"/>
  <c r="C27" i="442"/>
  <c r="F25" i="16"/>
  <c r="F63" i="2" s="1"/>
  <c r="C27" i="450"/>
  <c r="C31" i="560"/>
  <c r="C9" i="182"/>
  <c r="G29" i="562"/>
  <c r="H30" i="562" s="1"/>
  <c r="G32" i="562" s="1"/>
  <c r="H38" i="562" s="1"/>
  <c r="E23" i="182"/>
  <c r="E21" i="182" s="1"/>
  <c r="E9" i="215"/>
  <c r="E12" i="215" s="1"/>
  <c r="E30" i="215" s="1"/>
  <c r="E40" i="215" s="1"/>
  <c r="D19" i="19"/>
  <c r="C23" i="562"/>
  <c r="E25" i="19"/>
  <c r="I26" i="132" s="1"/>
  <c r="C40" i="147"/>
  <c r="C41" i="147" s="1"/>
  <c r="E23" i="10"/>
  <c r="F23" i="10"/>
  <c r="F25" i="10" s="1"/>
  <c r="F29" i="10" s="1"/>
  <c r="F31" i="10" s="1"/>
  <c r="D23" i="10"/>
  <c r="G23" i="512"/>
  <c r="D25" i="41"/>
  <c r="D58" i="2" s="1"/>
  <c r="G40" i="162"/>
  <c r="G41" i="162" s="1"/>
  <c r="C41" i="162"/>
  <c r="C29" i="560"/>
  <c r="D30" i="560" s="1"/>
  <c r="C32" i="560" s="1"/>
  <c r="D38" i="560" s="1"/>
  <c r="G32" i="560"/>
  <c r="H38" i="560" s="1"/>
  <c r="H33" i="560"/>
  <c r="D19" i="510"/>
  <c r="D25" i="510" s="1"/>
  <c r="D19" i="558"/>
  <c r="D25" i="558" s="1"/>
  <c r="D19" i="514"/>
  <c r="D25" i="514" s="1"/>
  <c r="D19" i="500"/>
  <c r="D25" i="500" s="1"/>
  <c r="D19" i="556"/>
  <c r="D25" i="556" s="1"/>
  <c r="D19" i="516"/>
  <c r="D25" i="516" s="1"/>
  <c r="D19" i="512"/>
  <c r="G21" i="531"/>
  <c r="G31" i="531" s="1"/>
  <c r="G29" i="531"/>
  <c r="H30" i="531" s="1"/>
  <c r="G21" i="555"/>
  <c r="G31" i="555" s="1"/>
  <c r="G29" i="555"/>
  <c r="H30" i="555" s="1"/>
  <c r="G21" i="551"/>
  <c r="G31" i="551" s="1"/>
  <c r="G29" i="551"/>
  <c r="H30" i="551" s="1"/>
  <c r="G21" i="503"/>
  <c r="G31" i="503" s="1"/>
  <c r="G29" i="503"/>
  <c r="H30" i="503" s="1"/>
  <c r="G21" i="511"/>
  <c r="G31" i="511" s="1"/>
  <c r="G29" i="511"/>
  <c r="H30" i="511" s="1"/>
  <c r="G21" i="509"/>
  <c r="G31" i="509" s="1"/>
  <c r="G29" i="509"/>
  <c r="H30" i="509" s="1"/>
  <c r="G21" i="499"/>
  <c r="G31" i="499" s="1"/>
  <c r="G29" i="499"/>
  <c r="H30" i="499" s="1"/>
  <c r="G21" i="519"/>
  <c r="G31" i="519" s="1"/>
  <c r="G29" i="519"/>
  <c r="H30" i="519" s="1"/>
  <c r="G21" i="521"/>
  <c r="G31" i="521" s="1"/>
  <c r="G29" i="521"/>
  <c r="H30" i="521" s="1"/>
  <c r="G21" i="547"/>
  <c r="G31" i="547" s="1"/>
  <c r="G29" i="547"/>
  <c r="H30" i="547" s="1"/>
  <c r="G21" i="527"/>
  <c r="G31" i="527" s="1"/>
  <c r="G29" i="527"/>
  <c r="H30" i="527" s="1"/>
  <c r="G21" i="517"/>
  <c r="G31" i="517" s="1"/>
  <c r="G29" i="517"/>
  <c r="H30" i="517" s="1"/>
  <c r="D19" i="498"/>
  <c r="D25" i="498" s="1"/>
  <c r="D19" i="542"/>
  <c r="D25" i="542" s="1"/>
  <c r="G21" i="507"/>
  <c r="G31" i="507" s="1"/>
  <c r="G29" i="507"/>
  <c r="H30" i="507" s="1"/>
  <c r="G21" i="515"/>
  <c r="G31" i="515" s="1"/>
  <c r="G29" i="515"/>
  <c r="H30" i="515" s="1"/>
  <c r="G21" i="529"/>
  <c r="G31" i="529" s="1"/>
  <c r="G29" i="529"/>
  <c r="H30" i="529" s="1"/>
  <c r="G21" i="501"/>
  <c r="G31" i="501" s="1"/>
  <c r="G29" i="501"/>
  <c r="H30" i="501" s="1"/>
  <c r="G21" i="537"/>
  <c r="G31" i="537" s="1"/>
  <c r="G29" i="537"/>
  <c r="H30" i="537" s="1"/>
  <c r="C26" i="153"/>
  <c r="C23" i="153" s="1"/>
  <c r="C21" i="153" s="1"/>
  <c r="C26" i="555"/>
  <c r="C23" i="555" s="1"/>
  <c r="C26" i="541"/>
  <c r="C23" i="541" s="1"/>
  <c r="C26" i="529"/>
  <c r="C23" i="529" s="1"/>
  <c r="C26" i="523"/>
  <c r="C23" i="523" s="1"/>
  <c r="C26" i="527"/>
  <c r="C23" i="527" s="1"/>
  <c r="C26" i="525"/>
  <c r="C23" i="525" s="1"/>
  <c r="C26" i="499"/>
  <c r="C23" i="499" s="1"/>
  <c r="C26" i="559"/>
  <c r="C23" i="559" s="1"/>
  <c r="C26" i="507"/>
  <c r="C23" i="507" s="1"/>
  <c r="C26" i="545"/>
  <c r="C23" i="545" s="1"/>
  <c r="C26" i="505"/>
  <c r="C23" i="505" s="1"/>
  <c r="C26" i="535"/>
  <c r="C23" i="535" s="1"/>
  <c r="C26" i="531"/>
  <c r="C23" i="531" s="1"/>
  <c r="C26" i="513"/>
  <c r="C23" i="513" s="1"/>
  <c r="C26" i="501"/>
  <c r="C23" i="501" s="1"/>
  <c r="C26" i="547"/>
  <c r="C23" i="547" s="1"/>
  <c r="C26" i="537"/>
  <c r="C23" i="537" s="1"/>
  <c r="C26" i="503"/>
  <c r="C23" i="503" s="1"/>
  <c r="C26" i="521"/>
  <c r="C23" i="521" s="1"/>
  <c r="C26" i="519"/>
  <c r="C23" i="519" s="1"/>
  <c r="C26" i="517"/>
  <c r="C23" i="517" s="1"/>
  <c r="C26" i="509"/>
  <c r="C23" i="509" s="1"/>
  <c r="C26" i="533"/>
  <c r="C23" i="533" s="1"/>
  <c r="C26" i="557"/>
  <c r="C23" i="557" s="1"/>
  <c r="C26" i="549"/>
  <c r="C23" i="549" s="1"/>
  <c r="C26" i="543"/>
  <c r="C23" i="543" s="1"/>
  <c r="C26" i="539"/>
  <c r="C23" i="539" s="1"/>
  <c r="C26" i="515"/>
  <c r="C23" i="515" s="1"/>
  <c r="C26" i="551"/>
  <c r="C23" i="551" s="1"/>
  <c r="C26" i="511"/>
  <c r="C23" i="511" s="1"/>
  <c r="D19" i="518"/>
  <c r="D25" i="518" s="1"/>
  <c r="G21" i="539"/>
  <c r="G31" i="539" s="1"/>
  <c r="G29" i="539"/>
  <c r="H30" i="539" s="1"/>
  <c r="G21" i="513"/>
  <c r="G31" i="513" s="1"/>
  <c r="G29" i="513"/>
  <c r="H30" i="513" s="1"/>
  <c r="G21" i="505"/>
  <c r="G31" i="505" s="1"/>
  <c r="G29" i="505"/>
  <c r="H30" i="505" s="1"/>
  <c r="G21" i="525"/>
  <c r="G31" i="525" s="1"/>
  <c r="G29" i="525"/>
  <c r="H30" i="525" s="1"/>
  <c r="G21" i="541"/>
  <c r="G31" i="541" s="1"/>
  <c r="G29" i="541"/>
  <c r="H30" i="541" s="1"/>
  <c r="G21" i="543"/>
  <c r="G31" i="543" s="1"/>
  <c r="G29" i="543"/>
  <c r="H30" i="543" s="1"/>
  <c r="G21" i="545"/>
  <c r="G31" i="545" s="1"/>
  <c r="G29" i="545"/>
  <c r="H30" i="545" s="1"/>
  <c r="G21" i="549"/>
  <c r="G31" i="549" s="1"/>
  <c r="G29" i="549"/>
  <c r="H30" i="549" s="1"/>
  <c r="G21" i="533"/>
  <c r="G31" i="533" s="1"/>
  <c r="G29" i="533"/>
  <c r="H30" i="533" s="1"/>
  <c r="G21" i="535"/>
  <c r="G31" i="535" s="1"/>
  <c r="G29" i="535"/>
  <c r="H30" i="535" s="1"/>
  <c r="D19" i="544"/>
  <c r="D25" i="544" s="1"/>
  <c r="G21" i="523"/>
  <c r="G31" i="523" s="1"/>
  <c r="G29" i="523"/>
  <c r="H30" i="523" s="1"/>
  <c r="G21" i="557"/>
  <c r="G31" i="557" s="1"/>
  <c r="G29" i="557"/>
  <c r="H30" i="557" s="1"/>
  <c r="G21" i="559"/>
  <c r="G31" i="559" s="1"/>
  <c r="G29" i="559"/>
  <c r="H30" i="559" s="1"/>
  <c r="D19" i="548"/>
  <c r="D25" i="548" s="1"/>
  <c r="D19" i="532"/>
  <c r="D25" i="532" s="1"/>
  <c r="D19" i="550"/>
  <c r="D25" i="550" s="1"/>
  <c r="D19" i="552"/>
  <c r="D25" i="552" s="1"/>
  <c r="D19" i="526"/>
  <c r="D25" i="526" s="1"/>
  <c r="D19" i="520"/>
  <c r="D25" i="520" s="1"/>
  <c r="D19" i="554"/>
  <c r="D25" i="554" s="1"/>
  <c r="D19" i="546"/>
  <c r="D25" i="546" s="1"/>
  <c r="D19" i="538"/>
  <c r="D25" i="538" s="1"/>
  <c r="D19" i="504"/>
  <c r="D25" i="504" s="1"/>
  <c r="D19" i="530"/>
  <c r="D25" i="530" s="1"/>
  <c r="D19" i="540"/>
  <c r="D25" i="540" s="1"/>
  <c r="D19" i="536"/>
  <c r="D25" i="536" s="1"/>
  <c r="D19" i="528"/>
  <c r="D25" i="528" s="1"/>
  <c r="D19" i="524"/>
  <c r="D25" i="524" s="1"/>
  <c r="D19" i="522"/>
  <c r="D25" i="522" s="1"/>
  <c r="D19" i="534"/>
  <c r="D25" i="534" s="1"/>
  <c r="D19" i="502"/>
  <c r="D25" i="502" s="1"/>
  <c r="D19" i="508"/>
  <c r="D25" i="508" s="1"/>
  <c r="D19" i="506"/>
  <c r="D25" i="506" s="1"/>
  <c r="D19" i="465"/>
  <c r="D25" i="465" s="1"/>
  <c r="G23" i="208"/>
  <c r="G21" i="208" s="1"/>
  <c r="D19" i="459"/>
  <c r="D25" i="459" s="1"/>
  <c r="D19" i="473"/>
  <c r="D25" i="473" s="1"/>
  <c r="D19" i="461"/>
  <c r="D25" i="461" s="1"/>
  <c r="D19" i="471"/>
  <c r="D25" i="471" s="1"/>
  <c r="D19" i="469"/>
  <c r="D25" i="469" s="1"/>
  <c r="E23" i="416"/>
  <c r="E21" i="416" s="1"/>
  <c r="E31" i="416" s="1"/>
  <c r="E23" i="444"/>
  <c r="E29" i="444" s="1"/>
  <c r="F30" i="444" s="1"/>
  <c r="E23" i="450"/>
  <c r="E29" i="450" s="1"/>
  <c r="F30" i="450" s="1"/>
  <c r="G23" i="176"/>
  <c r="G21" i="176" s="1"/>
  <c r="D19" i="475"/>
  <c r="D25" i="475" s="1"/>
  <c r="D19" i="477"/>
  <c r="D25" i="477" s="1"/>
  <c r="E23" i="418"/>
  <c r="E29" i="418" s="1"/>
  <c r="F30" i="418" s="1"/>
  <c r="D19" i="463"/>
  <c r="D25" i="463" s="1"/>
  <c r="G21" i="454"/>
  <c r="G31" i="454" s="1"/>
  <c r="G29" i="454"/>
  <c r="H30" i="454" s="1"/>
  <c r="G21" i="476"/>
  <c r="G31" i="476" s="1"/>
  <c r="G29" i="476"/>
  <c r="H30" i="476" s="1"/>
  <c r="G21" i="466"/>
  <c r="G31" i="466" s="1"/>
  <c r="G29" i="466"/>
  <c r="H30" i="466" s="1"/>
  <c r="G21" i="472"/>
  <c r="G31" i="472" s="1"/>
  <c r="G29" i="472"/>
  <c r="H30" i="472" s="1"/>
  <c r="G21" i="460"/>
  <c r="G31" i="460" s="1"/>
  <c r="G29" i="460"/>
  <c r="H30" i="460" s="1"/>
  <c r="C26" i="363"/>
  <c r="C23" i="363" s="1"/>
  <c r="C21" i="363" s="1"/>
  <c r="C26" i="470"/>
  <c r="C23" i="470" s="1"/>
  <c r="C26" i="466"/>
  <c r="C23" i="466" s="1"/>
  <c r="C26" i="472"/>
  <c r="C23" i="472" s="1"/>
  <c r="C26" i="456"/>
  <c r="C23" i="456" s="1"/>
  <c r="C26" i="454"/>
  <c r="C23" i="454" s="1"/>
  <c r="C26" i="478"/>
  <c r="C23" i="478" s="1"/>
  <c r="C26" i="476"/>
  <c r="C23" i="476" s="1"/>
  <c r="C26" i="474"/>
  <c r="C23" i="474" s="1"/>
  <c r="C26" i="462"/>
  <c r="C23" i="462" s="1"/>
  <c r="C26" i="464"/>
  <c r="C23" i="464" s="1"/>
  <c r="C26" i="460"/>
  <c r="C23" i="460" s="1"/>
  <c r="C26" i="468"/>
  <c r="C23" i="468" s="1"/>
  <c r="G21" i="478"/>
  <c r="G31" i="478" s="1"/>
  <c r="G29" i="478"/>
  <c r="H30" i="478" s="1"/>
  <c r="G21" i="456"/>
  <c r="G31" i="456" s="1"/>
  <c r="G29" i="456"/>
  <c r="H30" i="456" s="1"/>
  <c r="G21" i="474"/>
  <c r="G31" i="474" s="1"/>
  <c r="G29" i="474"/>
  <c r="H30" i="474" s="1"/>
  <c r="G21" i="468"/>
  <c r="G31" i="468" s="1"/>
  <c r="G29" i="468"/>
  <c r="H30" i="468" s="1"/>
  <c r="G21" i="462"/>
  <c r="G31" i="462" s="1"/>
  <c r="G29" i="462"/>
  <c r="H30" i="462" s="1"/>
  <c r="G21" i="470"/>
  <c r="G31" i="470" s="1"/>
  <c r="G29" i="470"/>
  <c r="H30" i="470" s="1"/>
  <c r="G21" i="464"/>
  <c r="G31" i="464" s="1"/>
  <c r="G29" i="464"/>
  <c r="H30" i="464" s="1"/>
  <c r="D19" i="467"/>
  <c r="D25" i="467" s="1"/>
  <c r="D19" i="441"/>
  <c r="D25" i="441" s="1"/>
  <c r="D19" i="413"/>
  <c r="D25" i="413" s="1"/>
  <c r="D19" i="445"/>
  <c r="D25" i="445" s="1"/>
  <c r="D19" i="417"/>
  <c r="D25" i="417" s="1"/>
  <c r="D19" i="437"/>
  <c r="D25" i="437" s="1"/>
  <c r="D19" i="425"/>
  <c r="D25" i="425" s="1"/>
  <c r="D19" i="449"/>
  <c r="D25" i="449" s="1"/>
  <c r="D19" i="457"/>
  <c r="D25" i="457" s="1"/>
  <c r="E23" i="430"/>
  <c r="E21" i="430" s="1"/>
  <c r="E31" i="430" s="1"/>
  <c r="D19" i="429"/>
  <c r="D25" i="429" s="1"/>
  <c r="D19" i="439"/>
  <c r="D25" i="439" s="1"/>
  <c r="E23" i="440"/>
  <c r="E21" i="440" s="1"/>
  <c r="E31" i="440" s="1"/>
  <c r="D19" i="411"/>
  <c r="D25" i="411" s="1"/>
  <c r="D19" i="435"/>
  <c r="D25" i="435" s="1"/>
  <c r="E23" i="438"/>
  <c r="E21" i="438" s="1"/>
  <c r="E31" i="438" s="1"/>
  <c r="D19" i="423"/>
  <c r="D25" i="423" s="1"/>
  <c r="E23" i="410"/>
  <c r="E21" i="410" s="1"/>
  <c r="E31" i="410" s="1"/>
  <c r="E23" i="420"/>
  <c r="E29" i="420" s="1"/>
  <c r="F30" i="420" s="1"/>
  <c r="D19" i="415"/>
  <c r="D25" i="415" s="1"/>
  <c r="D19" i="421"/>
  <c r="D25" i="421" s="1"/>
  <c r="E23" i="414"/>
  <c r="E29" i="414" s="1"/>
  <c r="F30" i="414" s="1"/>
  <c r="E23" i="422"/>
  <c r="E29" i="422" s="1"/>
  <c r="F30" i="422" s="1"/>
  <c r="D19" i="18"/>
  <c r="D25" i="18" s="1"/>
  <c r="D29" i="18" s="1"/>
  <c r="D31" i="18" s="1"/>
  <c r="C26" i="453"/>
  <c r="C23" i="453" s="1"/>
  <c r="D19" i="419"/>
  <c r="D25" i="419" s="1"/>
  <c r="E23" i="426"/>
  <c r="E21" i="426" s="1"/>
  <c r="E31" i="426" s="1"/>
  <c r="E23" i="436"/>
  <c r="E29" i="436" s="1"/>
  <c r="F30" i="436" s="1"/>
  <c r="G21" i="453"/>
  <c r="G31" i="453" s="1"/>
  <c r="G29" i="453"/>
  <c r="H30" i="453" s="1"/>
  <c r="G21" i="416"/>
  <c r="G31" i="416" s="1"/>
  <c r="G29" i="416"/>
  <c r="H30" i="416" s="1"/>
  <c r="G21" i="424"/>
  <c r="G31" i="424" s="1"/>
  <c r="G29" i="424"/>
  <c r="H30" i="424" s="1"/>
  <c r="G21" i="448"/>
  <c r="G31" i="448" s="1"/>
  <c r="G29" i="448"/>
  <c r="H30" i="448" s="1"/>
  <c r="G21" i="426"/>
  <c r="G31" i="426" s="1"/>
  <c r="G29" i="426"/>
  <c r="H30" i="426" s="1"/>
  <c r="G21" i="450"/>
  <c r="G31" i="450" s="1"/>
  <c r="G29" i="450"/>
  <c r="H30" i="450" s="1"/>
  <c r="G21" i="434"/>
  <c r="G31" i="434" s="1"/>
  <c r="G29" i="434"/>
  <c r="H30" i="434" s="1"/>
  <c r="G21" i="432"/>
  <c r="G31" i="432" s="1"/>
  <c r="G29" i="432"/>
  <c r="H30" i="432" s="1"/>
  <c r="G21" i="442"/>
  <c r="G31" i="442" s="1"/>
  <c r="G29" i="442"/>
  <c r="H30" i="442" s="1"/>
  <c r="C26" i="182"/>
  <c r="C26" i="430"/>
  <c r="C26" i="424"/>
  <c r="C26" i="442"/>
  <c r="C26" i="434"/>
  <c r="C26" i="450"/>
  <c r="C26" i="444"/>
  <c r="C26" i="438"/>
  <c r="C26" i="436"/>
  <c r="C26" i="448"/>
  <c r="C26" i="446"/>
  <c r="C26" i="432"/>
  <c r="C26" i="420"/>
  <c r="C26" i="418"/>
  <c r="C26" i="416"/>
  <c r="C26" i="440"/>
  <c r="C23" i="440" s="1"/>
  <c r="C26" i="414"/>
  <c r="C26" i="426"/>
  <c r="C26" i="412"/>
  <c r="C26" i="422"/>
  <c r="C26" i="410"/>
  <c r="G21" i="446"/>
  <c r="G31" i="446" s="1"/>
  <c r="G29" i="446"/>
  <c r="H30" i="446" s="1"/>
  <c r="G21" i="440"/>
  <c r="G31" i="440" s="1"/>
  <c r="G29" i="440"/>
  <c r="H30" i="440" s="1"/>
  <c r="D19" i="443"/>
  <c r="D25" i="443" s="1"/>
  <c r="G21" i="438"/>
  <c r="G31" i="438" s="1"/>
  <c r="G29" i="438"/>
  <c r="H30" i="438" s="1"/>
  <c r="G21" i="422"/>
  <c r="G31" i="422" s="1"/>
  <c r="G29" i="422"/>
  <c r="H30" i="422" s="1"/>
  <c r="G21" i="420"/>
  <c r="G31" i="420" s="1"/>
  <c r="G29" i="420"/>
  <c r="H30" i="420" s="1"/>
  <c r="G21" i="412"/>
  <c r="G31" i="412" s="1"/>
  <c r="G29" i="412"/>
  <c r="H30" i="412" s="1"/>
  <c r="D19" i="394"/>
  <c r="D25" i="394" s="1"/>
  <c r="G21" i="444"/>
  <c r="G31" i="444" s="1"/>
  <c r="G29" i="444"/>
  <c r="H30" i="444" s="1"/>
  <c r="G21" i="410"/>
  <c r="G31" i="410" s="1"/>
  <c r="G29" i="410"/>
  <c r="H30" i="410" s="1"/>
  <c r="E23" i="432"/>
  <c r="E23" i="434"/>
  <c r="G21" i="414"/>
  <c r="G31" i="414" s="1"/>
  <c r="G29" i="414"/>
  <c r="H30" i="414" s="1"/>
  <c r="G21" i="418"/>
  <c r="G31" i="418" s="1"/>
  <c r="G29" i="418"/>
  <c r="H30" i="418" s="1"/>
  <c r="G21" i="436"/>
  <c r="G31" i="436" s="1"/>
  <c r="G29" i="436"/>
  <c r="H30" i="436" s="1"/>
  <c r="D19" i="431"/>
  <c r="D25" i="431" s="1"/>
  <c r="E23" i="446"/>
  <c r="E23" i="442"/>
  <c r="G21" i="430"/>
  <c r="G31" i="430" s="1"/>
  <c r="G29" i="430"/>
  <c r="H30" i="430" s="1"/>
  <c r="D19" i="447"/>
  <c r="D25" i="447" s="1"/>
  <c r="D19" i="433"/>
  <c r="D25" i="433" s="1"/>
  <c r="E23" i="412"/>
  <c r="E23" i="448"/>
  <c r="E23" i="424"/>
  <c r="D19" i="401"/>
  <c r="D25" i="401" s="1"/>
  <c r="D9" i="132"/>
  <c r="D19" i="403"/>
  <c r="D25" i="403" s="1"/>
  <c r="D19" i="409"/>
  <c r="D25" i="409" s="1"/>
  <c r="D19" i="398"/>
  <c r="D25" i="398" s="1"/>
  <c r="D19" i="399"/>
  <c r="D25" i="399" s="1"/>
  <c r="D19" i="408"/>
  <c r="D25" i="408" s="1"/>
  <c r="D19" i="392"/>
  <c r="D25" i="392" s="1"/>
  <c r="D19" i="390"/>
  <c r="D25" i="390" s="1"/>
  <c r="D19" i="396"/>
  <c r="D25" i="396" s="1"/>
  <c r="G21" i="395"/>
  <c r="G31" i="395" s="1"/>
  <c r="G29" i="395"/>
  <c r="H30" i="395" s="1"/>
  <c r="G21" i="397"/>
  <c r="G31" i="397" s="1"/>
  <c r="G29" i="397"/>
  <c r="H30" i="397" s="1"/>
  <c r="G21" i="389"/>
  <c r="G31" i="389" s="1"/>
  <c r="G29" i="389"/>
  <c r="H30" i="389" s="1"/>
  <c r="G29" i="402"/>
  <c r="H30" i="402" s="1"/>
  <c r="G21" i="402"/>
  <c r="G31" i="402" s="1"/>
  <c r="C26" i="137"/>
  <c r="C23" i="137" s="1"/>
  <c r="C21" i="137" s="1"/>
  <c r="C26" i="391"/>
  <c r="C23" i="391" s="1"/>
  <c r="C26" i="402"/>
  <c r="C23" i="402" s="1"/>
  <c r="C26" i="389"/>
  <c r="C23" i="389" s="1"/>
  <c r="C26" i="405"/>
  <c r="C23" i="405" s="1"/>
  <c r="C26" i="397"/>
  <c r="C23" i="397" s="1"/>
  <c r="C26" i="393"/>
  <c r="C23" i="393" s="1"/>
  <c r="C26" i="395"/>
  <c r="C23" i="395" s="1"/>
  <c r="C26" i="400"/>
  <c r="C23" i="400" s="1"/>
  <c r="C26" i="404"/>
  <c r="C23" i="404" s="1"/>
  <c r="G21" i="400"/>
  <c r="G31" i="400" s="1"/>
  <c r="G29" i="400"/>
  <c r="H30" i="400" s="1"/>
  <c r="G21" i="404"/>
  <c r="G31" i="404" s="1"/>
  <c r="G29" i="404"/>
  <c r="H30" i="404" s="1"/>
  <c r="G21" i="391"/>
  <c r="G31" i="391" s="1"/>
  <c r="G29" i="391"/>
  <c r="H30" i="391" s="1"/>
  <c r="G21" i="405"/>
  <c r="G31" i="405" s="1"/>
  <c r="G29" i="405"/>
  <c r="H30" i="405" s="1"/>
  <c r="G21" i="393"/>
  <c r="G31" i="393" s="1"/>
  <c r="G29" i="393"/>
  <c r="H30" i="393" s="1"/>
  <c r="F10" i="215"/>
  <c r="F12" i="215" s="1"/>
  <c r="F30" i="215" s="1"/>
  <c r="F40" i="215" s="1"/>
  <c r="G23" i="182"/>
  <c r="D19" i="308"/>
  <c r="D25" i="308" s="1"/>
  <c r="F26" i="17"/>
  <c r="F12" i="132"/>
  <c r="F31" i="132" s="1"/>
  <c r="D34" i="215"/>
  <c r="G23" i="180"/>
  <c r="G21" i="180" s="1"/>
  <c r="G23" i="202"/>
  <c r="G21" i="202" s="1"/>
  <c r="F34" i="215"/>
  <c r="E34" i="215"/>
  <c r="C27" i="192"/>
  <c r="C27" i="184"/>
  <c r="C27" i="218"/>
  <c r="C27" i="188"/>
  <c r="C26" i="301"/>
  <c r="C23" i="301" s="1"/>
  <c r="C21" i="301" s="1"/>
  <c r="C26" i="172"/>
  <c r="C23" i="172" s="1"/>
  <c r="C21" i="172" s="1"/>
  <c r="C27" i="198"/>
  <c r="C27" i="203"/>
  <c r="C27" i="189"/>
  <c r="C27" i="204"/>
  <c r="C27" i="187"/>
  <c r="C27" i="186"/>
  <c r="C27" i="225"/>
  <c r="C27" i="197"/>
  <c r="C27" i="309"/>
  <c r="C27" i="200"/>
  <c r="C27" i="193"/>
  <c r="C27" i="206"/>
  <c r="C27" i="191"/>
  <c r="C27" i="231"/>
  <c r="C27" i="202"/>
  <c r="C27" i="223"/>
  <c r="C27" i="195"/>
  <c r="C27" i="205"/>
  <c r="C27" i="201"/>
  <c r="C27" i="208"/>
  <c r="C27" i="183"/>
  <c r="C27" i="229"/>
  <c r="C27" i="199"/>
  <c r="C27" i="227"/>
  <c r="C27" i="207"/>
  <c r="C27" i="196"/>
  <c r="C27" i="190"/>
  <c r="C27" i="194"/>
  <c r="C26" i="138"/>
  <c r="C23" i="138" s="1"/>
  <c r="C21" i="138" s="1"/>
  <c r="C26" i="151"/>
  <c r="C23" i="151" s="1"/>
  <c r="C21" i="151" s="1"/>
  <c r="C26" i="299"/>
  <c r="C23" i="299" s="1"/>
  <c r="C21" i="299" s="1"/>
  <c r="C26" i="233"/>
  <c r="C23" i="233" s="1"/>
  <c r="C21" i="233" s="1"/>
  <c r="C26" i="188"/>
  <c r="C26" i="196"/>
  <c r="C26" i="206"/>
  <c r="C26" i="150"/>
  <c r="C23" i="150" s="1"/>
  <c r="C21" i="150" s="1"/>
  <c r="C26" i="223"/>
  <c r="C26" i="376"/>
  <c r="C23" i="376" s="1"/>
  <c r="C21" i="376" s="1"/>
  <c r="C26" i="198"/>
  <c r="C26" i="205"/>
  <c r="C26" i="207"/>
  <c r="C26" i="158"/>
  <c r="C23" i="158" s="1"/>
  <c r="C21" i="158" s="1"/>
  <c r="C26" i="282"/>
  <c r="C23" i="282" s="1"/>
  <c r="C21" i="282" s="1"/>
  <c r="C26" i="156"/>
  <c r="C23" i="156" s="1"/>
  <c r="C21" i="156" s="1"/>
  <c r="C26" i="187"/>
  <c r="C26" i="192"/>
  <c r="C26" i="195"/>
  <c r="C26" i="203"/>
  <c r="C26" i="184"/>
  <c r="C26" i="317"/>
  <c r="C23" i="317" s="1"/>
  <c r="C21" i="317" s="1"/>
  <c r="C26" i="190"/>
  <c r="C26" i="189"/>
  <c r="C26" i="202"/>
  <c r="C26" i="225"/>
  <c r="C26" i="208"/>
  <c r="C26" i="166"/>
  <c r="C23" i="166" s="1"/>
  <c r="C21" i="166" s="1"/>
  <c r="C26" i="229"/>
  <c r="C26" i="201"/>
  <c r="C26" i="218"/>
  <c r="C26" i="231"/>
  <c r="C26" i="311"/>
  <c r="C23" i="311" s="1"/>
  <c r="C21" i="311" s="1"/>
  <c r="C26" i="315"/>
  <c r="C23" i="315" s="1"/>
  <c r="C21" i="315" s="1"/>
  <c r="C26" i="194"/>
  <c r="C26" i="227"/>
  <c r="C26" i="309"/>
  <c r="C26" i="183"/>
  <c r="C26" i="262"/>
  <c r="C23" i="262" s="1"/>
  <c r="C21" i="262" s="1"/>
  <c r="C26" i="197"/>
  <c r="C26" i="199"/>
  <c r="C26" i="200"/>
  <c r="C26" i="186"/>
  <c r="C26" i="339"/>
  <c r="C23" i="339" s="1"/>
  <c r="C21" i="339" s="1"/>
  <c r="C26" i="204"/>
  <c r="C26" i="185"/>
  <c r="C23" i="185" s="1"/>
  <c r="C21" i="185" s="1"/>
  <c r="C26" i="191"/>
  <c r="C26" i="193"/>
  <c r="C26" i="256"/>
  <c r="C23" i="256" s="1"/>
  <c r="C21" i="256" s="1"/>
  <c r="C26" i="173"/>
  <c r="C23" i="173" s="1"/>
  <c r="C21" i="173" s="1"/>
  <c r="C26" i="181"/>
  <c r="C23" i="181" s="1"/>
  <c r="C21" i="181" s="1"/>
  <c r="C27" i="141"/>
  <c r="C23" i="141" s="1"/>
  <c r="C21" i="141" s="1"/>
  <c r="C27" i="140"/>
  <c r="C23" i="140" s="1"/>
  <c r="C21" i="140" s="1"/>
  <c r="C27" i="139"/>
  <c r="C23" i="139" s="1"/>
  <c r="C21" i="139" s="1"/>
  <c r="C26" i="212"/>
  <c r="C23" i="212" s="1"/>
  <c r="C21" i="212" s="1"/>
  <c r="D19" i="10"/>
  <c r="D9" i="289" s="1"/>
  <c r="C26" i="303"/>
  <c r="C23" i="303" s="1"/>
  <c r="C21" i="303" s="1"/>
  <c r="C26" i="386"/>
  <c r="C23" i="386" s="1"/>
  <c r="C21" i="386" s="1"/>
  <c r="C26" i="161"/>
  <c r="C23" i="161" s="1"/>
  <c r="C21" i="161" s="1"/>
  <c r="C26" i="147"/>
  <c r="C23" i="147" s="1"/>
  <c r="C21" i="147" s="1"/>
  <c r="C26" i="148"/>
  <c r="C23" i="148" s="1"/>
  <c r="C21" i="148" s="1"/>
  <c r="C26" i="152"/>
  <c r="C23" i="152" s="1"/>
  <c r="C21" i="152" s="1"/>
  <c r="C26" i="295"/>
  <c r="C23" i="295" s="1"/>
  <c r="C21" i="295" s="1"/>
  <c r="C26" i="297"/>
  <c r="C23" i="297" s="1"/>
  <c r="C21" i="297" s="1"/>
  <c r="C26" i="157"/>
  <c r="C23" i="157" s="1"/>
  <c r="C21" i="157" s="1"/>
  <c r="C26" i="307"/>
  <c r="C23" i="307" s="1"/>
  <c r="C21" i="307" s="1"/>
  <c r="C26" i="305"/>
  <c r="C23" i="305" s="1"/>
  <c r="C21" i="305" s="1"/>
  <c r="C26" i="154"/>
  <c r="C23" i="154" s="1"/>
  <c r="C21" i="154" s="1"/>
  <c r="G23" i="170"/>
  <c r="C26" i="159"/>
  <c r="C23" i="159" s="1"/>
  <c r="C21" i="159" s="1"/>
  <c r="C26" i="160"/>
  <c r="C23" i="160" s="1"/>
  <c r="C21" i="160" s="1"/>
  <c r="C26" i="149"/>
  <c r="C23" i="149" s="1"/>
  <c r="C21" i="149" s="1"/>
  <c r="C26" i="155"/>
  <c r="C23" i="155" s="1"/>
  <c r="C21" i="155" s="1"/>
  <c r="C26" i="273"/>
  <c r="C23" i="273" s="1"/>
  <c r="C21" i="273" s="1"/>
  <c r="C26" i="167"/>
  <c r="C23" i="167" s="1"/>
  <c r="C21" i="167" s="1"/>
  <c r="C26" i="325"/>
  <c r="C23" i="325" s="1"/>
  <c r="C21" i="325" s="1"/>
  <c r="C26" i="343"/>
  <c r="C23" i="343" s="1"/>
  <c r="C21" i="343" s="1"/>
  <c r="C26" i="382"/>
  <c r="C23" i="382" s="1"/>
  <c r="C21" i="382" s="1"/>
  <c r="C26" i="163"/>
  <c r="C23" i="163" s="1"/>
  <c r="C21" i="163" s="1"/>
  <c r="C26" i="169"/>
  <c r="C23" i="169" s="1"/>
  <c r="C21" i="169" s="1"/>
  <c r="C26" i="313"/>
  <c r="C23" i="313" s="1"/>
  <c r="C21" i="313" s="1"/>
  <c r="C26" i="279"/>
  <c r="C23" i="279" s="1"/>
  <c r="C21" i="279" s="1"/>
  <c r="C26" i="345"/>
  <c r="C23" i="345" s="1"/>
  <c r="C21" i="345" s="1"/>
  <c r="C26" i="264"/>
  <c r="C23" i="264" s="1"/>
  <c r="C21" i="264" s="1"/>
  <c r="C26" i="277"/>
  <c r="C23" i="277" s="1"/>
  <c r="C21" i="277" s="1"/>
  <c r="C26" i="271"/>
  <c r="C23" i="271" s="1"/>
  <c r="C21" i="271" s="1"/>
  <c r="C26" i="359"/>
  <c r="C23" i="359" s="1"/>
  <c r="C21" i="359" s="1"/>
  <c r="C26" i="367"/>
  <c r="C23" i="367" s="1"/>
  <c r="C21" i="367" s="1"/>
  <c r="C26" i="236"/>
  <c r="C23" i="236" s="1"/>
  <c r="C21" i="236" s="1"/>
  <c r="C26" i="380"/>
  <c r="C23" i="380" s="1"/>
  <c r="C21" i="380" s="1"/>
  <c r="C26" i="242"/>
  <c r="C23" i="242" s="1"/>
  <c r="C21" i="242" s="1"/>
  <c r="C26" i="319"/>
  <c r="C23" i="319" s="1"/>
  <c r="C21" i="319" s="1"/>
  <c r="C26" i="349"/>
  <c r="C23" i="349" s="1"/>
  <c r="C21" i="349" s="1"/>
  <c r="C26" i="378"/>
  <c r="C23" i="378" s="1"/>
  <c r="C21" i="378" s="1"/>
  <c r="D19" i="16"/>
  <c r="D25" i="16" s="1"/>
  <c r="D29" i="16" s="1"/>
  <c r="D31" i="16" s="1"/>
  <c r="C26" i="329"/>
  <c r="C23" i="329" s="1"/>
  <c r="C21" i="329" s="1"/>
  <c r="C26" i="165"/>
  <c r="C23" i="165" s="1"/>
  <c r="C21" i="165" s="1"/>
  <c r="C26" i="244"/>
  <c r="C23" i="244" s="1"/>
  <c r="C21" i="244" s="1"/>
  <c r="C26" i="331"/>
  <c r="C23" i="331" s="1"/>
  <c r="C21" i="331" s="1"/>
  <c r="C26" i="369"/>
  <c r="C23" i="369" s="1"/>
  <c r="C21" i="369" s="1"/>
  <c r="C26" i="246"/>
  <c r="C23" i="246" s="1"/>
  <c r="C21" i="246" s="1"/>
  <c r="C26" i="384"/>
  <c r="C23" i="384" s="1"/>
  <c r="C21" i="384" s="1"/>
  <c r="C26" i="347"/>
  <c r="C23" i="347" s="1"/>
  <c r="C21" i="347" s="1"/>
  <c r="C26" i="275"/>
  <c r="C23" i="275" s="1"/>
  <c r="C21" i="275" s="1"/>
  <c r="C26" i="355"/>
  <c r="C23" i="355" s="1"/>
  <c r="C21" i="355" s="1"/>
  <c r="C26" i="341"/>
  <c r="C23" i="341" s="1"/>
  <c r="C21" i="341" s="1"/>
  <c r="C26" i="249"/>
  <c r="C23" i="249" s="1"/>
  <c r="C21" i="249" s="1"/>
  <c r="C26" i="333"/>
  <c r="C23" i="333" s="1"/>
  <c r="C21" i="333" s="1"/>
  <c r="C26" i="371"/>
  <c r="C23" i="371" s="1"/>
  <c r="C21" i="371" s="1"/>
  <c r="C26" i="284"/>
  <c r="C23" i="284" s="1"/>
  <c r="C21" i="284" s="1"/>
  <c r="C26" i="323"/>
  <c r="C23" i="323" s="1"/>
  <c r="C21" i="323" s="1"/>
  <c r="C26" i="365"/>
  <c r="C23" i="365" s="1"/>
  <c r="C21" i="365" s="1"/>
  <c r="C26" i="353"/>
  <c r="C23" i="353" s="1"/>
  <c r="C21" i="353" s="1"/>
  <c r="C26" i="240"/>
  <c r="C23" i="240" s="1"/>
  <c r="C21" i="240" s="1"/>
  <c r="C26" i="266"/>
  <c r="C23" i="266" s="1"/>
  <c r="C21" i="266" s="1"/>
  <c r="C26" i="250"/>
  <c r="C23" i="250" s="1"/>
  <c r="C21" i="250" s="1"/>
  <c r="C26" i="335"/>
  <c r="C23" i="335" s="1"/>
  <c r="C21" i="335" s="1"/>
  <c r="C26" i="327"/>
  <c r="C23" i="327" s="1"/>
  <c r="C21" i="327" s="1"/>
  <c r="C26" i="258"/>
  <c r="C23" i="258" s="1"/>
  <c r="C21" i="258" s="1"/>
  <c r="C26" i="238"/>
  <c r="C23" i="238" s="1"/>
  <c r="C21" i="238" s="1"/>
  <c r="C26" i="254"/>
  <c r="C23" i="254" s="1"/>
  <c r="C21" i="254" s="1"/>
  <c r="C26" i="373"/>
  <c r="C23" i="373" s="1"/>
  <c r="C21" i="373" s="1"/>
  <c r="C26" i="268"/>
  <c r="C23" i="268" s="1"/>
  <c r="C21" i="268" s="1"/>
  <c r="C26" i="252"/>
  <c r="C23" i="252" s="1"/>
  <c r="C21" i="252" s="1"/>
  <c r="C26" i="361"/>
  <c r="C23" i="361" s="1"/>
  <c r="C21" i="361" s="1"/>
  <c r="C26" i="321"/>
  <c r="C23" i="321" s="1"/>
  <c r="C21" i="321" s="1"/>
  <c r="C26" i="260"/>
  <c r="C23" i="260" s="1"/>
  <c r="C21" i="260" s="1"/>
  <c r="C26" i="337"/>
  <c r="C23" i="337" s="1"/>
  <c r="C21" i="337" s="1"/>
  <c r="C26" i="351"/>
  <c r="C23" i="351" s="1"/>
  <c r="C21" i="351" s="1"/>
  <c r="C26" i="357"/>
  <c r="C23" i="357" s="1"/>
  <c r="C21" i="357" s="1"/>
  <c r="C26" i="162"/>
  <c r="C23" i="162" s="1"/>
  <c r="C21" i="162" s="1"/>
  <c r="C26" i="168"/>
  <c r="C23" i="168" s="1"/>
  <c r="C21" i="168" s="1"/>
  <c r="C26" i="164"/>
  <c r="C23" i="164" s="1"/>
  <c r="C21" i="164" s="1"/>
  <c r="C26" i="175"/>
  <c r="C23" i="175" s="1"/>
  <c r="C21" i="175" s="1"/>
  <c r="C26" i="221"/>
  <c r="C23" i="221" s="1"/>
  <c r="C21" i="221" s="1"/>
  <c r="C26" i="176"/>
  <c r="C23" i="176" s="1"/>
  <c r="C21" i="176" s="1"/>
  <c r="C26" i="171"/>
  <c r="C23" i="171" s="1"/>
  <c r="C21" i="171" s="1"/>
  <c r="C26" i="170"/>
  <c r="C23" i="170" s="1"/>
  <c r="C21" i="170" s="1"/>
  <c r="C26" i="177"/>
  <c r="C23" i="177" s="1"/>
  <c r="C21" i="177" s="1"/>
  <c r="C26" i="179"/>
  <c r="C23" i="179" s="1"/>
  <c r="C21" i="179" s="1"/>
  <c r="C26" i="174"/>
  <c r="C23" i="174" s="1"/>
  <c r="C21" i="174" s="1"/>
  <c r="C26" i="180"/>
  <c r="C23" i="180" s="1"/>
  <c r="C21" i="180" s="1"/>
  <c r="D19" i="306"/>
  <c r="D25" i="306" s="1"/>
  <c r="G23" i="233"/>
  <c r="G21" i="233" s="1"/>
  <c r="C26" i="144"/>
  <c r="C23" i="144" s="1"/>
  <c r="C21" i="144" s="1"/>
  <c r="C26" i="142"/>
  <c r="C23" i="142" s="1"/>
  <c r="C21" i="142" s="1"/>
  <c r="C26" i="146"/>
  <c r="C23" i="146" s="1"/>
  <c r="C21" i="146" s="1"/>
  <c r="C26" i="145"/>
  <c r="C23" i="145" s="1"/>
  <c r="C21" i="145" s="1"/>
  <c r="D20" i="17"/>
  <c r="G23" i="203"/>
  <c r="G23" i="171"/>
  <c r="G21" i="171" s="1"/>
  <c r="G23" i="181"/>
  <c r="G21" i="181" s="1"/>
  <c r="G23" i="190"/>
  <c r="G21" i="190" s="1"/>
  <c r="G23" i="174"/>
  <c r="G21" i="174" s="1"/>
  <c r="F5" i="289"/>
  <c r="G23" i="177"/>
  <c r="G21" i="177" s="1"/>
  <c r="G23" i="175"/>
  <c r="G21" i="175" s="1"/>
  <c r="E13" i="135"/>
  <c r="E15" i="135"/>
  <c r="E13" i="342"/>
  <c r="E15" i="342"/>
  <c r="E15" i="312"/>
  <c r="E13" i="312"/>
  <c r="E13" i="272"/>
  <c r="E15" i="272"/>
  <c r="E13" i="29"/>
  <c r="E15" i="29"/>
  <c r="E15" i="276"/>
  <c r="E13" i="276"/>
  <c r="E13" i="88"/>
  <c r="E15" i="88"/>
  <c r="E15" i="85"/>
  <c r="E13" i="85"/>
  <c r="E15" i="248"/>
  <c r="E13" i="248"/>
  <c r="E13" i="56"/>
  <c r="E15" i="56"/>
  <c r="E15" i="73"/>
  <c r="E13" i="73"/>
  <c r="E13" i="280"/>
  <c r="E15" i="280"/>
  <c r="E13" i="34"/>
  <c r="E15" i="34"/>
  <c r="E13" i="89"/>
  <c r="E15" i="89"/>
  <c r="E15" i="93"/>
  <c r="E13" i="93"/>
  <c r="E15" i="97"/>
  <c r="E13" i="97"/>
  <c r="E15" i="37"/>
  <c r="E13" i="37"/>
  <c r="E15" i="38"/>
  <c r="E13" i="38"/>
  <c r="E13" i="62"/>
  <c r="E15" i="62"/>
  <c r="E15" i="54"/>
  <c r="E13" i="54"/>
  <c r="E13" i="379"/>
  <c r="E15" i="379"/>
  <c r="E13" i="330"/>
  <c r="E15" i="330"/>
  <c r="E15" i="314"/>
  <c r="E13" i="314"/>
  <c r="E13" i="95"/>
  <c r="E15" i="95"/>
  <c r="E13" i="298"/>
  <c r="E15" i="298"/>
  <c r="E13" i="224"/>
  <c r="E15" i="224"/>
  <c r="E13" i="324"/>
  <c r="E15" i="324"/>
  <c r="E15" i="383"/>
  <c r="E13" i="383"/>
  <c r="E13" i="70"/>
  <c r="E15" i="70"/>
  <c r="E13" i="368"/>
  <c r="E15" i="368"/>
  <c r="E15" i="340"/>
  <c r="E13" i="340"/>
  <c r="E15" i="48"/>
  <c r="E13" i="48"/>
  <c r="E13" i="352"/>
  <c r="E15" i="352"/>
  <c r="E13" i="265"/>
  <c r="E15" i="265"/>
  <c r="E13" i="344"/>
  <c r="E15" i="344"/>
  <c r="E13" i="316"/>
  <c r="E15" i="316"/>
  <c r="E15" i="43"/>
  <c r="E13" i="43"/>
  <c r="E15" i="362"/>
  <c r="E13" i="362"/>
  <c r="E13" i="17"/>
  <c r="E15" i="17"/>
  <c r="E13" i="239"/>
  <c r="E15" i="239"/>
  <c r="E13" i="72"/>
  <c r="E15" i="72"/>
  <c r="E13" i="232"/>
  <c r="E15" i="232"/>
  <c r="E13" i="101"/>
  <c r="E15" i="101"/>
  <c r="E15" i="247"/>
  <c r="E13" i="247"/>
  <c r="E15" i="308"/>
  <c r="E15" i="104"/>
  <c r="E13" i="104"/>
  <c r="E13" i="45"/>
  <c r="E15" i="45"/>
  <c r="E13" i="274"/>
  <c r="E15" i="274"/>
  <c r="E13" i="285"/>
  <c r="E15" i="285"/>
  <c r="E15" i="92"/>
  <c r="E13" i="92"/>
  <c r="E15" i="66"/>
  <c r="E13" i="66"/>
  <c r="E15" i="86"/>
  <c r="E13" i="86"/>
  <c r="E13" i="32"/>
  <c r="E15" i="32"/>
  <c r="E13" i="226"/>
  <c r="E15" i="226"/>
  <c r="E15" i="222"/>
  <c r="E13" i="222"/>
  <c r="E15" i="320"/>
  <c r="E13" i="320"/>
  <c r="E15" i="52"/>
  <c r="E13" i="52"/>
  <c r="E15" i="267"/>
  <c r="E13" i="267"/>
  <c r="E15" i="87"/>
  <c r="E13" i="87"/>
  <c r="E15" i="354"/>
  <c r="E13" i="354"/>
  <c r="E13" i="81"/>
  <c r="E15" i="81"/>
  <c r="E15" i="77"/>
  <c r="E13" i="77"/>
  <c r="E15" i="237"/>
  <c r="E13" i="237"/>
  <c r="E13" i="69"/>
  <c r="E15" i="69"/>
  <c r="E13" i="80"/>
  <c r="E15" i="80"/>
  <c r="E13" i="40"/>
  <c r="E15" i="40"/>
  <c r="E13" i="91"/>
  <c r="E15" i="91"/>
  <c r="E15" i="255"/>
  <c r="E13" i="255"/>
  <c r="E15" i="57"/>
  <c r="E13" i="57"/>
  <c r="E15" i="261"/>
  <c r="E13" i="261"/>
  <c r="E15" i="74"/>
  <c r="E13" i="74"/>
  <c r="E15" i="51"/>
  <c r="E13" i="51"/>
  <c r="E15" i="103"/>
  <c r="E13" i="103"/>
  <c r="E15" i="253"/>
  <c r="E13" i="253"/>
  <c r="E13" i="328"/>
  <c r="E15" i="328"/>
  <c r="E13" i="336"/>
  <c r="E15" i="336"/>
  <c r="E13" i="228"/>
  <c r="E15" i="228"/>
  <c r="E13" i="55"/>
  <c r="E15" i="55"/>
  <c r="E13" i="322"/>
  <c r="E15" i="322"/>
  <c r="E15" i="63"/>
  <c r="E13" i="63"/>
  <c r="E13" i="68"/>
  <c r="E15" i="68"/>
  <c r="E15" i="217"/>
  <c r="E13" i="217"/>
  <c r="E15" i="372"/>
  <c r="E13" i="372"/>
  <c r="E13" i="243"/>
  <c r="E15" i="243"/>
  <c r="E15" i="102"/>
  <c r="E13" i="102"/>
  <c r="E13" i="356"/>
  <c r="E15" i="356"/>
  <c r="E15" i="241"/>
  <c r="E13" i="241"/>
  <c r="E13" i="374"/>
  <c r="E15" i="374"/>
  <c r="E15" i="366"/>
  <c r="E13" i="366"/>
  <c r="E15" i="348"/>
  <c r="E13" i="348"/>
  <c r="E13" i="49"/>
  <c r="E15" i="49"/>
  <c r="E15" i="230"/>
  <c r="E13" i="230"/>
  <c r="E13" i="105"/>
  <c r="E15" i="105"/>
  <c r="E13" i="257"/>
  <c r="E15" i="257"/>
  <c r="E13" i="18"/>
  <c r="E15" i="18"/>
  <c r="E13" i="100"/>
  <c r="E15" i="100"/>
  <c r="E15" i="61"/>
  <c r="E13" i="61"/>
  <c r="E13" i="106"/>
  <c r="E15" i="106"/>
  <c r="E13" i="302"/>
  <c r="E15" i="302"/>
  <c r="E13" i="310"/>
  <c r="E15" i="310"/>
  <c r="E15" i="377"/>
  <c r="E13" i="377"/>
  <c r="E13" i="82"/>
  <c r="E15" i="82"/>
  <c r="E15" i="75"/>
  <c r="E13" i="75"/>
  <c r="E13" i="59"/>
  <c r="E15" i="59"/>
  <c r="E13" i="65"/>
  <c r="E15" i="65"/>
  <c r="E13" i="39"/>
  <c r="E15" i="39"/>
  <c r="E13" i="16"/>
  <c r="E15" i="16"/>
  <c r="E13" i="10"/>
  <c r="E26" i="560" s="1"/>
  <c r="E15" i="10"/>
  <c r="E27" i="560" s="1"/>
  <c r="E15" i="53"/>
  <c r="E13" i="53"/>
  <c r="E15" i="296"/>
  <c r="E13" i="296"/>
  <c r="E13" i="50"/>
  <c r="E15" i="50"/>
  <c r="E13" i="263"/>
  <c r="E15" i="263"/>
  <c r="E13" i="318"/>
  <c r="E15" i="318"/>
  <c r="E13" i="278"/>
  <c r="E15" i="278"/>
  <c r="E13" i="334"/>
  <c r="E15" i="334"/>
  <c r="E15" i="269"/>
  <c r="E13" i="269"/>
  <c r="E15" i="44"/>
  <c r="E13" i="44"/>
  <c r="E13" i="96"/>
  <c r="E15" i="96"/>
  <c r="E13" i="326"/>
  <c r="E15" i="326"/>
  <c r="E15" i="36"/>
  <c r="E13" i="36"/>
  <c r="E13" i="42"/>
  <c r="E15" i="42"/>
  <c r="E13" i="332"/>
  <c r="E15" i="332"/>
  <c r="E15" i="251"/>
  <c r="E13" i="251"/>
  <c r="E15" i="381"/>
  <c r="E13" i="381"/>
  <c r="E13" i="364"/>
  <c r="E15" i="364"/>
  <c r="E15" i="71"/>
  <c r="E13" i="71"/>
  <c r="E15" i="385"/>
  <c r="E13" i="385"/>
  <c r="E15" i="360"/>
  <c r="E13" i="360"/>
  <c r="E13" i="346"/>
  <c r="E15" i="346"/>
  <c r="E13" i="294"/>
  <c r="E15" i="294"/>
  <c r="E13" i="235"/>
  <c r="E15" i="235"/>
  <c r="E15" i="47"/>
  <c r="E13" i="47"/>
  <c r="E15" i="245"/>
  <c r="E13" i="245"/>
  <c r="E15" i="83"/>
  <c r="E13" i="83"/>
  <c r="E13" i="338"/>
  <c r="E15" i="338"/>
  <c r="E15" i="370"/>
  <c r="E13" i="370"/>
  <c r="E15" i="306"/>
  <c r="E13" i="306"/>
  <c r="E15" i="350"/>
  <c r="E13" i="350"/>
  <c r="E15" i="211"/>
  <c r="E13" i="211"/>
  <c r="E13" i="27"/>
  <c r="E15" i="27"/>
  <c r="E13" i="234"/>
  <c r="E15" i="234"/>
  <c r="E13" i="300"/>
  <c r="E15" i="300"/>
  <c r="E15" i="358"/>
  <c r="E13" i="358"/>
  <c r="E15" i="98"/>
  <c r="E13" i="98"/>
  <c r="E13" i="41"/>
  <c r="E15" i="41"/>
  <c r="E13" i="64"/>
  <c r="E15" i="64"/>
  <c r="E15" i="304"/>
  <c r="E13" i="304"/>
  <c r="E13" i="259"/>
  <c r="E15" i="259"/>
  <c r="G23" i="179"/>
  <c r="G21" i="179" s="1"/>
  <c r="G23" i="221"/>
  <c r="G21" i="221" s="1"/>
  <c r="G23" i="172"/>
  <c r="G21" i="172" s="1"/>
  <c r="G23" i="229"/>
  <c r="G23" i="197"/>
  <c r="G23" i="192"/>
  <c r="G21" i="163"/>
  <c r="G21" i="359"/>
  <c r="G21" i="295"/>
  <c r="G21" i="160"/>
  <c r="G21" i="345"/>
  <c r="G21" i="142"/>
  <c r="G21" i="343"/>
  <c r="G21" i="252"/>
  <c r="G21" i="307"/>
  <c r="G21" i="151"/>
  <c r="G21" i="159"/>
  <c r="G23" i="184"/>
  <c r="G23" i="186"/>
  <c r="G23" i="193"/>
  <c r="G23" i="189"/>
  <c r="F8" i="289"/>
  <c r="G23" i="204"/>
  <c r="G23" i="223"/>
  <c r="F25" i="18"/>
  <c r="F49" i="2" s="1"/>
  <c r="G23" i="227"/>
  <c r="G23" i="200"/>
  <c r="G23" i="231"/>
  <c r="G23" i="206"/>
  <c r="G23" i="191"/>
  <c r="G23" i="183"/>
  <c r="G23" i="195"/>
  <c r="G23" i="309"/>
  <c r="G23" i="188"/>
  <c r="G23" i="199"/>
  <c r="G23" i="194"/>
  <c r="G23" i="201"/>
  <c r="G23" i="198"/>
  <c r="G23" i="187"/>
  <c r="G23" i="207"/>
  <c r="G23" i="185"/>
  <c r="G23" i="218"/>
  <c r="G23" i="225"/>
  <c r="G23" i="196"/>
  <c r="G23" i="205"/>
  <c r="F25" i="19"/>
  <c r="J26" i="132" s="1"/>
  <c r="G21" i="244"/>
  <c r="G21" i="137"/>
  <c r="G21" i="386"/>
  <c r="G21" i="158"/>
  <c r="G21" i="154"/>
  <c r="G21" i="311"/>
  <c r="G21" i="250"/>
  <c r="G21" i="161"/>
  <c r="G21" i="349"/>
  <c r="G21" i="351"/>
  <c r="G21" i="301"/>
  <c r="G21" i="139"/>
  <c r="G21" i="212"/>
  <c r="G21" i="271"/>
  <c r="G21" i="149"/>
  <c r="G21" i="156"/>
  <c r="G21" i="284"/>
  <c r="G21" i="361"/>
  <c r="G21" i="146"/>
  <c r="G21" i="168"/>
  <c r="G21" i="150"/>
  <c r="G21" i="355"/>
  <c r="G21" i="279"/>
  <c r="G21" i="325"/>
  <c r="G21" i="297"/>
  <c r="G21" i="155"/>
  <c r="G21" i="140"/>
  <c r="G21" i="145"/>
  <c r="G21" i="141"/>
  <c r="G21" i="157"/>
  <c r="G21" i="256"/>
  <c r="G21" i="242"/>
  <c r="G21" i="341"/>
  <c r="G21" i="380"/>
  <c r="G21" i="152"/>
  <c r="G21" i="254"/>
  <c r="G21" i="268"/>
  <c r="G21" i="260"/>
  <c r="G21" i="347"/>
  <c r="G21" i="369"/>
  <c r="G21" i="299"/>
  <c r="G21" i="246"/>
  <c r="G21" i="378"/>
  <c r="G21" i="144"/>
  <c r="G21" i="357"/>
  <c r="G21" i="323"/>
  <c r="G21" i="138"/>
  <c r="G21" i="262"/>
  <c r="G21" i="249"/>
  <c r="G21" i="167"/>
  <c r="G21" i="365"/>
  <c r="G21" i="376"/>
  <c r="G21" i="303"/>
  <c r="G21" i="173"/>
  <c r="G21" i="264"/>
  <c r="G21" i="148"/>
  <c r="G21" i="319"/>
  <c r="G21" i="277"/>
  <c r="G21" i="363"/>
  <c r="G21" i="339"/>
  <c r="G21" i="321"/>
  <c r="G21" i="317"/>
  <c r="G21" i="331"/>
  <c r="G21" i="337"/>
  <c r="G21" i="273"/>
  <c r="G21" i="240"/>
  <c r="G21" i="236"/>
  <c r="G21" i="153"/>
  <c r="G21" i="384"/>
  <c r="G21" i="382"/>
  <c r="G21" i="353"/>
  <c r="G21" i="238"/>
  <c r="G21" i="327"/>
  <c r="G21" i="275"/>
  <c r="G21" i="315"/>
  <c r="G21" i="313"/>
  <c r="G21" i="329"/>
  <c r="G21" i="367"/>
  <c r="G21" i="282"/>
  <c r="G21" i="162"/>
  <c r="G21" i="333"/>
  <c r="G21" i="165"/>
  <c r="G21" i="164"/>
  <c r="G21" i="371"/>
  <c r="G21" i="166"/>
  <c r="G21" i="169"/>
  <c r="G21" i="335"/>
  <c r="G21" i="373"/>
  <c r="G21" i="147"/>
  <c r="G21" i="258"/>
  <c r="G21" i="305"/>
  <c r="C23" i="412" l="1"/>
  <c r="C23" i="436"/>
  <c r="C23" i="430"/>
  <c r="C23" i="446"/>
  <c r="C21" i="446" s="1"/>
  <c r="C31" i="446" s="1"/>
  <c r="C23" i="448"/>
  <c r="C21" i="448" s="1"/>
  <c r="C31" i="448" s="1"/>
  <c r="C23" i="416"/>
  <c r="C21" i="416" s="1"/>
  <c r="C31" i="416" s="1"/>
  <c r="C23" i="410"/>
  <c r="C29" i="410" s="1"/>
  <c r="D30" i="410" s="1"/>
  <c r="C23" i="420"/>
  <c r="C29" i="420" s="1"/>
  <c r="D30" i="420" s="1"/>
  <c r="C23" i="422"/>
  <c r="C21" i="422" s="1"/>
  <c r="C31" i="422" s="1"/>
  <c r="C23" i="424"/>
  <c r="C21" i="424" s="1"/>
  <c r="C31" i="424" s="1"/>
  <c r="C23" i="434"/>
  <c r="C21" i="434" s="1"/>
  <c r="C31" i="434" s="1"/>
  <c r="C23" i="426"/>
  <c r="C29" i="426" s="1"/>
  <c r="D30" i="426" s="1"/>
  <c r="C23" i="432"/>
  <c r="C21" i="432" s="1"/>
  <c r="C31" i="432" s="1"/>
  <c r="C23" i="414"/>
  <c r="C29" i="414" s="1"/>
  <c r="D30" i="414" s="1"/>
  <c r="C23" i="442"/>
  <c r="C29" i="442" s="1"/>
  <c r="D30" i="442" s="1"/>
  <c r="C23" i="438"/>
  <c r="C21" i="438" s="1"/>
  <c r="C31" i="438" s="1"/>
  <c r="C23" i="444"/>
  <c r="C21" i="444" s="1"/>
  <c r="C31" i="444" s="1"/>
  <c r="C23" i="418"/>
  <c r="C21" i="418" s="1"/>
  <c r="C31" i="418" s="1"/>
  <c r="C23" i="450"/>
  <c r="C29" i="450" s="1"/>
  <c r="D30" i="450" s="1"/>
  <c r="F29" i="16"/>
  <c r="F31" i="16" s="1"/>
  <c r="D25" i="19"/>
  <c r="H26" i="132" s="1"/>
  <c r="H33" i="562"/>
  <c r="E29" i="182"/>
  <c r="E40" i="147"/>
  <c r="E41" i="147" s="1"/>
  <c r="D6" i="289"/>
  <c r="D12" i="132"/>
  <c r="D31" i="132" s="1"/>
  <c r="D34" i="132" s="1"/>
  <c r="E27" i="453"/>
  <c r="E27" i="562"/>
  <c r="E26" i="453"/>
  <c r="E26" i="562"/>
  <c r="G33" i="562"/>
  <c r="G37" i="562" s="1"/>
  <c r="G43" i="562" s="1"/>
  <c r="G46" i="562" s="1"/>
  <c r="H47" i="562" s="1"/>
  <c r="G48" i="562" s="1"/>
  <c r="G49" i="562" s="1"/>
  <c r="F93" i="209" s="1"/>
  <c r="W93" i="209" s="1"/>
  <c r="C21" i="562"/>
  <c r="C31" i="562" s="1"/>
  <c r="C29" i="562"/>
  <c r="D30" i="562" s="1"/>
  <c r="E29" i="19"/>
  <c r="E31" i="19" s="1"/>
  <c r="G40" i="147"/>
  <c r="G41" i="147" s="1"/>
  <c r="F23" i="512"/>
  <c r="F25" i="512" s="1"/>
  <c r="D23" i="512"/>
  <c r="D25" i="512" s="1"/>
  <c r="E23" i="512"/>
  <c r="E25" i="512" s="1"/>
  <c r="C40" i="513"/>
  <c r="D33" i="560"/>
  <c r="G33" i="560"/>
  <c r="G37" i="560" s="1"/>
  <c r="G43" i="560" s="1"/>
  <c r="G46" i="560" s="1"/>
  <c r="E23" i="560"/>
  <c r="C33" i="560"/>
  <c r="C37" i="560" s="1"/>
  <c r="C43" i="560" s="1"/>
  <c r="C46" i="560" s="1"/>
  <c r="E21" i="444"/>
  <c r="E31" i="444" s="1"/>
  <c r="E21" i="450"/>
  <c r="E31" i="450" s="1"/>
  <c r="E21" i="420"/>
  <c r="E31" i="420" s="1"/>
  <c r="G32" i="557"/>
  <c r="H38" i="557" s="1"/>
  <c r="H33" i="557"/>
  <c r="G32" i="541"/>
  <c r="H38" i="541" s="1"/>
  <c r="H33" i="541"/>
  <c r="C21" i="543"/>
  <c r="C31" i="543" s="1"/>
  <c r="C29" i="543"/>
  <c r="D30" i="543" s="1"/>
  <c r="C21" i="503"/>
  <c r="C31" i="503" s="1"/>
  <c r="C29" i="503"/>
  <c r="D30" i="503" s="1"/>
  <c r="C21" i="545"/>
  <c r="C31" i="545" s="1"/>
  <c r="C29" i="545"/>
  <c r="D30" i="545" s="1"/>
  <c r="C21" i="541"/>
  <c r="C31" i="541" s="1"/>
  <c r="C29" i="541"/>
  <c r="D30" i="541" s="1"/>
  <c r="G32" i="517"/>
  <c r="H38" i="517" s="1"/>
  <c r="H33" i="517"/>
  <c r="G32" i="519"/>
  <c r="H38" i="519" s="1"/>
  <c r="H33" i="519"/>
  <c r="G32" i="503"/>
  <c r="H38" i="503" s="1"/>
  <c r="H33" i="503"/>
  <c r="G32" i="549"/>
  <c r="H38" i="549" s="1"/>
  <c r="H33" i="549"/>
  <c r="G32" i="539"/>
  <c r="H38" i="539" s="1"/>
  <c r="H33" i="539"/>
  <c r="C21" i="549"/>
  <c r="C31" i="549" s="1"/>
  <c r="C29" i="549"/>
  <c r="D30" i="549" s="1"/>
  <c r="C21" i="537"/>
  <c r="C31" i="537" s="1"/>
  <c r="C29" i="537"/>
  <c r="D30" i="537" s="1"/>
  <c r="C21" i="507"/>
  <c r="C31" i="507" s="1"/>
  <c r="C29" i="507"/>
  <c r="D30" i="507" s="1"/>
  <c r="C21" i="555"/>
  <c r="C31" i="555" s="1"/>
  <c r="C29" i="555"/>
  <c r="D30" i="555" s="1"/>
  <c r="G32" i="515"/>
  <c r="H38" i="515" s="1"/>
  <c r="H33" i="515"/>
  <c r="G32" i="527"/>
  <c r="H38" i="527" s="1"/>
  <c r="H33" i="527"/>
  <c r="G32" i="525"/>
  <c r="H38" i="525" s="1"/>
  <c r="H33" i="525"/>
  <c r="C21" i="533"/>
  <c r="C31" i="533" s="1"/>
  <c r="C29" i="533"/>
  <c r="D30" i="533" s="1"/>
  <c r="C21" i="501"/>
  <c r="C31" i="501" s="1"/>
  <c r="C29" i="501"/>
  <c r="D30" i="501" s="1"/>
  <c r="G32" i="537"/>
  <c r="H38" i="537" s="1"/>
  <c r="H33" i="537"/>
  <c r="G32" i="507"/>
  <c r="H38" i="507" s="1"/>
  <c r="H33" i="507"/>
  <c r="G32" i="551"/>
  <c r="H38" i="551" s="1"/>
  <c r="H33" i="551"/>
  <c r="E27" i="521"/>
  <c r="E27" i="519"/>
  <c r="E27" i="517"/>
  <c r="E27" i="509"/>
  <c r="E27" i="547"/>
  <c r="E27" i="557"/>
  <c r="E27" i="549"/>
  <c r="E27" i="543"/>
  <c r="E27" i="539"/>
  <c r="E27" i="515"/>
  <c r="E27" i="501"/>
  <c r="E27" i="537"/>
  <c r="E27" i="559"/>
  <c r="E27" i="551"/>
  <c r="E27" i="523"/>
  <c r="E27" i="507"/>
  <c r="E27" i="545"/>
  <c r="E27" i="533"/>
  <c r="E27" i="511"/>
  <c r="E27" i="505"/>
  <c r="E27" i="555"/>
  <c r="E27" i="541"/>
  <c r="E27" i="529"/>
  <c r="E27" i="535"/>
  <c r="E27" i="527"/>
  <c r="E27" i="525"/>
  <c r="E27" i="499"/>
  <c r="E27" i="531"/>
  <c r="E27" i="513"/>
  <c r="E27" i="503"/>
  <c r="G32" i="545"/>
  <c r="H38" i="545" s="1"/>
  <c r="H33" i="545"/>
  <c r="C21" i="511"/>
  <c r="C31" i="511" s="1"/>
  <c r="C29" i="511"/>
  <c r="D30" i="511" s="1"/>
  <c r="C21" i="509"/>
  <c r="C31" i="509" s="1"/>
  <c r="C29" i="509"/>
  <c r="D30" i="509" s="1"/>
  <c r="C21" i="513"/>
  <c r="C31" i="513" s="1"/>
  <c r="C29" i="513"/>
  <c r="D30" i="513" s="1"/>
  <c r="C21" i="525"/>
  <c r="C31" i="525" s="1"/>
  <c r="C29" i="525"/>
  <c r="D30" i="525" s="1"/>
  <c r="G32" i="547"/>
  <c r="H38" i="547" s="1"/>
  <c r="H33" i="547"/>
  <c r="G32" i="509"/>
  <c r="H38" i="509" s="1"/>
  <c r="H33" i="509"/>
  <c r="G32" i="555"/>
  <c r="H38" i="555" s="1"/>
  <c r="H33" i="555"/>
  <c r="C21" i="499"/>
  <c r="C31" i="499" s="1"/>
  <c r="C29" i="499"/>
  <c r="D30" i="499" s="1"/>
  <c r="E26" i="527"/>
  <c r="E26" i="525"/>
  <c r="E26" i="499"/>
  <c r="E26" i="535"/>
  <c r="E26" i="531"/>
  <c r="E26" i="513"/>
  <c r="E26" i="501"/>
  <c r="E26" i="533"/>
  <c r="E26" i="505"/>
  <c r="E26" i="555"/>
  <c r="E26" i="541"/>
  <c r="E26" i="547"/>
  <c r="E26" i="537"/>
  <c r="E26" i="503"/>
  <c r="E26" i="521"/>
  <c r="E26" i="519"/>
  <c r="E26" i="517"/>
  <c r="E26" i="509"/>
  <c r="E26" i="557"/>
  <c r="E26" i="549"/>
  <c r="E26" i="543"/>
  <c r="E26" i="539"/>
  <c r="E26" i="515"/>
  <c r="E26" i="511"/>
  <c r="E26" i="529"/>
  <c r="E26" i="559"/>
  <c r="E26" i="551"/>
  <c r="E26" i="523"/>
  <c r="E26" i="507"/>
  <c r="E26" i="545"/>
  <c r="G32" i="535"/>
  <c r="H38" i="535" s="1"/>
  <c r="H33" i="535"/>
  <c r="G32" i="505"/>
  <c r="H38" i="505" s="1"/>
  <c r="H33" i="505"/>
  <c r="C21" i="551"/>
  <c r="C31" i="551" s="1"/>
  <c r="C29" i="551"/>
  <c r="D30" i="551" s="1"/>
  <c r="C21" i="517"/>
  <c r="C31" i="517" s="1"/>
  <c r="C29" i="517"/>
  <c r="D30" i="517" s="1"/>
  <c r="C21" i="531"/>
  <c r="C31" i="531" s="1"/>
  <c r="C29" i="531"/>
  <c r="D30" i="531" s="1"/>
  <c r="C21" i="527"/>
  <c r="C31" i="527" s="1"/>
  <c r="C29" i="527"/>
  <c r="D30" i="527" s="1"/>
  <c r="G32" i="501"/>
  <c r="H38" i="501" s="1"/>
  <c r="H33" i="501"/>
  <c r="G32" i="523"/>
  <c r="H38" i="523" s="1"/>
  <c r="H33" i="523"/>
  <c r="C21" i="557"/>
  <c r="C31" i="557" s="1"/>
  <c r="C29" i="557"/>
  <c r="D30" i="557" s="1"/>
  <c r="C21" i="547"/>
  <c r="C31" i="547" s="1"/>
  <c r="C29" i="547"/>
  <c r="D30" i="547" s="1"/>
  <c r="C21" i="559"/>
  <c r="C31" i="559" s="1"/>
  <c r="C29" i="559"/>
  <c r="D30" i="559" s="1"/>
  <c r="G32" i="559"/>
  <c r="H38" i="559" s="1"/>
  <c r="H33" i="559"/>
  <c r="G32" i="543"/>
  <c r="H38" i="543" s="1"/>
  <c r="H33" i="543"/>
  <c r="C21" i="515"/>
  <c r="C31" i="515" s="1"/>
  <c r="C29" i="515"/>
  <c r="D30" i="515" s="1"/>
  <c r="C21" i="519"/>
  <c r="C31" i="519" s="1"/>
  <c r="C29" i="519"/>
  <c r="D30" i="519" s="1"/>
  <c r="C21" i="535"/>
  <c r="C31" i="535" s="1"/>
  <c r="C29" i="535"/>
  <c r="D30" i="535" s="1"/>
  <c r="C21" i="523"/>
  <c r="C31" i="523" s="1"/>
  <c r="C29" i="523"/>
  <c r="D30" i="523" s="1"/>
  <c r="G32" i="521"/>
  <c r="H38" i="521" s="1"/>
  <c r="H33" i="521"/>
  <c r="G32" i="511"/>
  <c r="H38" i="511" s="1"/>
  <c r="H33" i="511"/>
  <c r="G32" i="531"/>
  <c r="H38" i="531" s="1"/>
  <c r="H33" i="531"/>
  <c r="G32" i="499"/>
  <c r="H38" i="499" s="1"/>
  <c r="H33" i="499"/>
  <c r="G32" i="533"/>
  <c r="H38" i="533" s="1"/>
  <c r="H33" i="533"/>
  <c r="G32" i="513"/>
  <c r="H38" i="513" s="1"/>
  <c r="H33" i="513"/>
  <c r="C21" i="539"/>
  <c r="C31" i="539" s="1"/>
  <c r="C29" i="539"/>
  <c r="D30" i="539" s="1"/>
  <c r="C21" i="521"/>
  <c r="C31" i="521" s="1"/>
  <c r="C29" i="521"/>
  <c r="D30" i="521" s="1"/>
  <c r="C21" i="505"/>
  <c r="C31" i="505" s="1"/>
  <c r="C29" i="505"/>
  <c r="D30" i="505" s="1"/>
  <c r="C21" i="529"/>
  <c r="C31" i="529" s="1"/>
  <c r="C29" i="529"/>
  <c r="D30" i="529" s="1"/>
  <c r="G32" i="529"/>
  <c r="H38" i="529" s="1"/>
  <c r="H33" i="529"/>
  <c r="E29" i="416"/>
  <c r="F30" i="416" s="1"/>
  <c r="E32" i="416" s="1"/>
  <c r="F38" i="416" s="1"/>
  <c r="E21" i="418"/>
  <c r="E31" i="418" s="1"/>
  <c r="E29" i="430"/>
  <c r="F30" i="430" s="1"/>
  <c r="F33" i="430" s="1"/>
  <c r="E21" i="436"/>
  <c r="E31" i="436" s="1"/>
  <c r="G32" i="462"/>
  <c r="H38" i="462" s="1"/>
  <c r="H33" i="462"/>
  <c r="C21" i="474"/>
  <c r="C31" i="474" s="1"/>
  <c r="C29" i="474"/>
  <c r="D30" i="474" s="1"/>
  <c r="G32" i="468"/>
  <c r="H38" i="468" s="1"/>
  <c r="H33" i="468"/>
  <c r="C21" i="476"/>
  <c r="C31" i="476" s="1"/>
  <c r="C29" i="476"/>
  <c r="D30" i="476" s="1"/>
  <c r="G32" i="460"/>
  <c r="H38" i="460" s="1"/>
  <c r="H33" i="460"/>
  <c r="G32" i="466"/>
  <c r="H38" i="466" s="1"/>
  <c r="H33" i="466"/>
  <c r="C21" i="470"/>
  <c r="C31" i="470" s="1"/>
  <c r="C29" i="470"/>
  <c r="D30" i="470" s="1"/>
  <c r="G32" i="478"/>
  <c r="H38" i="478" s="1"/>
  <c r="H33" i="478"/>
  <c r="C21" i="478"/>
  <c r="C31" i="478" s="1"/>
  <c r="C29" i="478"/>
  <c r="D30" i="478" s="1"/>
  <c r="E26" i="472"/>
  <c r="E26" i="478"/>
  <c r="E26" i="476"/>
  <c r="E26" i="474"/>
  <c r="E26" i="468"/>
  <c r="E26" i="462"/>
  <c r="E26" i="464"/>
  <c r="E26" i="460"/>
  <c r="E26" i="454"/>
  <c r="E26" i="456"/>
  <c r="E26" i="466"/>
  <c r="E26" i="470"/>
  <c r="G32" i="456"/>
  <c r="H38" i="456" s="1"/>
  <c r="H33" i="456"/>
  <c r="G32" i="464"/>
  <c r="H38" i="464" s="1"/>
  <c r="H33" i="464"/>
  <c r="C21" i="454"/>
  <c r="C31" i="454" s="1"/>
  <c r="C29" i="454"/>
  <c r="D30" i="454" s="1"/>
  <c r="G32" i="476"/>
  <c r="H38" i="476" s="1"/>
  <c r="H33" i="476"/>
  <c r="E29" i="410"/>
  <c r="F30" i="410" s="1"/>
  <c r="F33" i="410" s="1"/>
  <c r="G32" i="474"/>
  <c r="H38" i="474" s="1"/>
  <c r="H33" i="474"/>
  <c r="C21" i="468"/>
  <c r="C31" i="468" s="1"/>
  <c r="C29" i="468"/>
  <c r="D30" i="468" s="1"/>
  <c r="C21" i="456"/>
  <c r="C31" i="456" s="1"/>
  <c r="C29" i="456"/>
  <c r="D30" i="456" s="1"/>
  <c r="G32" i="470"/>
  <c r="H38" i="470" s="1"/>
  <c r="H33" i="470"/>
  <c r="C21" i="460"/>
  <c r="C31" i="460" s="1"/>
  <c r="C29" i="460"/>
  <c r="D30" i="460" s="1"/>
  <c r="C21" i="472"/>
  <c r="C31" i="472" s="1"/>
  <c r="C29" i="472"/>
  <c r="D30" i="472" s="1"/>
  <c r="G32" i="472"/>
  <c r="H38" i="472" s="1"/>
  <c r="H33" i="472"/>
  <c r="G32" i="454"/>
  <c r="H38" i="454" s="1"/>
  <c r="H33" i="454"/>
  <c r="C21" i="462"/>
  <c r="C31" i="462" s="1"/>
  <c r="C29" i="462"/>
  <c r="D30" i="462" s="1"/>
  <c r="E27" i="476"/>
  <c r="E27" i="474"/>
  <c r="E27" i="468"/>
  <c r="E27" i="464"/>
  <c r="E27" i="462"/>
  <c r="E27" i="460"/>
  <c r="E27" i="470"/>
  <c r="E27" i="466"/>
  <c r="E27" i="472"/>
  <c r="E27" i="456"/>
  <c r="E27" i="454"/>
  <c r="E27" i="478"/>
  <c r="C21" i="464"/>
  <c r="C31" i="464" s="1"/>
  <c r="C29" i="464"/>
  <c r="D30" i="464" s="1"/>
  <c r="C21" i="466"/>
  <c r="C31" i="466" s="1"/>
  <c r="C29" i="466"/>
  <c r="D30" i="466" s="1"/>
  <c r="D49" i="2"/>
  <c r="E21" i="414"/>
  <c r="E31" i="414" s="1"/>
  <c r="D7" i="289"/>
  <c r="E29" i="440"/>
  <c r="F30" i="440" s="1"/>
  <c r="E32" i="440" s="1"/>
  <c r="F38" i="440" s="1"/>
  <c r="E29" i="426"/>
  <c r="F30" i="426" s="1"/>
  <c r="E32" i="426" s="1"/>
  <c r="F38" i="426" s="1"/>
  <c r="E29" i="438"/>
  <c r="F30" i="438" s="1"/>
  <c r="F33" i="438" s="1"/>
  <c r="E21" i="422"/>
  <c r="E31" i="422" s="1"/>
  <c r="C21" i="453"/>
  <c r="C31" i="453" s="1"/>
  <c r="C29" i="453"/>
  <c r="D30" i="453" s="1"/>
  <c r="G32" i="453"/>
  <c r="H38" i="453" s="1"/>
  <c r="H33" i="453"/>
  <c r="E21" i="446"/>
  <c r="E31" i="446" s="1"/>
  <c r="E29" i="446"/>
  <c r="F30" i="446" s="1"/>
  <c r="G32" i="418"/>
  <c r="H38" i="418" s="1"/>
  <c r="H33" i="418"/>
  <c r="E32" i="444"/>
  <c r="F38" i="444" s="1"/>
  <c r="F33" i="444"/>
  <c r="G32" i="426"/>
  <c r="H38" i="426" s="1"/>
  <c r="H33" i="426"/>
  <c r="E32" i="436"/>
  <c r="F38" i="436" s="1"/>
  <c r="F33" i="436"/>
  <c r="G32" i="432"/>
  <c r="H38" i="432" s="1"/>
  <c r="H33" i="432"/>
  <c r="E32" i="422"/>
  <c r="F38" i="422" s="1"/>
  <c r="F33" i="422"/>
  <c r="G32" i="414"/>
  <c r="H38" i="414" s="1"/>
  <c r="H33" i="414"/>
  <c r="G32" i="412"/>
  <c r="H38" i="412" s="1"/>
  <c r="H33" i="412"/>
  <c r="G32" i="448"/>
  <c r="H38" i="448" s="1"/>
  <c r="H33" i="448"/>
  <c r="G32" i="410"/>
  <c r="H38" i="410" s="1"/>
  <c r="H33" i="410"/>
  <c r="G32" i="422"/>
  <c r="H38" i="422" s="1"/>
  <c r="H33" i="422"/>
  <c r="C21" i="412"/>
  <c r="C31" i="412" s="1"/>
  <c r="C29" i="412"/>
  <c r="D30" i="412" s="1"/>
  <c r="G32" i="434"/>
  <c r="H38" i="434" s="1"/>
  <c r="H33" i="434"/>
  <c r="E32" i="414"/>
  <c r="F38" i="414" s="1"/>
  <c r="F33" i="414"/>
  <c r="E21" i="434"/>
  <c r="E31" i="434" s="1"/>
  <c r="E29" i="434"/>
  <c r="F30" i="434" s="1"/>
  <c r="E32" i="450"/>
  <c r="F38" i="450" s="1"/>
  <c r="F33" i="450"/>
  <c r="G32" i="420"/>
  <c r="H38" i="420" s="1"/>
  <c r="H33" i="420"/>
  <c r="G32" i="440"/>
  <c r="H38" i="440" s="1"/>
  <c r="H33" i="440"/>
  <c r="G32" i="424"/>
  <c r="H38" i="424" s="1"/>
  <c r="H33" i="424"/>
  <c r="E21" i="424"/>
  <c r="E31" i="424" s="1"/>
  <c r="E29" i="424"/>
  <c r="F30" i="424" s="1"/>
  <c r="G32" i="430"/>
  <c r="H38" i="430" s="1"/>
  <c r="H33" i="430"/>
  <c r="G32" i="436"/>
  <c r="H38" i="436" s="1"/>
  <c r="H33" i="436"/>
  <c r="E21" i="432"/>
  <c r="E31" i="432" s="1"/>
  <c r="E29" i="432"/>
  <c r="F30" i="432" s="1"/>
  <c r="E32" i="420"/>
  <c r="F38" i="420" s="1"/>
  <c r="F33" i="420"/>
  <c r="G32" i="444"/>
  <c r="H38" i="444" s="1"/>
  <c r="H33" i="444"/>
  <c r="G32" i="438"/>
  <c r="H38" i="438" s="1"/>
  <c r="H33" i="438"/>
  <c r="C21" i="430"/>
  <c r="C31" i="430" s="1"/>
  <c r="C29" i="430"/>
  <c r="D30" i="430" s="1"/>
  <c r="E21" i="448"/>
  <c r="E31" i="448" s="1"/>
  <c r="E29" i="448"/>
  <c r="F30" i="448" s="1"/>
  <c r="C21" i="436"/>
  <c r="C31" i="436" s="1"/>
  <c r="C29" i="436"/>
  <c r="D30" i="436" s="1"/>
  <c r="C23" i="182"/>
  <c r="C21" i="182" s="1"/>
  <c r="D9" i="215"/>
  <c r="D12" i="215" s="1"/>
  <c r="G32" i="450"/>
  <c r="H38" i="450" s="1"/>
  <c r="H33" i="450"/>
  <c r="G32" i="416"/>
  <c r="H38" i="416" s="1"/>
  <c r="H33" i="416"/>
  <c r="E21" i="412"/>
  <c r="E31" i="412" s="1"/>
  <c r="E29" i="412"/>
  <c r="F30" i="412" s="1"/>
  <c r="E21" i="442"/>
  <c r="E31" i="442" s="1"/>
  <c r="E29" i="442"/>
  <c r="F30" i="442" s="1"/>
  <c r="E32" i="418"/>
  <c r="F38" i="418" s="1"/>
  <c r="F33" i="418"/>
  <c r="G32" i="446"/>
  <c r="H38" i="446" s="1"/>
  <c r="H33" i="446"/>
  <c r="C21" i="440"/>
  <c r="C31" i="440" s="1"/>
  <c r="C29" i="440"/>
  <c r="D30" i="440" s="1"/>
  <c r="G32" i="442"/>
  <c r="H38" i="442" s="1"/>
  <c r="H33" i="442"/>
  <c r="C21" i="393"/>
  <c r="C29" i="393"/>
  <c r="D30" i="393" s="1"/>
  <c r="G32" i="402"/>
  <c r="H38" i="402" s="1"/>
  <c r="H33" i="402"/>
  <c r="G32" i="391"/>
  <c r="H38" i="391" s="1"/>
  <c r="H33" i="391"/>
  <c r="E27" i="405"/>
  <c r="E27" i="397"/>
  <c r="E27" i="395"/>
  <c r="E27" i="400"/>
  <c r="E27" i="404"/>
  <c r="E27" i="393"/>
  <c r="E27" i="391"/>
  <c r="E27" i="402"/>
  <c r="E27" i="389"/>
  <c r="G32" i="404"/>
  <c r="H38" i="404" s="1"/>
  <c r="H33" i="404"/>
  <c r="C21" i="397"/>
  <c r="C29" i="397"/>
  <c r="D30" i="397" s="1"/>
  <c r="G32" i="389"/>
  <c r="H38" i="389" s="1"/>
  <c r="H33" i="389"/>
  <c r="C21" i="395"/>
  <c r="C29" i="395"/>
  <c r="D30" i="395" s="1"/>
  <c r="E26" i="402"/>
  <c r="E26" i="389"/>
  <c r="E26" i="405"/>
  <c r="E26" i="397"/>
  <c r="E26" i="400"/>
  <c r="E26" i="395"/>
  <c r="E26" i="391"/>
  <c r="E26" i="393"/>
  <c r="E26" i="404"/>
  <c r="C21" i="405"/>
  <c r="C29" i="405"/>
  <c r="D30" i="405" s="1"/>
  <c r="G32" i="393"/>
  <c r="H38" i="393" s="1"/>
  <c r="H33" i="393"/>
  <c r="G32" i="400"/>
  <c r="H38" i="400" s="1"/>
  <c r="H33" i="400"/>
  <c r="C21" i="389"/>
  <c r="C29" i="389"/>
  <c r="D30" i="389" s="1"/>
  <c r="G32" i="397"/>
  <c r="H38" i="397" s="1"/>
  <c r="H33" i="397"/>
  <c r="C21" i="402"/>
  <c r="C29" i="402"/>
  <c r="D30" i="402" s="1"/>
  <c r="G32" i="405"/>
  <c r="H38" i="405" s="1"/>
  <c r="H33" i="405"/>
  <c r="C21" i="404"/>
  <c r="C29" i="404"/>
  <c r="D30" i="404" s="1"/>
  <c r="C21" i="391"/>
  <c r="C29" i="391"/>
  <c r="D30" i="391" s="1"/>
  <c r="G32" i="395"/>
  <c r="H38" i="395" s="1"/>
  <c r="H33" i="395"/>
  <c r="C21" i="400"/>
  <c r="C29" i="400"/>
  <c r="D30" i="400" s="1"/>
  <c r="F6" i="2"/>
  <c r="K7" i="2" s="1"/>
  <c r="F29" i="17"/>
  <c r="F31" i="17" s="1"/>
  <c r="D5" i="289"/>
  <c r="D26" i="17"/>
  <c r="C23" i="218"/>
  <c r="C21" i="218" s="1"/>
  <c r="C23" i="188"/>
  <c r="C21" i="188" s="1"/>
  <c r="C23" i="186"/>
  <c r="C21" i="186" s="1"/>
  <c r="J26" i="214"/>
  <c r="F29" i="19"/>
  <c r="F31" i="19" s="1"/>
  <c r="C23" i="191"/>
  <c r="C21" i="191" s="1"/>
  <c r="C23" i="184"/>
  <c r="C21" i="184" s="1"/>
  <c r="C23" i="309"/>
  <c r="C21" i="309" s="1"/>
  <c r="C23" i="196"/>
  <c r="C21" i="196" s="1"/>
  <c r="C23" i="192"/>
  <c r="C21" i="192" s="1"/>
  <c r="C23" i="204"/>
  <c r="C21" i="204" s="1"/>
  <c r="C23" i="183"/>
  <c r="C21" i="183" s="1"/>
  <c r="C23" i="201"/>
  <c r="C21" i="201" s="1"/>
  <c r="C23" i="206"/>
  <c r="C21" i="206" s="1"/>
  <c r="C23" i="194"/>
  <c r="C21" i="194" s="1"/>
  <c r="C23" i="203"/>
  <c r="C21" i="203" s="1"/>
  <c r="C23" i="199"/>
  <c r="C21" i="199" s="1"/>
  <c r="C23" i="225"/>
  <c r="C21" i="225" s="1"/>
  <c r="C23" i="193"/>
  <c r="C21" i="193" s="1"/>
  <c r="C23" i="202"/>
  <c r="C21" i="202" s="1"/>
  <c r="C23" i="198"/>
  <c r="C21" i="198" s="1"/>
  <c r="C23" i="227"/>
  <c r="C21" i="227" s="1"/>
  <c r="C23" i="205"/>
  <c r="C21" i="205" s="1"/>
  <c r="C23" i="189"/>
  <c r="C21" i="189" s="1"/>
  <c r="C23" i="200"/>
  <c r="C21" i="200" s="1"/>
  <c r="C23" i="208"/>
  <c r="C21" i="208" s="1"/>
  <c r="C23" i="195"/>
  <c r="C21" i="195" s="1"/>
  <c r="C23" i="207"/>
  <c r="C21" i="207" s="1"/>
  <c r="C23" i="197"/>
  <c r="C21" i="197" s="1"/>
  <c r="C23" i="231"/>
  <c r="C21" i="231" s="1"/>
  <c r="C23" i="187"/>
  <c r="C21" i="187" s="1"/>
  <c r="C23" i="190"/>
  <c r="C21" i="190" s="1"/>
  <c r="C23" i="223"/>
  <c r="C21" i="223" s="1"/>
  <c r="C23" i="229"/>
  <c r="C21" i="229" s="1"/>
  <c r="D63" i="2"/>
  <c r="D25" i="10"/>
  <c r="D29" i="10" s="1"/>
  <c r="D31" i="10" s="1"/>
  <c r="D8" i="289"/>
  <c r="G21" i="170"/>
  <c r="G21" i="203"/>
  <c r="E19" i="336"/>
  <c r="E25" i="336" s="1"/>
  <c r="E19" i="326"/>
  <c r="E25" i="326" s="1"/>
  <c r="E19" i="50"/>
  <c r="E25" i="50" s="1"/>
  <c r="E47" i="2" s="1"/>
  <c r="E19" i="222"/>
  <c r="E25" i="222" s="1"/>
  <c r="E42" i="2" s="1"/>
  <c r="E19" i="340"/>
  <c r="E25" i="340" s="1"/>
  <c r="E19" i="324"/>
  <c r="E25" i="324" s="1"/>
  <c r="E19" i="332"/>
  <c r="E25" i="332" s="1"/>
  <c r="E19" i="228"/>
  <c r="E25" i="228" s="1"/>
  <c r="E45" i="2" s="1"/>
  <c r="E19" i="103"/>
  <c r="E25" i="103" s="1"/>
  <c r="E96" i="2" s="1"/>
  <c r="E19" i="57"/>
  <c r="E25" i="57" s="1"/>
  <c r="E21" i="2" s="1"/>
  <c r="E19" i="80"/>
  <c r="E25" i="80" s="1"/>
  <c r="E24" i="2" s="1"/>
  <c r="E19" i="81"/>
  <c r="E25" i="81" s="1"/>
  <c r="E31" i="2" s="1"/>
  <c r="E19" i="52"/>
  <c r="E25" i="52" s="1"/>
  <c r="E32" i="2" s="1"/>
  <c r="E19" i="37"/>
  <c r="E25" i="37" s="1"/>
  <c r="E12" i="2" s="1"/>
  <c r="E19" i="56"/>
  <c r="E25" i="56" s="1"/>
  <c r="E18" i="2" s="1"/>
  <c r="E19" i="276"/>
  <c r="E25" i="276" s="1"/>
  <c r="E90" i="2" s="1"/>
  <c r="E19" i="342"/>
  <c r="E25" i="342" s="1"/>
  <c r="E19" i="69"/>
  <c r="E25" i="69" s="1"/>
  <c r="E102" i="2" s="1"/>
  <c r="E19" i="257"/>
  <c r="E25" i="257" s="1"/>
  <c r="E81" i="2" s="1"/>
  <c r="E19" i="348"/>
  <c r="E25" i="348" s="1"/>
  <c r="E19" i="356"/>
  <c r="E25" i="356" s="1"/>
  <c r="E19" i="217"/>
  <c r="E25" i="217" s="1"/>
  <c r="E41" i="2" s="1"/>
  <c r="E19" i="226"/>
  <c r="E25" i="226" s="1"/>
  <c r="E44" i="2" s="1"/>
  <c r="E19" i="346"/>
  <c r="E25" i="346" s="1"/>
  <c r="E19" i="381"/>
  <c r="E25" i="381" s="1"/>
  <c r="E19" i="316"/>
  <c r="E25" i="316" s="1"/>
  <c r="E19" i="338"/>
  <c r="E25" i="338" s="1"/>
  <c r="E19" i="74"/>
  <c r="E25" i="74" s="1"/>
  <c r="E106" i="2" s="1"/>
  <c r="E19" i="91"/>
  <c r="E25" i="91" s="1"/>
  <c r="E33" i="2" s="1"/>
  <c r="E19" i="237"/>
  <c r="E25" i="237" s="1"/>
  <c r="E70" i="2" s="1"/>
  <c r="E19" i="87"/>
  <c r="E25" i="87" s="1"/>
  <c r="E28" i="2" s="1"/>
  <c r="E19" i="44"/>
  <c r="E25" i="44" s="1"/>
  <c r="E98" i="2" s="1"/>
  <c r="E19" i="318"/>
  <c r="E25" i="318" s="1"/>
  <c r="E19" i="82"/>
  <c r="E25" i="82" s="1"/>
  <c r="E93" i="2" s="1"/>
  <c r="E19" i="73"/>
  <c r="E25" i="73" s="1"/>
  <c r="E67" i="2" s="1"/>
  <c r="E19" i="312"/>
  <c r="E25" i="312" s="1"/>
  <c r="E19" i="105"/>
  <c r="E25" i="105" s="1"/>
  <c r="E99" i="2" s="1"/>
  <c r="E19" i="68"/>
  <c r="E25" i="68" s="1"/>
  <c r="E100" i="2" s="1"/>
  <c r="E19" i="48"/>
  <c r="E25" i="48" s="1"/>
  <c r="E101" i="2" s="1"/>
  <c r="E19" i="383"/>
  <c r="E25" i="383" s="1"/>
  <c r="E19" i="54"/>
  <c r="E25" i="54" s="1"/>
  <c r="E23" i="2" s="1"/>
  <c r="E19" i="97"/>
  <c r="E25" i="97" s="1"/>
  <c r="E51" i="2" s="1"/>
  <c r="E19" i="248"/>
  <c r="E25" i="248" s="1"/>
  <c r="E76" i="2" s="1"/>
  <c r="E19" i="29"/>
  <c r="E25" i="29" s="1"/>
  <c r="E35" i="2" s="1"/>
  <c r="E19" i="135"/>
  <c r="E25" i="135" s="1"/>
  <c r="E53" i="2" s="1"/>
  <c r="E19" i="64"/>
  <c r="E25" i="64" s="1"/>
  <c r="E7" i="2" s="1"/>
  <c r="E19" i="300"/>
  <c r="E25" i="300" s="1"/>
  <c r="E19" i="302"/>
  <c r="E25" i="302" s="1"/>
  <c r="E19" i="101"/>
  <c r="E25" i="101" s="1"/>
  <c r="E65" i="2" s="1"/>
  <c r="E19" i="263"/>
  <c r="E25" i="263" s="1"/>
  <c r="E84" i="2" s="1"/>
  <c r="E19" i="385"/>
  <c r="E25" i="385" s="1"/>
  <c r="E19" i="310"/>
  <c r="E25" i="310" s="1"/>
  <c r="E19" i="100"/>
  <c r="E25" i="100" s="1"/>
  <c r="E54" i="2" s="1"/>
  <c r="E19" i="243"/>
  <c r="E25" i="243" s="1"/>
  <c r="E73" i="2" s="1"/>
  <c r="E19" i="320"/>
  <c r="E25" i="320" s="1"/>
  <c r="E19" i="86"/>
  <c r="E25" i="86" s="1"/>
  <c r="E27" i="2" s="1"/>
  <c r="E19" i="274"/>
  <c r="E25" i="274" s="1"/>
  <c r="E89" i="2" s="1"/>
  <c r="E19" i="96"/>
  <c r="E25" i="96" s="1"/>
  <c r="E52" i="2" s="1"/>
  <c r="E19" i="39"/>
  <c r="E25" i="39" s="1"/>
  <c r="E38" i="2" s="1"/>
  <c r="E19" i="322"/>
  <c r="E25" i="322" s="1"/>
  <c r="E19" i="234"/>
  <c r="E25" i="234" s="1"/>
  <c r="E56" i="2" s="1"/>
  <c r="E19" i="53"/>
  <c r="E25" i="53" s="1"/>
  <c r="E36" i="2" s="1"/>
  <c r="E19" i="65"/>
  <c r="E27" i="65" s="1"/>
  <c r="E9" i="2" s="1"/>
  <c r="E19" i="259"/>
  <c r="E25" i="259" s="1"/>
  <c r="E82" i="2" s="1"/>
  <c r="E19" i="98"/>
  <c r="E25" i="98" s="1"/>
  <c r="E59" i="2" s="1"/>
  <c r="E19" i="370"/>
  <c r="E25" i="370" s="1"/>
  <c r="E19" i="47"/>
  <c r="E25" i="47" s="1"/>
  <c r="E39" i="2" s="1"/>
  <c r="E19" i="92"/>
  <c r="E25" i="92" s="1"/>
  <c r="E29" i="2" s="1"/>
  <c r="E19" i="104"/>
  <c r="E25" i="104" s="1"/>
  <c r="E97" i="2" s="1"/>
  <c r="E19" i="232"/>
  <c r="E25" i="232" s="1"/>
  <c r="E57" i="2" s="1"/>
  <c r="E19" i="362"/>
  <c r="E25" i="362" s="1"/>
  <c r="E19" i="265"/>
  <c r="E25" i="265" s="1"/>
  <c r="E85" i="2" s="1"/>
  <c r="E19" i="272"/>
  <c r="E25" i="272" s="1"/>
  <c r="E88" i="2" s="1"/>
  <c r="E19" i="27"/>
  <c r="E25" i="27" s="1"/>
  <c r="E10" i="2" s="1"/>
  <c r="E19" i="364"/>
  <c r="E25" i="364" s="1"/>
  <c r="E19" i="42"/>
  <c r="E25" i="42" s="1"/>
  <c r="E94" i="2" s="1"/>
  <c r="E19" i="106"/>
  <c r="E25" i="106" s="1"/>
  <c r="E105" i="2" s="1"/>
  <c r="E19" i="55"/>
  <c r="E25" i="55" s="1"/>
  <c r="E30" i="2" s="1"/>
  <c r="E19" i="253"/>
  <c r="E25" i="253" s="1"/>
  <c r="E79" i="2" s="1"/>
  <c r="E19" i="261"/>
  <c r="E25" i="261" s="1"/>
  <c r="E83" i="2" s="1"/>
  <c r="E19" i="40"/>
  <c r="E25" i="40" s="1"/>
  <c r="E14" i="2" s="1"/>
  <c r="E19" i="77"/>
  <c r="E25" i="77" s="1"/>
  <c r="E34" i="2" s="1"/>
  <c r="E19" i="267"/>
  <c r="E25" i="267" s="1"/>
  <c r="E86" i="2" s="1"/>
  <c r="E19" i="66"/>
  <c r="E25" i="66" s="1"/>
  <c r="E25" i="2" s="1"/>
  <c r="E19" i="45"/>
  <c r="E25" i="45" s="1"/>
  <c r="E107" i="2" s="1"/>
  <c r="E27" i="137"/>
  <c r="E27" i="146"/>
  <c r="E27" i="142"/>
  <c r="E27" i="145"/>
  <c r="E27" i="138"/>
  <c r="E27" i="212"/>
  <c r="E27" i="144"/>
  <c r="E19" i="344"/>
  <c r="E25" i="344" s="1"/>
  <c r="E19" i="95"/>
  <c r="E25" i="95" s="1"/>
  <c r="E50" i="2" s="1"/>
  <c r="E10" i="132"/>
  <c r="E27" i="309"/>
  <c r="E27" i="193"/>
  <c r="E27" i="218"/>
  <c r="E27" i="187"/>
  <c r="E27" i="196"/>
  <c r="E27" i="195"/>
  <c r="E27" i="194"/>
  <c r="E27" i="188"/>
  <c r="E27" i="201"/>
  <c r="E27" i="185"/>
  <c r="E27" i="192"/>
  <c r="E27" i="190"/>
  <c r="E27" i="208"/>
  <c r="E27" i="205"/>
  <c r="E27" i="189"/>
  <c r="E27" i="184"/>
  <c r="E27" i="223"/>
  <c r="E27" i="229"/>
  <c r="E27" i="227"/>
  <c r="E27" i="197"/>
  <c r="E27" i="186"/>
  <c r="E27" i="199"/>
  <c r="E27" i="183"/>
  <c r="E27" i="206"/>
  <c r="E27" i="225"/>
  <c r="E27" i="200"/>
  <c r="E27" i="207"/>
  <c r="E27" i="203"/>
  <c r="E27" i="191"/>
  <c r="E27" i="202"/>
  <c r="E27" i="231"/>
  <c r="E27" i="198"/>
  <c r="E27" i="204"/>
  <c r="E19" i="304"/>
  <c r="E25" i="304" s="1"/>
  <c r="E19" i="358"/>
  <c r="E25" i="358" s="1"/>
  <c r="E19" i="211"/>
  <c r="E25" i="211" s="1"/>
  <c r="E15" i="2" s="1"/>
  <c r="E19" i="235"/>
  <c r="E25" i="235" s="1"/>
  <c r="E69" i="2" s="1"/>
  <c r="E19" i="360"/>
  <c r="E25" i="360" s="1"/>
  <c r="E19" i="36"/>
  <c r="E25" i="36" s="1"/>
  <c r="E103" i="2" s="1"/>
  <c r="E19" i="269"/>
  <c r="E25" i="269" s="1"/>
  <c r="E87" i="2" s="1"/>
  <c r="E27" i="303"/>
  <c r="E27" i="152"/>
  <c r="E27" i="157"/>
  <c r="E27" i="153"/>
  <c r="E27" i="307"/>
  <c r="E27" i="299"/>
  <c r="E27" i="386"/>
  <c r="E27" i="158"/>
  <c r="E27" i="160"/>
  <c r="E27" i="156"/>
  <c r="E27" i="301"/>
  <c r="E27" i="161"/>
  <c r="E27" i="148"/>
  <c r="E27" i="155"/>
  <c r="E27" i="147"/>
  <c r="E27" i="297"/>
  <c r="E27" i="295"/>
  <c r="E27" i="150"/>
  <c r="E27" i="154"/>
  <c r="E27" i="305"/>
  <c r="E27" i="149"/>
  <c r="E27" i="151"/>
  <c r="E27" i="159"/>
  <c r="E19" i="377"/>
  <c r="E25" i="377" s="1"/>
  <c r="E19" i="61"/>
  <c r="E25" i="61" s="1"/>
  <c r="E19" i="2" s="1"/>
  <c r="E19" i="366"/>
  <c r="E25" i="366" s="1"/>
  <c r="E19" i="102"/>
  <c r="E25" i="102" s="1"/>
  <c r="E109" i="2" s="1"/>
  <c r="E26" i="212"/>
  <c r="E26" i="137"/>
  <c r="E26" i="145"/>
  <c r="E26" i="144"/>
  <c r="E26" i="138"/>
  <c r="E26" i="142"/>
  <c r="E26" i="146"/>
  <c r="E20" i="17"/>
  <c r="E26" i="17" s="1"/>
  <c r="E19" i="314"/>
  <c r="E25" i="314" s="1"/>
  <c r="E19" i="62"/>
  <c r="E25" i="62" s="1"/>
  <c r="E104" i="2" s="1"/>
  <c r="E19" i="93"/>
  <c r="E25" i="93" s="1"/>
  <c r="E40" i="2" s="1"/>
  <c r="E19" i="280"/>
  <c r="E25" i="280" s="1"/>
  <c r="E92" i="2" s="1"/>
  <c r="E19" i="85"/>
  <c r="E27" i="85" s="1"/>
  <c r="E11" i="2" s="1"/>
  <c r="E19" i="350"/>
  <c r="E25" i="350" s="1"/>
  <c r="E19" i="83"/>
  <c r="E25" i="83" s="1"/>
  <c r="E37" i="2" s="1"/>
  <c r="E19" i="294"/>
  <c r="E25" i="294" s="1"/>
  <c r="E19" i="251"/>
  <c r="E25" i="251" s="1"/>
  <c r="E78" i="2" s="1"/>
  <c r="E19" i="334"/>
  <c r="E25" i="334" s="1"/>
  <c r="E27" i="357"/>
  <c r="E27" i="343"/>
  <c r="E27" i="162"/>
  <c r="E27" i="315"/>
  <c r="E27" i="271"/>
  <c r="E27" i="266"/>
  <c r="E27" i="353"/>
  <c r="E27" i="341"/>
  <c r="E27" i="331"/>
  <c r="E27" i="367"/>
  <c r="E27" i="169"/>
  <c r="E27" i="167"/>
  <c r="E27" i="384"/>
  <c r="E27" i="268"/>
  <c r="E27" i="319"/>
  <c r="E27" i="333"/>
  <c r="E27" i="355"/>
  <c r="E27" i="376"/>
  <c r="E27" i="264"/>
  <c r="E27" i="252"/>
  <c r="E27" i="345"/>
  <c r="E27" i="256"/>
  <c r="E27" i="262"/>
  <c r="E27" i="246"/>
  <c r="E27" i="325"/>
  <c r="E27" i="347"/>
  <c r="E27" i="163"/>
  <c r="E27" i="277"/>
  <c r="E27" i="327"/>
  <c r="E27" i="351"/>
  <c r="E27" i="369"/>
  <c r="E27" i="254"/>
  <c r="E27" i="284"/>
  <c r="E27" i="279"/>
  <c r="E27" i="242"/>
  <c r="E27" i="349"/>
  <c r="E27" i="361"/>
  <c r="E27" i="275"/>
  <c r="E27" i="273"/>
  <c r="E27" i="321"/>
  <c r="E27" i="339"/>
  <c r="E27" i="363"/>
  <c r="E27" i="240"/>
  <c r="E27" i="313"/>
  <c r="E27" i="311"/>
  <c r="E27" i="365"/>
  <c r="E27" i="164"/>
  <c r="E27" i="317"/>
  <c r="E27" i="244"/>
  <c r="E27" i="282"/>
  <c r="E27" i="258"/>
  <c r="E27" i="329"/>
  <c r="E27" i="165"/>
  <c r="E27" i="335"/>
  <c r="E27" i="382"/>
  <c r="E27" i="168"/>
  <c r="E27" i="380"/>
  <c r="E27" i="236"/>
  <c r="E27" i="250"/>
  <c r="E27" i="249"/>
  <c r="E27" i="323"/>
  <c r="E27" i="359"/>
  <c r="E27" i="371"/>
  <c r="E27" i="378"/>
  <c r="E27" i="238"/>
  <c r="E27" i="373"/>
  <c r="E27" i="337"/>
  <c r="E27" i="166"/>
  <c r="E27" i="260"/>
  <c r="E19" i="59"/>
  <c r="E25" i="59" s="1"/>
  <c r="E64" i="2" s="1"/>
  <c r="E19" i="230"/>
  <c r="E25" i="230" s="1"/>
  <c r="E46" i="2" s="1"/>
  <c r="E19" i="374"/>
  <c r="E25" i="374" s="1"/>
  <c r="E19" i="368"/>
  <c r="E25" i="368" s="1"/>
  <c r="E19" i="224"/>
  <c r="E25" i="224" s="1"/>
  <c r="E43" i="2" s="1"/>
  <c r="E19" i="330"/>
  <c r="E25" i="330" s="1"/>
  <c r="E19" i="38"/>
  <c r="E25" i="38" s="1"/>
  <c r="E26" i="2" s="1"/>
  <c r="E19" i="89"/>
  <c r="E25" i="89" s="1"/>
  <c r="E22" i="2" s="1"/>
  <c r="E19" i="88"/>
  <c r="E25" i="88" s="1"/>
  <c r="E20" i="2" s="1"/>
  <c r="E26" i="325"/>
  <c r="E26" i="262"/>
  <c r="E26" i="273"/>
  <c r="E26" i="327"/>
  <c r="E26" i="363"/>
  <c r="E26" i="240"/>
  <c r="E26" i="355"/>
  <c r="E26" i="284"/>
  <c r="E26" i="376"/>
  <c r="E26" i="266"/>
  <c r="E26" i="268"/>
  <c r="E26" i="254"/>
  <c r="E26" i="168"/>
  <c r="E26" i="256"/>
  <c r="E26" i="244"/>
  <c r="E26" i="321"/>
  <c r="E26" i="329"/>
  <c r="E26" i="165"/>
  <c r="E26" i="335"/>
  <c r="E26" i="166"/>
  <c r="E26" i="264"/>
  <c r="E26" i="277"/>
  <c r="E26" i="359"/>
  <c r="E26" i="382"/>
  <c r="E26" i="242"/>
  <c r="E26" i="380"/>
  <c r="E26" i="236"/>
  <c r="E26" i="282"/>
  <c r="E26" i="323"/>
  <c r="E26" i="167"/>
  <c r="E26" i="353"/>
  <c r="E26" i="163"/>
  <c r="E26" i="341"/>
  <c r="E26" i="343"/>
  <c r="E26" i="349"/>
  <c r="E26" i="331"/>
  <c r="E26" i="369"/>
  <c r="E19" i="16"/>
  <c r="E26" i="378"/>
  <c r="E26" i="238"/>
  <c r="E26" i="367"/>
  <c r="E26" i="162"/>
  <c r="E26" i="250"/>
  <c r="E26" i="169"/>
  <c r="E26" i="260"/>
  <c r="E26" i="279"/>
  <c r="E26" i="339"/>
  <c r="E26" i="337"/>
  <c r="E26" i="315"/>
  <c r="E26" i="371"/>
  <c r="E26" i="311"/>
  <c r="E26" i="361"/>
  <c r="E26" i="373"/>
  <c r="E26" i="164"/>
  <c r="E26" i="275"/>
  <c r="E26" i="313"/>
  <c r="E26" i="249"/>
  <c r="E26" i="351"/>
  <c r="E26" i="365"/>
  <c r="E26" i="345"/>
  <c r="E26" i="357"/>
  <c r="E26" i="347"/>
  <c r="E26" i="384"/>
  <c r="E26" i="271"/>
  <c r="E26" i="258"/>
  <c r="E26" i="317"/>
  <c r="E26" i="246"/>
  <c r="E26" i="319"/>
  <c r="E26" i="333"/>
  <c r="E26" i="252"/>
  <c r="E19" i="63"/>
  <c r="E25" i="63" s="1"/>
  <c r="E62" i="2" s="1"/>
  <c r="E19" i="51"/>
  <c r="E25" i="51" s="1"/>
  <c r="E48" i="2" s="1"/>
  <c r="E19" i="255"/>
  <c r="E25" i="255" s="1"/>
  <c r="E80" i="2" s="1"/>
  <c r="E19" i="354"/>
  <c r="E25" i="354" s="1"/>
  <c r="E19" i="32"/>
  <c r="E25" i="32" s="1"/>
  <c r="E55" i="2" s="1"/>
  <c r="E19" i="285"/>
  <c r="E25" i="285" s="1"/>
  <c r="E77" i="2" s="1"/>
  <c r="E19" i="308"/>
  <c r="E25" i="308" s="1"/>
  <c r="E19" i="72"/>
  <c r="E25" i="72" s="1"/>
  <c r="E108" i="2" s="1"/>
  <c r="E19" i="43"/>
  <c r="E25" i="43" s="1"/>
  <c r="E66" i="2" s="1"/>
  <c r="E19" i="352"/>
  <c r="E25" i="352" s="1"/>
  <c r="E19" i="41"/>
  <c r="E25" i="41" s="1"/>
  <c r="E58" i="2" s="1"/>
  <c r="E19" i="306"/>
  <c r="E25" i="306" s="1"/>
  <c r="E19" i="245"/>
  <c r="E25" i="245" s="1"/>
  <c r="E74" i="2" s="1"/>
  <c r="E19" i="71"/>
  <c r="E25" i="71" s="1"/>
  <c r="E17" i="2" s="1"/>
  <c r="E19" i="278"/>
  <c r="E25" i="278" s="1"/>
  <c r="E91" i="2" s="1"/>
  <c r="E19" i="296"/>
  <c r="E25" i="296" s="1"/>
  <c r="E19" i="75"/>
  <c r="E25" i="75" s="1"/>
  <c r="E60" i="2" s="1"/>
  <c r="E27" i="181"/>
  <c r="E27" i="179"/>
  <c r="E27" i="180"/>
  <c r="E27" i="171"/>
  <c r="E27" i="221"/>
  <c r="E27" i="175"/>
  <c r="E27" i="174"/>
  <c r="E27" i="173"/>
  <c r="E27" i="177"/>
  <c r="E27" i="176"/>
  <c r="E27" i="172"/>
  <c r="E27" i="233"/>
  <c r="E27" i="170"/>
  <c r="E19" i="49"/>
  <c r="E25" i="49" s="1"/>
  <c r="E13" i="2" s="1"/>
  <c r="E19" i="241"/>
  <c r="E25" i="241" s="1"/>
  <c r="E72" i="2" s="1"/>
  <c r="E19" i="372"/>
  <c r="E25" i="372" s="1"/>
  <c r="E27" i="139"/>
  <c r="E27" i="141"/>
  <c r="E27" i="140"/>
  <c r="E26" i="180"/>
  <c r="E26" i="179"/>
  <c r="E26" i="221"/>
  <c r="E26" i="233"/>
  <c r="E26" i="177"/>
  <c r="E26" i="181"/>
  <c r="E26" i="176"/>
  <c r="E26" i="172"/>
  <c r="E26" i="171"/>
  <c r="E26" i="174"/>
  <c r="E26" i="170"/>
  <c r="E26" i="175"/>
  <c r="E19" i="18"/>
  <c r="E26" i="173"/>
  <c r="E19" i="247"/>
  <c r="E25" i="247" s="1"/>
  <c r="E75" i="2" s="1"/>
  <c r="E19" i="239"/>
  <c r="E25" i="239" s="1"/>
  <c r="E71" i="2" s="1"/>
  <c r="E26" i="141"/>
  <c r="E26" i="139"/>
  <c r="E26" i="140"/>
  <c r="E19" i="70"/>
  <c r="E27" i="70" s="1"/>
  <c r="E8" i="2" s="1"/>
  <c r="E19" i="298"/>
  <c r="E25" i="298" s="1"/>
  <c r="E19" i="379"/>
  <c r="E25" i="379" s="1"/>
  <c r="E19" i="34"/>
  <c r="E25" i="34" s="1"/>
  <c r="E68" i="2" s="1"/>
  <c r="E26" i="295"/>
  <c r="E26" i="155"/>
  <c r="E26" i="148"/>
  <c r="E26" i="297"/>
  <c r="E26" i="386"/>
  <c r="E26" i="150"/>
  <c r="E26" i="160"/>
  <c r="E19" i="10"/>
  <c r="E26" i="305"/>
  <c r="E26" i="153"/>
  <c r="E26" i="158"/>
  <c r="E26" i="299"/>
  <c r="E26" i="147"/>
  <c r="E26" i="149"/>
  <c r="E26" i="307"/>
  <c r="E26" i="152"/>
  <c r="E26" i="151"/>
  <c r="E26" i="159"/>
  <c r="E26" i="301"/>
  <c r="E26" i="161"/>
  <c r="E26" i="157"/>
  <c r="E26" i="303"/>
  <c r="E26" i="154"/>
  <c r="E23" i="154" s="1"/>
  <c r="E29" i="154" s="1"/>
  <c r="F30" i="154" s="1"/>
  <c r="E32" i="154" s="1"/>
  <c r="F38" i="154" s="1"/>
  <c r="E26" i="156"/>
  <c r="E19" i="328"/>
  <c r="E25" i="328" s="1"/>
  <c r="E9" i="132"/>
  <c r="E26" i="207"/>
  <c r="E26" i="200"/>
  <c r="E26" i="197"/>
  <c r="E26" i="225"/>
  <c r="E26" i="203"/>
  <c r="E26" i="193"/>
  <c r="E26" i="199"/>
  <c r="E26" i="218"/>
  <c r="E26" i="194"/>
  <c r="E26" i="309"/>
  <c r="E26" i="187"/>
  <c r="E26" i="195"/>
  <c r="E26" i="227"/>
  <c r="E26" i="206"/>
  <c r="E26" i="184"/>
  <c r="E26" i="190"/>
  <c r="E26" i="231"/>
  <c r="E26" i="208"/>
  <c r="E26" i="186"/>
  <c r="E26" i="191"/>
  <c r="E26" i="204"/>
  <c r="E26" i="185"/>
  <c r="E26" i="188"/>
  <c r="E26" i="201"/>
  <c r="E26" i="223"/>
  <c r="E26" i="198"/>
  <c r="E26" i="189"/>
  <c r="E26" i="202"/>
  <c r="E26" i="205"/>
  <c r="E26" i="196"/>
  <c r="E26" i="229"/>
  <c r="E26" i="192"/>
  <c r="G21" i="229"/>
  <c r="G21" i="197"/>
  <c r="G21" i="192"/>
  <c r="G21" i="204"/>
  <c r="G21" i="189"/>
  <c r="G21" i="207"/>
  <c r="G21" i="200"/>
  <c r="G21" i="182"/>
  <c r="F95" i="2"/>
  <c r="G21" i="184"/>
  <c r="G21" i="187"/>
  <c r="G21" i="193"/>
  <c r="F29" i="18"/>
  <c r="F31" i="18" s="1"/>
  <c r="G21" i="183"/>
  <c r="G21" i="227"/>
  <c r="G21" i="186"/>
  <c r="G21" i="205"/>
  <c r="G21" i="223"/>
  <c r="G21" i="231"/>
  <c r="G21" i="194"/>
  <c r="G21" i="206"/>
  <c r="G21" i="309"/>
  <c r="G21" i="191"/>
  <c r="G21" i="188"/>
  <c r="G21" i="195"/>
  <c r="F16" i="2"/>
  <c r="F35" i="215"/>
  <c r="G21" i="199"/>
  <c r="G21" i="198"/>
  <c r="G21" i="185"/>
  <c r="G21" i="225"/>
  <c r="G21" i="201"/>
  <c r="G21" i="218"/>
  <c r="G21" i="196"/>
  <c r="C21" i="420" l="1"/>
  <c r="C31" i="420" s="1"/>
  <c r="C21" i="410"/>
  <c r="C31" i="410" s="1"/>
  <c r="C29" i="416"/>
  <c r="D30" i="416" s="1"/>
  <c r="C32" i="416" s="1"/>
  <c r="D38" i="416" s="1"/>
  <c r="C29" i="446"/>
  <c r="D30" i="446" s="1"/>
  <c r="D33" i="446" s="1"/>
  <c r="C21" i="442"/>
  <c r="C31" i="442" s="1"/>
  <c r="C29" i="448"/>
  <c r="D30" i="448" s="1"/>
  <c r="C32" i="448" s="1"/>
  <c r="D38" i="448" s="1"/>
  <c r="E23" i="150"/>
  <c r="E21" i="150" s="1"/>
  <c r="E31" i="150" s="1"/>
  <c r="E23" i="252"/>
  <c r="E29" i="252" s="1"/>
  <c r="F30" i="252" s="1"/>
  <c r="E32" i="252" s="1"/>
  <c r="F38" i="252" s="1"/>
  <c r="C29" i="422"/>
  <c r="D30" i="422" s="1"/>
  <c r="C32" i="422" s="1"/>
  <c r="D38" i="422" s="1"/>
  <c r="C21" i="426"/>
  <c r="C31" i="426" s="1"/>
  <c r="C29" i="424"/>
  <c r="D30" i="424" s="1"/>
  <c r="D33" i="424" s="1"/>
  <c r="C29" i="434"/>
  <c r="D30" i="434" s="1"/>
  <c r="D33" i="434" s="1"/>
  <c r="C29" i="432"/>
  <c r="D30" i="432" s="1"/>
  <c r="C32" i="432" s="1"/>
  <c r="D38" i="432" s="1"/>
  <c r="C29" i="438"/>
  <c r="D30" i="438" s="1"/>
  <c r="C32" i="438" s="1"/>
  <c r="D38" i="438" s="1"/>
  <c r="C21" i="450"/>
  <c r="C31" i="450" s="1"/>
  <c r="C29" i="444"/>
  <c r="D30" i="444" s="1"/>
  <c r="D33" i="444" s="1"/>
  <c r="C29" i="418"/>
  <c r="D30" i="418" s="1"/>
  <c r="C32" i="418" s="1"/>
  <c r="D38" i="418" s="1"/>
  <c r="C21" i="414"/>
  <c r="C31" i="414" s="1"/>
  <c r="H26" i="214"/>
  <c r="E23" i="384"/>
  <c r="E29" i="384" s="1"/>
  <c r="F30" i="384" s="1"/>
  <c r="E32" i="384" s="1"/>
  <c r="F38" i="384" s="1"/>
  <c r="D29" i="19"/>
  <c r="D31" i="19" s="1"/>
  <c r="D26" i="132"/>
  <c r="H24" i="132" s="1"/>
  <c r="E23" i="317"/>
  <c r="E29" i="317" s="1"/>
  <c r="F30" i="317" s="1"/>
  <c r="E32" i="317" s="1"/>
  <c r="F38" i="317" s="1"/>
  <c r="E12" i="132"/>
  <c r="E23" i="453"/>
  <c r="E21" i="453" s="1"/>
  <c r="E31" i="453" s="1"/>
  <c r="E23" i="562"/>
  <c r="E21" i="562" s="1"/>
  <c r="E31" i="562" s="1"/>
  <c r="H49" i="562"/>
  <c r="C32" i="562"/>
  <c r="D38" i="562" s="1"/>
  <c r="D33" i="562"/>
  <c r="G40" i="513"/>
  <c r="G41" i="513" s="1"/>
  <c r="C41" i="513"/>
  <c r="E40" i="513"/>
  <c r="E41" i="513" s="1"/>
  <c r="D47" i="560"/>
  <c r="E29" i="560"/>
  <c r="F30" i="560" s="1"/>
  <c r="E21" i="560"/>
  <c r="E31" i="560" s="1"/>
  <c r="H47" i="560"/>
  <c r="E23" i="519"/>
  <c r="E29" i="519" s="1"/>
  <c r="F30" i="519" s="1"/>
  <c r="D30" i="215"/>
  <c r="D40" i="215" s="1"/>
  <c r="G33" i="541"/>
  <c r="G37" i="541" s="1"/>
  <c r="G43" i="541" s="1"/>
  <c r="G46" i="541" s="1"/>
  <c r="H47" i="541" s="1"/>
  <c r="G48" i="541" s="1"/>
  <c r="G49" i="541" s="1"/>
  <c r="F219" i="209" s="1"/>
  <c r="E23" i="533"/>
  <c r="E21" i="533" s="1"/>
  <c r="E31" i="533" s="1"/>
  <c r="G33" i="557"/>
  <c r="G37" i="557" s="1"/>
  <c r="G43" i="557" s="1"/>
  <c r="G46" i="557" s="1"/>
  <c r="H47" i="557" s="1"/>
  <c r="G48" i="557" s="1"/>
  <c r="G49" i="557" s="1"/>
  <c r="F227" i="209" s="1"/>
  <c r="G33" i="503"/>
  <c r="G37" i="503" s="1"/>
  <c r="G43" i="503" s="1"/>
  <c r="G46" i="503" s="1"/>
  <c r="H47" i="503" s="1"/>
  <c r="G48" i="503" s="1"/>
  <c r="G49" i="503" s="1"/>
  <c r="F200" i="209" s="1"/>
  <c r="G33" i="515"/>
  <c r="G37" i="515" s="1"/>
  <c r="G43" i="515" s="1"/>
  <c r="G46" i="515" s="1"/>
  <c r="H47" i="515" s="1"/>
  <c r="G48" i="515" s="1"/>
  <c r="G49" i="515" s="1"/>
  <c r="F206" i="209" s="1"/>
  <c r="G33" i="501"/>
  <c r="G37" i="501" s="1"/>
  <c r="G43" i="501" s="1"/>
  <c r="G46" i="501" s="1"/>
  <c r="H47" i="501" s="1"/>
  <c r="G48" i="501" s="1"/>
  <c r="G49" i="501" s="1"/>
  <c r="F199" i="209" s="1"/>
  <c r="E23" i="525"/>
  <c r="E29" i="525" s="1"/>
  <c r="F30" i="525" s="1"/>
  <c r="G33" i="519"/>
  <c r="G37" i="519" s="1"/>
  <c r="G43" i="519" s="1"/>
  <c r="G46" i="519" s="1"/>
  <c r="H47" i="519" s="1"/>
  <c r="G48" i="519" s="1"/>
  <c r="G49" i="519" s="1"/>
  <c r="F208" i="209" s="1"/>
  <c r="G33" i="539"/>
  <c r="G37" i="539" s="1"/>
  <c r="G43" i="539" s="1"/>
  <c r="G46" i="539" s="1"/>
  <c r="H47" i="539" s="1"/>
  <c r="G48" i="539" s="1"/>
  <c r="G49" i="539" s="1"/>
  <c r="F218" i="209" s="1"/>
  <c r="E23" i="521"/>
  <c r="E21" i="521" s="1"/>
  <c r="E31" i="521" s="1"/>
  <c r="E23" i="539"/>
  <c r="E29" i="539" s="1"/>
  <c r="F30" i="539" s="1"/>
  <c r="E23" i="501"/>
  <c r="E21" i="501" s="1"/>
  <c r="E31" i="501" s="1"/>
  <c r="G33" i="531"/>
  <c r="G37" i="531" s="1"/>
  <c r="G43" i="531" s="1"/>
  <c r="G46" i="531" s="1"/>
  <c r="H47" i="531" s="1"/>
  <c r="G48" i="531" s="1"/>
  <c r="G49" i="531" s="1"/>
  <c r="F214" i="209" s="1"/>
  <c r="E23" i="517"/>
  <c r="E21" i="517" s="1"/>
  <c r="E31" i="517" s="1"/>
  <c r="G33" i="549"/>
  <c r="G37" i="549" s="1"/>
  <c r="G43" i="549" s="1"/>
  <c r="G46" i="549" s="1"/>
  <c r="H47" i="549" s="1"/>
  <c r="G48" i="549" s="1"/>
  <c r="G49" i="549" s="1"/>
  <c r="F223" i="209" s="1"/>
  <c r="G33" i="555"/>
  <c r="G37" i="555" s="1"/>
  <c r="G43" i="555" s="1"/>
  <c r="G46" i="555" s="1"/>
  <c r="H47" i="555" s="1"/>
  <c r="G48" i="555" s="1"/>
  <c r="G49" i="555" s="1"/>
  <c r="F226" i="209" s="1"/>
  <c r="E23" i="507"/>
  <c r="E21" i="507" s="1"/>
  <c r="E31" i="507" s="1"/>
  <c r="E23" i="543"/>
  <c r="E29" i="543" s="1"/>
  <c r="F30" i="543" s="1"/>
  <c r="G33" i="545"/>
  <c r="G37" i="545" s="1"/>
  <c r="G43" i="545" s="1"/>
  <c r="G46" i="545" s="1"/>
  <c r="H47" i="545" s="1"/>
  <c r="G48" i="545" s="1"/>
  <c r="G49" i="545" s="1"/>
  <c r="F221" i="209" s="1"/>
  <c r="E23" i="529"/>
  <c r="E21" i="529" s="1"/>
  <c r="E31" i="529" s="1"/>
  <c r="E23" i="505"/>
  <c r="E21" i="505" s="1"/>
  <c r="E31" i="505" s="1"/>
  <c r="E23" i="527"/>
  <c r="E21" i="527" s="1"/>
  <c r="E31" i="527" s="1"/>
  <c r="G33" i="511"/>
  <c r="G37" i="511" s="1"/>
  <c r="G43" i="511" s="1"/>
  <c r="G46" i="511" s="1"/>
  <c r="H47" i="511" s="1"/>
  <c r="G48" i="511" s="1"/>
  <c r="G49" i="511" s="1"/>
  <c r="F204" i="209" s="1"/>
  <c r="G33" i="559"/>
  <c r="G37" i="559" s="1"/>
  <c r="G43" i="559" s="1"/>
  <c r="G46" i="559" s="1"/>
  <c r="H47" i="559" s="1"/>
  <c r="G48" i="559" s="1"/>
  <c r="G49" i="559" s="1"/>
  <c r="F228" i="209" s="1"/>
  <c r="G33" i="521"/>
  <c r="G37" i="521" s="1"/>
  <c r="G43" i="521" s="1"/>
  <c r="G46" i="521" s="1"/>
  <c r="H47" i="521" s="1"/>
  <c r="G48" i="521" s="1"/>
  <c r="G49" i="521" s="1"/>
  <c r="F209" i="209" s="1"/>
  <c r="G33" i="509"/>
  <c r="G37" i="509" s="1"/>
  <c r="G43" i="509" s="1"/>
  <c r="G46" i="509" s="1"/>
  <c r="H47" i="509" s="1"/>
  <c r="G48" i="509" s="1"/>
  <c r="G49" i="509" s="1"/>
  <c r="F203" i="209" s="1"/>
  <c r="E23" i="515"/>
  <c r="E29" i="515" s="1"/>
  <c r="F30" i="515" s="1"/>
  <c r="G33" i="507"/>
  <c r="G37" i="507" s="1"/>
  <c r="G43" i="507" s="1"/>
  <c r="G46" i="507" s="1"/>
  <c r="H47" i="507" s="1"/>
  <c r="G48" i="507" s="1"/>
  <c r="G49" i="507" s="1"/>
  <c r="F202" i="209" s="1"/>
  <c r="G33" i="505"/>
  <c r="G37" i="505" s="1"/>
  <c r="G43" i="505" s="1"/>
  <c r="G46" i="505" s="1"/>
  <c r="H47" i="505" s="1"/>
  <c r="G48" i="505" s="1"/>
  <c r="G49" i="505" s="1"/>
  <c r="F201" i="209" s="1"/>
  <c r="G33" i="547"/>
  <c r="G37" i="547" s="1"/>
  <c r="G43" i="547" s="1"/>
  <c r="G46" i="547" s="1"/>
  <c r="H47" i="547" s="1"/>
  <c r="G48" i="547" s="1"/>
  <c r="G49" i="547" s="1"/>
  <c r="F222" i="209" s="1"/>
  <c r="E23" i="523"/>
  <c r="E21" i="523" s="1"/>
  <c r="E31" i="523" s="1"/>
  <c r="G33" i="551"/>
  <c r="G37" i="551" s="1"/>
  <c r="G43" i="551" s="1"/>
  <c r="G46" i="551" s="1"/>
  <c r="H47" i="551" s="1"/>
  <c r="G48" i="551" s="1"/>
  <c r="G49" i="551" s="1"/>
  <c r="F224" i="209" s="1"/>
  <c r="E23" i="509"/>
  <c r="E21" i="509" s="1"/>
  <c r="E31" i="509" s="1"/>
  <c r="E23" i="503"/>
  <c r="E29" i="503" s="1"/>
  <c r="F30" i="503" s="1"/>
  <c r="G33" i="537"/>
  <c r="G37" i="537" s="1"/>
  <c r="G43" i="537" s="1"/>
  <c r="G46" i="537" s="1"/>
  <c r="H47" i="537" s="1"/>
  <c r="G48" i="537" s="1"/>
  <c r="G49" i="537" s="1"/>
  <c r="F217" i="209" s="1"/>
  <c r="E23" i="535"/>
  <c r="E21" i="535" s="1"/>
  <c r="E31" i="535" s="1"/>
  <c r="G33" i="513"/>
  <c r="G37" i="513" s="1"/>
  <c r="G33" i="499"/>
  <c r="G37" i="499" s="1"/>
  <c r="G43" i="499" s="1"/>
  <c r="G46" i="499" s="1"/>
  <c r="H47" i="499" s="1"/>
  <c r="G48" i="499" s="1"/>
  <c r="G49" i="499" s="1"/>
  <c r="F198" i="209" s="1"/>
  <c r="G33" i="527"/>
  <c r="G37" i="527" s="1"/>
  <c r="G43" i="527" s="1"/>
  <c r="G46" i="527" s="1"/>
  <c r="H47" i="527" s="1"/>
  <c r="G48" i="527" s="1"/>
  <c r="G49" i="527" s="1"/>
  <c r="F212" i="209" s="1"/>
  <c r="C32" i="531"/>
  <c r="D38" i="531" s="1"/>
  <c r="D33" i="531"/>
  <c r="C32" i="533"/>
  <c r="D38" i="533" s="1"/>
  <c r="D33" i="533"/>
  <c r="C32" i="539"/>
  <c r="D38" i="539" s="1"/>
  <c r="D33" i="539"/>
  <c r="E23" i="511"/>
  <c r="C32" i="537"/>
  <c r="D38" i="537" s="1"/>
  <c r="D33" i="537"/>
  <c r="G33" i="529"/>
  <c r="G37" i="529" s="1"/>
  <c r="G43" i="529" s="1"/>
  <c r="G46" i="529" s="1"/>
  <c r="H47" i="529" s="1"/>
  <c r="G48" i="529" s="1"/>
  <c r="G49" i="529" s="1"/>
  <c r="F213" i="209" s="1"/>
  <c r="C32" i="515"/>
  <c r="D38" i="515" s="1"/>
  <c r="D33" i="515"/>
  <c r="C32" i="523"/>
  <c r="D38" i="523" s="1"/>
  <c r="D33" i="523"/>
  <c r="C32" i="517"/>
  <c r="D38" i="517" s="1"/>
  <c r="D33" i="517"/>
  <c r="C32" i="499"/>
  <c r="D38" i="499" s="1"/>
  <c r="D33" i="499"/>
  <c r="C32" i="541"/>
  <c r="D38" i="541" s="1"/>
  <c r="D33" i="541"/>
  <c r="C32" i="529"/>
  <c r="D38" i="529" s="1"/>
  <c r="D33" i="529"/>
  <c r="E23" i="513"/>
  <c r="C32" i="549"/>
  <c r="D38" i="549" s="1"/>
  <c r="D33" i="549"/>
  <c r="C32" i="559"/>
  <c r="D38" i="559" s="1"/>
  <c r="D33" i="559"/>
  <c r="C32" i="509"/>
  <c r="D38" i="509" s="1"/>
  <c r="D33" i="509"/>
  <c r="C32" i="547"/>
  <c r="D38" i="547" s="1"/>
  <c r="D33" i="547"/>
  <c r="C32" i="535"/>
  <c r="D38" i="535" s="1"/>
  <c r="D33" i="535"/>
  <c r="C32" i="557"/>
  <c r="D38" i="557" s="1"/>
  <c r="D33" i="557"/>
  <c r="C32" i="551"/>
  <c r="D38" i="551" s="1"/>
  <c r="D33" i="551"/>
  <c r="E23" i="537"/>
  <c r="E23" i="531"/>
  <c r="C32" i="525"/>
  <c r="D38" i="525" s="1"/>
  <c r="D33" i="525"/>
  <c r="G33" i="525"/>
  <c r="G37" i="525" s="1"/>
  <c r="G43" i="525" s="1"/>
  <c r="G46" i="525" s="1"/>
  <c r="H47" i="525" s="1"/>
  <c r="G48" i="525" s="1"/>
  <c r="G49" i="525" s="1"/>
  <c r="F211" i="209" s="1"/>
  <c r="E23" i="545"/>
  <c r="G33" i="523"/>
  <c r="G37" i="523" s="1"/>
  <c r="G43" i="523" s="1"/>
  <c r="G46" i="523" s="1"/>
  <c r="H47" i="523" s="1"/>
  <c r="G48" i="523" s="1"/>
  <c r="G49" i="523" s="1"/>
  <c r="F210" i="209" s="1"/>
  <c r="C32" i="545"/>
  <c r="D38" i="545" s="1"/>
  <c r="D33" i="545"/>
  <c r="C32" i="505"/>
  <c r="D38" i="505" s="1"/>
  <c r="D33" i="505"/>
  <c r="G33" i="543"/>
  <c r="G37" i="543" s="1"/>
  <c r="G43" i="543" s="1"/>
  <c r="G46" i="543" s="1"/>
  <c r="H47" i="543" s="1"/>
  <c r="G48" i="543" s="1"/>
  <c r="G49" i="543" s="1"/>
  <c r="F220" i="209" s="1"/>
  <c r="G33" i="535"/>
  <c r="G37" i="535" s="1"/>
  <c r="G43" i="535" s="1"/>
  <c r="G46" i="535" s="1"/>
  <c r="H47" i="535" s="1"/>
  <c r="G48" i="535" s="1"/>
  <c r="G49" i="535" s="1"/>
  <c r="F216" i="209" s="1"/>
  <c r="E23" i="549"/>
  <c r="E23" i="547"/>
  <c r="C32" i="555"/>
  <c r="D38" i="555" s="1"/>
  <c r="D33" i="555"/>
  <c r="G33" i="533"/>
  <c r="G37" i="533" s="1"/>
  <c r="G43" i="533" s="1"/>
  <c r="G46" i="533" s="1"/>
  <c r="H47" i="533" s="1"/>
  <c r="G48" i="533" s="1"/>
  <c r="G49" i="533" s="1"/>
  <c r="F215" i="209" s="1"/>
  <c r="C32" i="543"/>
  <c r="D38" i="543" s="1"/>
  <c r="D33" i="543"/>
  <c r="C32" i="511"/>
  <c r="D38" i="511" s="1"/>
  <c r="D33" i="511"/>
  <c r="G33" i="517"/>
  <c r="G37" i="517" s="1"/>
  <c r="G43" i="517" s="1"/>
  <c r="G46" i="517" s="1"/>
  <c r="H47" i="517" s="1"/>
  <c r="G48" i="517" s="1"/>
  <c r="G49" i="517" s="1"/>
  <c r="F207" i="209" s="1"/>
  <c r="C32" i="519"/>
  <c r="D38" i="519" s="1"/>
  <c r="D33" i="519"/>
  <c r="C32" i="527"/>
  <c r="D38" i="527" s="1"/>
  <c r="D33" i="527"/>
  <c r="E23" i="551"/>
  <c r="E23" i="557"/>
  <c r="E23" i="541"/>
  <c r="E23" i="499"/>
  <c r="C32" i="513"/>
  <c r="D38" i="513" s="1"/>
  <c r="D33" i="513"/>
  <c r="C32" i="501"/>
  <c r="D38" i="501" s="1"/>
  <c r="D33" i="501"/>
  <c r="C32" i="503"/>
  <c r="D38" i="503" s="1"/>
  <c r="D33" i="503"/>
  <c r="C32" i="521"/>
  <c r="D38" i="521" s="1"/>
  <c r="D33" i="521"/>
  <c r="E23" i="559"/>
  <c r="E23" i="555"/>
  <c r="C32" i="507"/>
  <c r="D38" i="507" s="1"/>
  <c r="D33" i="507"/>
  <c r="G33" i="466"/>
  <c r="G37" i="466" s="1"/>
  <c r="G43" i="466" s="1"/>
  <c r="G46" i="466" s="1"/>
  <c r="H47" i="466" s="1"/>
  <c r="G48" i="466" s="1"/>
  <c r="G49" i="466" s="1"/>
  <c r="F168" i="209" s="1"/>
  <c r="E32" i="410"/>
  <c r="F38" i="410" s="1"/>
  <c r="E32" i="430"/>
  <c r="F38" i="430" s="1"/>
  <c r="F33" i="416"/>
  <c r="E32" i="438"/>
  <c r="F38" i="438" s="1"/>
  <c r="G33" i="405"/>
  <c r="G37" i="405" s="1"/>
  <c r="G43" i="405" s="1"/>
  <c r="G46" i="405" s="1"/>
  <c r="H47" i="405" s="1"/>
  <c r="G48" i="405" s="1"/>
  <c r="G49" i="405" s="1"/>
  <c r="F24" i="209" s="1"/>
  <c r="G33" i="454"/>
  <c r="G37" i="454" s="1"/>
  <c r="G43" i="454" s="1"/>
  <c r="G46" i="454" s="1"/>
  <c r="H47" i="454" s="1"/>
  <c r="G48" i="454" s="1"/>
  <c r="G49" i="454" s="1"/>
  <c r="F163" i="209" s="1"/>
  <c r="F33" i="440"/>
  <c r="G33" i="460"/>
  <c r="G37" i="460" s="1"/>
  <c r="G43" i="460" s="1"/>
  <c r="G46" i="460" s="1"/>
  <c r="H47" i="460" s="1"/>
  <c r="G48" i="460" s="1"/>
  <c r="G49" i="460" s="1"/>
  <c r="F165" i="209" s="1"/>
  <c r="G33" i="393"/>
  <c r="G37" i="393" s="1"/>
  <c r="G43" i="393" s="1"/>
  <c r="G46" i="393" s="1"/>
  <c r="H47" i="393" s="1"/>
  <c r="G48" i="393" s="1"/>
  <c r="G49" i="393" s="1"/>
  <c r="F18" i="209" s="1"/>
  <c r="G33" i="414"/>
  <c r="G37" i="414" s="1"/>
  <c r="G43" i="414" s="1"/>
  <c r="G46" i="414" s="1"/>
  <c r="H47" i="414" s="1"/>
  <c r="G48" i="414" s="1"/>
  <c r="G49" i="414" s="1"/>
  <c r="F61" i="209" s="1"/>
  <c r="G33" i="464"/>
  <c r="G37" i="464" s="1"/>
  <c r="G43" i="464" s="1"/>
  <c r="G46" i="464" s="1"/>
  <c r="H47" i="464" s="1"/>
  <c r="G48" i="464" s="1"/>
  <c r="G49" i="464" s="1"/>
  <c r="F167" i="209" s="1"/>
  <c r="G33" i="462"/>
  <c r="G37" i="462" s="1"/>
  <c r="G43" i="462" s="1"/>
  <c r="G46" i="462" s="1"/>
  <c r="H47" i="462" s="1"/>
  <c r="G48" i="462" s="1"/>
  <c r="G49" i="462" s="1"/>
  <c r="F166" i="209" s="1"/>
  <c r="G33" i="476"/>
  <c r="G37" i="476" s="1"/>
  <c r="G43" i="476" s="1"/>
  <c r="G46" i="476" s="1"/>
  <c r="H47" i="476" s="1"/>
  <c r="G48" i="476" s="1"/>
  <c r="G49" i="476" s="1"/>
  <c r="F173" i="209" s="1"/>
  <c r="G33" i="453"/>
  <c r="G37" i="453" s="1"/>
  <c r="G43" i="453" s="1"/>
  <c r="G46" i="453" s="1"/>
  <c r="H47" i="453" s="1"/>
  <c r="G48" i="453" s="1"/>
  <c r="G49" i="453" s="1"/>
  <c r="F92" i="209" s="1"/>
  <c r="E23" i="470"/>
  <c r="E21" i="470" s="1"/>
  <c r="E31" i="470" s="1"/>
  <c r="E23" i="476"/>
  <c r="E29" i="476" s="1"/>
  <c r="F30" i="476" s="1"/>
  <c r="G33" i="474"/>
  <c r="G37" i="474" s="1"/>
  <c r="G43" i="474" s="1"/>
  <c r="G46" i="474" s="1"/>
  <c r="H47" i="474" s="1"/>
  <c r="G48" i="474" s="1"/>
  <c r="G49" i="474" s="1"/>
  <c r="F172" i="209" s="1"/>
  <c r="G33" i="478"/>
  <c r="G37" i="478" s="1"/>
  <c r="G43" i="478" s="1"/>
  <c r="G46" i="478" s="1"/>
  <c r="H47" i="478" s="1"/>
  <c r="G48" i="478" s="1"/>
  <c r="G49" i="478" s="1"/>
  <c r="F174" i="209" s="1"/>
  <c r="E23" i="454"/>
  <c r="E23" i="472"/>
  <c r="C32" i="470"/>
  <c r="D38" i="470" s="1"/>
  <c r="D33" i="470"/>
  <c r="G33" i="470"/>
  <c r="G37" i="470" s="1"/>
  <c r="G43" i="470" s="1"/>
  <c r="G46" i="470" s="1"/>
  <c r="H47" i="470" s="1"/>
  <c r="G48" i="470" s="1"/>
  <c r="G49" i="470" s="1"/>
  <c r="F170" i="209" s="1"/>
  <c r="E23" i="460"/>
  <c r="F33" i="426"/>
  <c r="E23" i="464"/>
  <c r="C32" i="474"/>
  <c r="D38" i="474" s="1"/>
  <c r="D33" i="474"/>
  <c r="E23" i="462"/>
  <c r="C32" i="478"/>
  <c r="D38" i="478" s="1"/>
  <c r="D33" i="478"/>
  <c r="G33" i="472"/>
  <c r="G37" i="472" s="1"/>
  <c r="G43" i="472" s="1"/>
  <c r="G46" i="472" s="1"/>
  <c r="H47" i="472" s="1"/>
  <c r="G48" i="472" s="1"/>
  <c r="G49" i="472" s="1"/>
  <c r="F171" i="209" s="1"/>
  <c r="C32" i="472"/>
  <c r="D38" i="472" s="1"/>
  <c r="D33" i="472"/>
  <c r="C32" i="456"/>
  <c r="D38" i="456" s="1"/>
  <c r="D33" i="456"/>
  <c r="E23" i="468"/>
  <c r="G33" i="456"/>
  <c r="G37" i="456" s="1"/>
  <c r="G43" i="456" s="1"/>
  <c r="G46" i="456" s="1"/>
  <c r="H47" i="456" s="1"/>
  <c r="G48" i="456" s="1"/>
  <c r="G49" i="456" s="1"/>
  <c r="F164" i="209" s="1"/>
  <c r="C32" i="466"/>
  <c r="D38" i="466" s="1"/>
  <c r="D33" i="466"/>
  <c r="E23" i="474"/>
  <c r="C32" i="462"/>
  <c r="D38" i="462" s="1"/>
  <c r="D33" i="462"/>
  <c r="C32" i="460"/>
  <c r="D38" i="460" s="1"/>
  <c r="D33" i="460"/>
  <c r="C32" i="468"/>
  <c r="D38" i="468" s="1"/>
  <c r="D33" i="468"/>
  <c r="C32" i="454"/>
  <c r="D38" i="454" s="1"/>
  <c r="D33" i="454"/>
  <c r="E23" i="466"/>
  <c r="C32" i="476"/>
  <c r="D38" i="476" s="1"/>
  <c r="D33" i="476"/>
  <c r="C32" i="464"/>
  <c r="D38" i="464" s="1"/>
  <c r="D33" i="464"/>
  <c r="E23" i="456"/>
  <c r="E23" i="478"/>
  <c r="G33" i="468"/>
  <c r="G37" i="468" s="1"/>
  <c r="G43" i="468" s="1"/>
  <c r="G46" i="468" s="1"/>
  <c r="H47" i="468" s="1"/>
  <c r="G48" i="468" s="1"/>
  <c r="G49" i="468" s="1"/>
  <c r="F169" i="209" s="1"/>
  <c r="G33" i="436"/>
  <c r="G37" i="436" s="1"/>
  <c r="G43" i="436" s="1"/>
  <c r="G46" i="436" s="1"/>
  <c r="H47" i="436" s="1"/>
  <c r="G48" i="436" s="1"/>
  <c r="G49" i="436" s="1"/>
  <c r="F71" i="209" s="1"/>
  <c r="E29" i="453"/>
  <c r="F30" i="453" s="1"/>
  <c r="E32" i="453" s="1"/>
  <c r="F38" i="453" s="1"/>
  <c r="E23" i="297"/>
  <c r="E29" i="297" s="1"/>
  <c r="F30" i="297" s="1"/>
  <c r="E32" i="297" s="1"/>
  <c r="F38" i="297" s="1"/>
  <c r="G33" i="434"/>
  <c r="G37" i="434" s="1"/>
  <c r="G43" i="434" s="1"/>
  <c r="G46" i="434" s="1"/>
  <c r="H47" i="434" s="1"/>
  <c r="G48" i="434" s="1"/>
  <c r="G49" i="434" s="1"/>
  <c r="F70" i="209" s="1"/>
  <c r="D35" i="215"/>
  <c r="D38" i="215" s="1"/>
  <c r="G33" i="416"/>
  <c r="G37" i="416" s="1"/>
  <c r="G43" i="416" s="1"/>
  <c r="G46" i="416" s="1"/>
  <c r="H47" i="416" s="1"/>
  <c r="G48" i="416" s="1"/>
  <c r="G49" i="416" s="1"/>
  <c r="F62" i="209" s="1"/>
  <c r="G33" i="426"/>
  <c r="G37" i="426" s="1"/>
  <c r="G43" i="426" s="1"/>
  <c r="G46" i="426" s="1"/>
  <c r="H47" i="426" s="1"/>
  <c r="G48" i="426" s="1"/>
  <c r="G49" i="426" s="1"/>
  <c r="F67" i="209" s="1"/>
  <c r="E33" i="420"/>
  <c r="E37" i="420" s="1"/>
  <c r="E43" i="420" s="1"/>
  <c r="E46" i="420" s="1"/>
  <c r="F47" i="420" s="1"/>
  <c r="E48" i="420" s="1"/>
  <c r="E49" i="420" s="1"/>
  <c r="E64" i="209" s="1"/>
  <c r="G33" i="420"/>
  <c r="G37" i="420" s="1"/>
  <c r="G43" i="420" s="1"/>
  <c r="G46" i="420" s="1"/>
  <c r="H47" i="420" s="1"/>
  <c r="G48" i="420" s="1"/>
  <c r="G49" i="420" s="1"/>
  <c r="F64" i="209" s="1"/>
  <c r="E33" i="416"/>
  <c r="E37" i="416" s="1"/>
  <c r="E43" i="416" s="1"/>
  <c r="E46" i="416" s="1"/>
  <c r="F47" i="416" s="1"/>
  <c r="E48" i="416" s="1"/>
  <c r="E49" i="416" s="1"/>
  <c r="E62" i="209" s="1"/>
  <c r="G33" i="422"/>
  <c r="G37" i="422" s="1"/>
  <c r="G43" i="422" s="1"/>
  <c r="G46" i="422" s="1"/>
  <c r="H47" i="422" s="1"/>
  <c r="G48" i="422" s="1"/>
  <c r="G49" i="422" s="1"/>
  <c r="F65" i="209" s="1"/>
  <c r="G33" i="410"/>
  <c r="G37" i="410" s="1"/>
  <c r="G43" i="410" s="1"/>
  <c r="G46" i="410" s="1"/>
  <c r="H47" i="410" s="1"/>
  <c r="G48" i="410" s="1"/>
  <c r="G49" i="410" s="1"/>
  <c r="F59" i="209" s="1"/>
  <c r="E33" i="436"/>
  <c r="E37" i="436" s="1"/>
  <c r="E43" i="436" s="1"/>
  <c r="E46" i="436" s="1"/>
  <c r="F47" i="436" s="1"/>
  <c r="E48" i="436" s="1"/>
  <c r="E49" i="436" s="1"/>
  <c r="E71" i="209" s="1"/>
  <c r="G33" i="432"/>
  <c r="G37" i="432" s="1"/>
  <c r="G43" i="432" s="1"/>
  <c r="G46" i="432" s="1"/>
  <c r="H47" i="432" s="1"/>
  <c r="G48" i="432" s="1"/>
  <c r="G49" i="432" s="1"/>
  <c r="F69" i="209" s="1"/>
  <c r="G33" i="412"/>
  <c r="G37" i="412" s="1"/>
  <c r="G43" i="412" s="1"/>
  <c r="G46" i="412" s="1"/>
  <c r="H47" i="412" s="1"/>
  <c r="G48" i="412" s="1"/>
  <c r="G49" i="412" s="1"/>
  <c r="F60" i="209" s="1"/>
  <c r="G33" i="418"/>
  <c r="G37" i="418" s="1"/>
  <c r="G43" i="418" s="1"/>
  <c r="G46" i="418" s="1"/>
  <c r="H47" i="418" s="1"/>
  <c r="G48" i="418" s="1"/>
  <c r="G49" i="418" s="1"/>
  <c r="F63" i="209" s="1"/>
  <c r="C32" i="453"/>
  <c r="D38" i="453" s="1"/>
  <c r="D33" i="453"/>
  <c r="G33" i="450"/>
  <c r="G37" i="450" s="1"/>
  <c r="G43" i="450" s="1"/>
  <c r="G46" i="450" s="1"/>
  <c r="H47" i="450" s="1"/>
  <c r="G48" i="450" s="1"/>
  <c r="G49" i="450" s="1"/>
  <c r="F78" i="209" s="1"/>
  <c r="E33" i="418"/>
  <c r="E37" i="418" s="1"/>
  <c r="E43" i="418" s="1"/>
  <c r="E46" i="418" s="1"/>
  <c r="F47" i="418" s="1"/>
  <c r="E48" i="418" s="1"/>
  <c r="E49" i="418" s="1"/>
  <c r="E63" i="209" s="1"/>
  <c r="E33" i="414"/>
  <c r="E37" i="414" s="1"/>
  <c r="E43" i="414" s="1"/>
  <c r="E46" i="414" s="1"/>
  <c r="F47" i="414" s="1"/>
  <c r="E48" i="414" s="1"/>
  <c r="E49" i="414" s="1"/>
  <c r="E61" i="209" s="1"/>
  <c r="E23" i="395"/>
  <c r="E29" i="395" s="1"/>
  <c r="F30" i="395" s="1"/>
  <c r="G33" i="446"/>
  <c r="G37" i="446" s="1"/>
  <c r="G43" i="446" s="1"/>
  <c r="G46" i="446" s="1"/>
  <c r="H47" i="446" s="1"/>
  <c r="G48" i="446" s="1"/>
  <c r="G49" i="446" s="1"/>
  <c r="F76" i="209" s="1"/>
  <c r="E33" i="426"/>
  <c r="E37" i="426" s="1"/>
  <c r="E43" i="426" s="1"/>
  <c r="E46" i="426" s="1"/>
  <c r="F47" i="426" s="1"/>
  <c r="E48" i="426" s="1"/>
  <c r="E49" i="426" s="1"/>
  <c r="E67" i="209" s="1"/>
  <c r="C32" i="414"/>
  <c r="D38" i="414" s="1"/>
  <c r="D33" i="414"/>
  <c r="E32" i="434"/>
  <c r="F38" i="434" s="1"/>
  <c r="F33" i="434"/>
  <c r="C32" i="442"/>
  <c r="D38" i="442" s="1"/>
  <c r="D33" i="442"/>
  <c r="G69" i="388"/>
  <c r="I69" i="388" s="1"/>
  <c r="J69" i="388"/>
  <c r="L69" i="388" s="1"/>
  <c r="G33" i="430"/>
  <c r="G37" i="430" s="1"/>
  <c r="G43" i="430" s="1"/>
  <c r="G46" i="430" s="1"/>
  <c r="H47" i="430" s="1"/>
  <c r="G48" i="430" s="1"/>
  <c r="G49" i="430" s="1"/>
  <c r="F68" i="209" s="1"/>
  <c r="C32" i="450"/>
  <c r="D38" i="450" s="1"/>
  <c r="D33" i="450"/>
  <c r="C32" i="440"/>
  <c r="D38" i="440" s="1"/>
  <c r="D33" i="440"/>
  <c r="G33" i="438"/>
  <c r="G37" i="438" s="1"/>
  <c r="G43" i="438" s="1"/>
  <c r="G46" i="438" s="1"/>
  <c r="H47" i="438" s="1"/>
  <c r="G48" i="438" s="1"/>
  <c r="G49" i="438" s="1"/>
  <c r="F72" i="209" s="1"/>
  <c r="E32" i="448"/>
  <c r="F38" i="448" s="1"/>
  <c r="F33" i="448"/>
  <c r="E33" i="440"/>
  <c r="E37" i="440" s="1"/>
  <c r="E43" i="440" s="1"/>
  <c r="E46" i="440" s="1"/>
  <c r="F47" i="440" s="1"/>
  <c r="E48" i="440" s="1"/>
  <c r="E49" i="440" s="1"/>
  <c r="E73" i="209" s="1"/>
  <c r="E32" i="442"/>
  <c r="F38" i="442" s="1"/>
  <c r="F33" i="442"/>
  <c r="E32" i="424"/>
  <c r="F38" i="424" s="1"/>
  <c r="F33" i="424"/>
  <c r="E33" i="422"/>
  <c r="E37" i="422" s="1"/>
  <c r="E43" i="422" s="1"/>
  <c r="E46" i="422" s="1"/>
  <c r="F47" i="422" s="1"/>
  <c r="E48" i="422" s="1"/>
  <c r="E49" i="422" s="1"/>
  <c r="E65" i="209" s="1"/>
  <c r="G33" i="440"/>
  <c r="G37" i="440" s="1"/>
  <c r="G43" i="440" s="1"/>
  <c r="G46" i="440" s="1"/>
  <c r="H47" i="440" s="1"/>
  <c r="G48" i="440" s="1"/>
  <c r="G49" i="440" s="1"/>
  <c r="F73" i="209" s="1"/>
  <c r="C32" i="426"/>
  <c r="D38" i="426" s="1"/>
  <c r="D33" i="426"/>
  <c r="C32" i="412"/>
  <c r="D38" i="412" s="1"/>
  <c r="D33" i="412"/>
  <c r="E33" i="444"/>
  <c r="E37" i="444" s="1"/>
  <c r="E43" i="444" s="1"/>
  <c r="E46" i="444" s="1"/>
  <c r="F47" i="444" s="1"/>
  <c r="E48" i="444" s="1"/>
  <c r="E49" i="444" s="1"/>
  <c r="E75" i="209" s="1"/>
  <c r="G33" i="442"/>
  <c r="G37" i="442" s="1"/>
  <c r="G43" i="442" s="1"/>
  <c r="G46" i="442" s="1"/>
  <c r="H47" i="442" s="1"/>
  <c r="G48" i="442" s="1"/>
  <c r="G49" i="442" s="1"/>
  <c r="F74" i="209" s="1"/>
  <c r="E32" i="412"/>
  <c r="F38" i="412" s="1"/>
  <c r="F33" i="412"/>
  <c r="G33" i="444"/>
  <c r="G37" i="444" s="1"/>
  <c r="G43" i="444" s="1"/>
  <c r="G46" i="444" s="1"/>
  <c r="H47" i="444" s="1"/>
  <c r="G48" i="444" s="1"/>
  <c r="G49" i="444" s="1"/>
  <c r="F75" i="209" s="1"/>
  <c r="G33" i="424"/>
  <c r="G37" i="424" s="1"/>
  <c r="G43" i="424" s="1"/>
  <c r="G46" i="424" s="1"/>
  <c r="H47" i="424" s="1"/>
  <c r="G48" i="424" s="1"/>
  <c r="G49" i="424" s="1"/>
  <c r="F66" i="209" s="1"/>
  <c r="E32" i="432"/>
  <c r="F38" i="432" s="1"/>
  <c r="F33" i="432"/>
  <c r="G33" i="448"/>
  <c r="G37" i="448" s="1"/>
  <c r="G43" i="448" s="1"/>
  <c r="G46" i="448" s="1"/>
  <c r="H47" i="448" s="1"/>
  <c r="G48" i="448" s="1"/>
  <c r="G49" i="448" s="1"/>
  <c r="F77" i="209" s="1"/>
  <c r="E33" i="450"/>
  <c r="E37" i="450" s="1"/>
  <c r="E43" i="450" s="1"/>
  <c r="E46" i="450" s="1"/>
  <c r="F47" i="450" s="1"/>
  <c r="E48" i="450" s="1"/>
  <c r="E49" i="450" s="1"/>
  <c r="E78" i="209" s="1"/>
  <c r="C32" i="410"/>
  <c r="D38" i="410" s="1"/>
  <c r="D33" i="410"/>
  <c r="E32" i="446"/>
  <c r="F38" i="446" s="1"/>
  <c r="F33" i="446"/>
  <c r="C32" i="436"/>
  <c r="D38" i="436" s="1"/>
  <c r="D33" i="436"/>
  <c r="C32" i="430"/>
  <c r="D38" i="430" s="1"/>
  <c r="D33" i="430"/>
  <c r="C32" i="420"/>
  <c r="D38" i="420" s="1"/>
  <c r="D33" i="420"/>
  <c r="G33" i="395"/>
  <c r="G37" i="395" s="1"/>
  <c r="G43" i="395" s="1"/>
  <c r="G46" i="395" s="1"/>
  <c r="H47" i="395" s="1"/>
  <c r="G48" i="395" s="1"/>
  <c r="G49" i="395" s="1"/>
  <c r="F19" i="209" s="1"/>
  <c r="E23" i="393"/>
  <c r="E21" i="393" s="1"/>
  <c r="E31" i="393" s="1"/>
  <c r="G33" i="389"/>
  <c r="G37" i="389" s="1"/>
  <c r="G43" i="389" s="1"/>
  <c r="G46" i="389" s="1"/>
  <c r="H47" i="389" s="1"/>
  <c r="G48" i="389" s="1"/>
  <c r="G49" i="389" s="1"/>
  <c r="F16" i="209" s="1"/>
  <c r="E23" i="397"/>
  <c r="E21" i="397" s="1"/>
  <c r="E31" i="397" s="1"/>
  <c r="G33" i="404"/>
  <c r="G37" i="404" s="1"/>
  <c r="G43" i="404" s="1"/>
  <c r="G46" i="404" s="1"/>
  <c r="H47" i="404" s="1"/>
  <c r="G48" i="404" s="1"/>
  <c r="G49" i="404" s="1"/>
  <c r="F23" i="209" s="1"/>
  <c r="G33" i="400"/>
  <c r="G37" i="400" s="1"/>
  <c r="G43" i="400" s="1"/>
  <c r="G46" i="400" s="1"/>
  <c r="H47" i="400" s="1"/>
  <c r="G48" i="400" s="1"/>
  <c r="G49" i="400" s="1"/>
  <c r="F21" i="209" s="1"/>
  <c r="E23" i="391"/>
  <c r="E21" i="391" s="1"/>
  <c r="E31" i="391" s="1"/>
  <c r="C32" i="404"/>
  <c r="D38" i="404" s="1"/>
  <c r="D33" i="404"/>
  <c r="C32" i="400"/>
  <c r="D38" i="400" s="1"/>
  <c r="D33" i="400"/>
  <c r="D53" i="404"/>
  <c r="C31" i="404"/>
  <c r="E23" i="400"/>
  <c r="C31" i="400"/>
  <c r="D53" i="400"/>
  <c r="C32" i="405"/>
  <c r="D38" i="405" s="1"/>
  <c r="D33" i="405"/>
  <c r="C32" i="397"/>
  <c r="D38" i="397" s="1"/>
  <c r="D33" i="397"/>
  <c r="D53" i="395"/>
  <c r="C31" i="395"/>
  <c r="C53" i="393"/>
  <c r="C53" i="402"/>
  <c r="C53" i="391"/>
  <c r="C53" i="389"/>
  <c r="C53" i="400"/>
  <c r="C53" i="405"/>
  <c r="C53" i="395"/>
  <c r="C53" i="397"/>
  <c r="C53" i="404"/>
  <c r="C32" i="389"/>
  <c r="D38" i="389" s="1"/>
  <c r="D33" i="389"/>
  <c r="D53" i="405"/>
  <c r="C31" i="405"/>
  <c r="D53" i="397"/>
  <c r="C31" i="397"/>
  <c r="C32" i="393"/>
  <c r="D38" i="393" s="1"/>
  <c r="D33" i="393"/>
  <c r="D53" i="391"/>
  <c r="C31" i="391"/>
  <c r="G33" i="397"/>
  <c r="G37" i="397" s="1"/>
  <c r="G43" i="397" s="1"/>
  <c r="G46" i="397" s="1"/>
  <c r="H47" i="397" s="1"/>
  <c r="G48" i="397" s="1"/>
  <c r="G49" i="397" s="1"/>
  <c r="F20" i="209" s="1"/>
  <c r="C31" i="389"/>
  <c r="D53" i="389"/>
  <c r="E23" i="389"/>
  <c r="C31" i="393"/>
  <c r="D53" i="393"/>
  <c r="C32" i="402"/>
  <c r="D38" i="402" s="1"/>
  <c r="D33" i="402"/>
  <c r="E23" i="404"/>
  <c r="E23" i="402"/>
  <c r="G33" i="391"/>
  <c r="G37" i="391" s="1"/>
  <c r="G43" i="391" s="1"/>
  <c r="G46" i="391" s="1"/>
  <c r="H47" i="391" s="1"/>
  <c r="G48" i="391" s="1"/>
  <c r="G49" i="391" s="1"/>
  <c r="F17" i="209" s="1"/>
  <c r="C32" i="391"/>
  <c r="D38" i="391" s="1"/>
  <c r="D33" i="391"/>
  <c r="C31" i="402"/>
  <c r="D53" i="402"/>
  <c r="C32" i="395"/>
  <c r="D38" i="395" s="1"/>
  <c r="D33" i="395"/>
  <c r="E23" i="405"/>
  <c r="G33" i="402"/>
  <c r="G37" i="402" s="1"/>
  <c r="G43" i="402" s="1"/>
  <c r="G46" i="402" s="1"/>
  <c r="H47" i="402" s="1"/>
  <c r="G48" i="402" s="1"/>
  <c r="G49" i="402" s="1"/>
  <c r="F22" i="209" s="1"/>
  <c r="S7" i="2"/>
  <c r="E23" i="264"/>
  <c r="E21" i="264" s="1"/>
  <c r="E31" i="264" s="1"/>
  <c r="E23" i="199"/>
  <c r="E29" i="199" s="1"/>
  <c r="F30" i="199" s="1"/>
  <c r="E32" i="199" s="1"/>
  <c r="F38" i="199" s="1"/>
  <c r="C53" i="138"/>
  <c r="D29" i="17"/>
  <c r="D31" i="17" s="1"/>
  <c r="E23" i="155"/>
  <c r="E21" i="155" s="1"/>
  <c r="E31" i="155" s="1"/>
  <c r="C53" i="144"/>
  <c r="D16" i="2"/>
  <c r="C53" i="212"/>
  <c r="C53" i="142"/>
  <c r="C53" i="146"/>
  <c r="C53" i="137"/>
  <c r="C53" i="145"/>
  <c r="D6" i="2"/>
  <c r="I7" i="2" s="1"/>
  <c r="D95" i="2"/>
  <c r="E23" i="181"/>
  <c r="E29" i="181" s="1"/>
  <c r="F30" i="181" s="1"/>
  <c r="E32" i="181" s="1"/>
  <c r="F38" i="181" s="1"/>
  <c r="E23" i="282"/>
  <c r="E29" i="282" s="1"/>
  <c r="F30" i="282" s="1"/>
  <c r="E32" i="282" s="1"/>
  <c r="F38" i="282" s="1"/>
  <c r="E23" i="176"/>
  <c r="E29" i="176" s="1"/>
  <c r="F30" i="176" s="1"/>
  <c r="E32" i="176" s="1"/>
  <c r="F38" i="176" s="1"/>
  <c r="E23" i="171"/>
  <c r="E29" i="171" s="1"/>
  <c r="F30" i="171" s="1"/>
  <c r="E32" i="171" s="1"/>
  <c r="F38" i="171" s="1"/>
  <c r="E23" i="172"/>
  <c r="E29" i="172" s="1"/>
  <c r="F30" i="172" s="1"/>
  <c r="E32" i="172" s="1"/>
  <c r="F38" i="172" s="1"/>
  <c r="E23" i="207"/>
  <c r="E29" i="207" s="1"/>
  <c r="F30" i="207" s="1"/>
  <c r="E32" i="207" s="1"/>
  <c r="F38" i="207" s="1"/>
  <c r="E23" i="301"/>
  <c r="E21" i="301" s="1"/>
  <c r="E31" i="301" s="1"/>
  <c r="E21" i="154"/>
  <c r="E31" i="154" s="1"/>
  <c r="E33" i="154" s="1"/>
  <c r="E37" i="154" s="1"/>
  <c r="E43" i="154" s="1"/>
  <c r="E46" i="154" s="1"/>
  <c r="F47" i="154" s="1"/>
  <c r="E23" i="167"/>
  <c r="E29" i="167" s="1"/>
  <c r="F30" i="167" s="1"/>
  <c r="E32" i="167" s="1"/>
  <c r="F38" i="167" s="1"/>
  <c r="E23" i="309"/>
  <c r="E29" i="309" s="1"/>
  <c r="F30" i="309" s="1"/>
  <c r="E32" i="309" s="1"/>
  <c r="F38" i="309" s="1"/>
  <c r="E23" i="196"/>
  <c r="E29" i="196" s="1"/>
  <c r="F30" i="196" s="1"/>
  <c r="E32" i="196" s="1"/>
  <c r="F38" i="196" s="1"/>
  <c r="E23" i="179"/>
  <c r="E21" i="179" s="1"/>
  <c r="E31" i="179" s="1"/>
  <c r="E23" i="319"/>
  <c r="E29" i="319" s="1"/>
  <c r="F30" i="319" s="1"/>
  <c r="E32" i="319" s="1"/>
  <c r="F38" i="319" s="1"/>
  <c r="E23" i="333"/>
  <c r="E29" i="333" s="1"/>
  <c r="F30" i="333" s="1"/>
  <c r="E32" i="333" s="1"/>
  <c r="F38" i="333" s="1"/>
  <c r="E23" i="186"/>
  <c r="E29" i="186" s="1"/>
  <c r="F30" i="186" s="1"/>
  <c r="E32" i="186" s="1"/>
  <c r="F38" i="186" s="1"/>
  <c r="E23" i="203"/>
  <c r="E21" i="203" s="1"/>
  <c r="E31" i="203" s="1"/>
  <c r="E23" i="208"/>
  <c r="E29" i="208" s="1"/>
  <c r="F30" i="208" s="1"/>
  <c r="E32" i="208" s="1"/>
  <c r="F38" i="208" s="1"/>
  <c r="E23" i="148"/>
  <c r="E29" i="148" s="1"/>
  <c r="F30" i="148" s="1"/>
  <c r="E32" i="148" s="1"/>
  <c r="F38" i="148" s="1"/>
  <c r="E23" i="205"/>
  <c r="E21" i="205" s="1"/>
  <c r="E31" i="205" s="1"/>
  <c r="E23" i="191"/>
  <c r="E29" i="191" s="1"/>
  <c r="F30" i="191" s="1"/>
  <c r="E32" i="191" s="1"/>
  <c r="F38" i="191" s="1"/>
  <c r="E23" i="195"/>
  <c r="E21" i="195" s="1"/>
  <c r="E31" i="195" s="1"/>
  <c r="E23" i="149"/>
  <c r="E29" i="149" s="1"/>
  <c r="F30" i="149" s="1"/>
  <c r="E32" i="149" s="1"/>
  <c r="F38" i="149" s="1"/>
  <c r="E23" i="201"/>
  <c r="E29" i="201" s="1"/>
  <c r="F30" i="201" s="1"/>
  <c r="E32" i="201" s="1"/>
  <c r="F38" i="201" s="1"/>
  <c r="E23" i="175"/>
  <c r="E29" i="175" s="1"/>
  <c r="F30" i="175" s="1"/>
  <c r="E32" i="175" s="1"/>
  <c r="F38" i="175" s="1"/>
  <c r="E23" i="378"/>
  <c r="E29" i="378" s="1"/>
  <c r="F30" i="378" s="1"/>
  <c r="E32" i="378" s="1"/>
  <c r="F38" i="378" s="1"/>
  <c r="E23" i="161"/>
  <c r="E29" i="161" s="1"/>
  <c r="F30" i="161" s="1"/>
  <c r="E32" i="161" s="1"/>
  <c r="F38" i="161" s="1"/>
  <c r="E23" i="153"/>
  <c r="E29" i="153" s="1"/>
  <c r="F30" i="153" s="1"/>
  <c r="E32" i="153" s="1"/>
  <c r="F38" i="153" s="1"/>
  <c r="E23" i="277"/>
  <c r="E29" i="277" s="1"/>
  <c r="F30" i="277" s="1"/>
  <c r="E32" i="277" s="1"/>
  <c r="F38" i="277" s="1"/>
  <c r="E23" i="305"/>
  <c r="E23" i="254"/>
  <c r="E29" i="254" s="1"/>
  <c r="F30" i="254" s="1"/>
  <c r="E32" i="254" s="1"/>
  <c r="F38" i="254" s="1"/>
  <c r="E23" i="202"/>
  <c r="E23" i="151"/>
  <c r="E23" i="189"/>
  <c r="E23" i="339"/>
  <c r="E29" i="339" s="1"/>
  <c r="F30" i="339" s="1"/>
  <c r="E32" i="339" s="1"/>
  <c r="F38" i="339" s="1"/>
  <c r="E23" i="353"/>
  <c r="E29" i="353" s="1"/>
  <c r="F30" i="353" s="1"/>
  <c r="E32" i="353" s="1"/>
  <c r="F38" i="353" s="1"/>
  <c r="E23" i="244"/>
  <c r="E29" i="244" s="1"/>
  <c r="F30" i="244" s="1"/>
  <c r="E32" i="244" s="1"/>
  <c r="F38" i="244" s="1"/>
  <c r="E23" i="355"/>
  <c r="E29" i="355" s="1"/>
  <c r="F30" i="355" s="1"/>
  <c r="E32" i="355" s="1"/>
  <c r="F38" i="355" s="1"/>
  <c r="E23" i="164"/>
  <c r="E29" i="164" s="1"/>
  <c r="F30" i="164" s="1"/>
  <c r="E32" i="164" s="1"/>
  <c r="F38" i="164" s="1"/>
  <c r="E23" i="299"/>
  <c r="E21" i="299" s="1"/>
  <c r="E31" i="299" s="1"/>
  <c r="E23" i="357"/>
  <c r="E29" i="357" s="1"/>
  <c r="F30" i="357" s="1"/>
  <c r="E32" i="357" s="1"/>
  <c r="F38" i="357" s="1"/>
  <c r="E23" i="369"/>
  <c r="E23" i="194"/>
  <c r="E29" i="194" s="1"/>
  <c r="F30" i="194" s="1"/>
  <c r="E32" i="194" s="1"/>
  <c r="F38" i="194" s="1"/>
  <c r="E23" i="331"/>
  <c r="E29" i="331" s="1"/>
  <c r="F30" i="331" s="1"/>
  <c r="E32" i="331" s="1"/>
  <c r="F38" i="331" s="1"/>
  <c r="E23" i="190"/>
  <c r="E29" i="190" s="1"/>
  <c r="F30" i="190" s="1"/>
  <c r="E32" i="190" s="1"/>
  <c r="F38" i="190" s="1"/>
  <c r="E23" i="365"/>
  <c r="E23" i="335"/>
  <c r="E23" i="268"/>
  <c r="E23" i="351"/>
  <c r="E23" i="266"/>
  <c r="E23" i="177"/>
  <c r="E29" i="177" s="1"/>
  <c r="F30" i="177" s="1"/>
  <c r="F33" i="177" s="1"/>
  <c r="E23" i="275"/>
  <c r="E29" i="275" s="1"/>
  <c r="F30" i="275" s="1"/>
  <c r="E32" i="275" s="1"/>
  <c r="F38" i="275" s="1"/>
  <c r="E23" i="359"/>
  <c r="E29" i="359" s="1"/>
  <c r="F30" i="359" s="1"/>
  <c r="E32" i="359" s="1"/>
  <c r="F38" i="359" s="1"/>
  <c r="E23" i="187"/>
  <c r="E29" i="187" s="1"/>
  <c r="F30" i="187" s="1"/>
  <c r="E32" i="187" s="1"/>
  <c r="F38" i="187" s="1"/>
  <c r="E23" i="197"/>
  <c r="E29" i="197" s="1"/>
  <c r="F30" i="197" s="1"/>
  <c r="E32" i="197" s="1"/>
  <c r="F38" i="197" s="1"/>
  <c r="E23" i="157"/>
  <c r="E29" i="157" s="1"/>
  <c r="F30" i="157" s="1"/>
  <c r="E32" i="157" s="1"/>
  <c r="F38" i="157" s="1"/>
  <c r="E23" i="256"/>
  <c r="E29" i="256" s="1"/>
  <c r="F30" i="256" s="1"/>
  <c r="E32" i="256" s="1"/>
  <c r="F38" i="256" s="1"/>
  <c r="E23" i="145"/>
  <c r="E29" i="145" s="1"/>
  <c r="F30" i="145" s="1"/>
  <c r="E23" i="246"/>
  <c r="E29" i="246" s="1"/>
  <c r="F30" i="246" s="1"/>
  <c r="E32" i="246" s="1"/>
  <c r="F38" i="246" s="1"/>
  <c r="E23" i="371"/>
  <c r="E23" i="307"/>
  <c r="E23" i="382"/>
  <c r="E23" i="321"/>
  <c r="E23" i="240"/>
  <c r="E21" i="240" s="1"/>
  <c r="E31" i="240" s="1"/>
  <c r="F33" i="154"/>
  <c r="E23" i="200"/>
  <c r="E29" i="200" s="1"/>
  <c r="F30" i="200" s="1"/>
  <c r="F33" i="200" s="1"/>
  <c r="E23" i="260"/>
  <c r="E21" i="260" s="1"/>
  <c r="E31" i="260" s="1"/>
  <c r="E23" i="323"/>
  <c r="E21" i="323" s="1"/>
  <c r="E31" i="323" s="1"/>
  <c r="E23" i="168"/>
  <c r="E29" i="168" s="1"/>
  <c r="F30" i="168" s="1"/>
  <c r="E23" i="345"/>
  <c r="E21" i="345" s="1"/>
  <c r="E31" i="345" s="1"/>
  <c r="E23" i="361"/>
  <c r="E29" i="361" s="1"/>
  <c r="F30" i="361" s="1"/>
  <c r="E23" i="327"/>
  <c r="E29" i="327" s="1"/>
  <c r="F30" i="327" s="1"/>
  <c r="E23" i="311"/>
  <c r="E23" i="218"/>
  <c r="E29" i="218" s="1"/>
  <c r="F30" i="218" s="1"/>
  <c r="E32" i="218" s="1"/>
  <c r="F38" i="218" s="1"/>
  <c r="E23" i="380"/>
  <c r="E23" i="165"/>
  <c r="E23" i="156"/>
  <c r="E23" i="152"/>
  <c r="E23" i="341"/>
  <c r="E23" i="325"/>
  <c r="E23" i="192"/>
  <c r="E21" i="192" s="1"/>
  <c r="E31" i="192" s="1"/>
  <c r="E23" i="227"/>
  <c r="E23" i="271"/>
  <c r="E23" i="238"/>
  <c r="E23" i="284"/>
  <c r="E23" i="159"/>
  <c r="E23" i="184"/>
  <c r="E23" i="343"/>
  <c r="E23" i="367"/>
  <c r="E23" i="376"/>
  <c r="E23" i="183"/>
  <c r="E29" i="183" s="1"/>
  <c r="F30" i="183" s="1"/>
  <c r="E32" i="183" s="1"/>
  <c r="F38" i="183" s="1"/>
  <c r="E23" i="147"/>
  <c r="E29" i="147" s="1"/>
  <c r="F30" i="147" s="1"/>
  <c r="E32" i="147" s="1"/>
  <c r="F38" i="147" s="1"/>
  <c r="E23" i="386"/>
  <c r="E29" i="386" s="1"/>
  <c r="F30" i="386" s="1"/>
  <c r="E32" i="386" s="1"/>
  <c r="F38" i="386" s="1"/>
  <c r="E23" i="233"/>
  <c r="E29" i="233" s="1"/>
  <c r="F30" i="233" s="1"/>
  <c r="E32" i="233" s="1"/>
  <c r="F38" i="233" s="1"/>
  <c r="E23" i="347"/>
  <c r="E21" i="347" s="1"/>
  <c r="E31" i="347" s="1"/>
  <c r="E23" i="279"/>
  <c r="E29" i="279" s="1"/>
  <c r="F30" i="279" s="1"/>
  <c r="F33" i="279" s="1"/>
  <c r="E23" i="188"/>
  <c r="E29" i="188" s="1"/>
  <c r="F30" i="188" s="1"/>
  <c r="F33" i="188" s="1"/>
  <c r="E23" i="231"/>
  <c r="E29" i="231" s="1"/>
  <c r="F30" i="231" s="1"/>
  <c r="E32" i="231" s="1"/>
  <c r="F38" i="231" s="1"/>
  <c r="E23" i="170"/>
  <c r="E29" i="170" s="1"/>
  <c r="F30" i="170" s="1"/>
  <c r="E32" i="170" s="1"/>
  <c r="F38" i="170" s="1"/>
  <c r="E23" i="221"/>
  <c r="E29" i="221" s="1"/>
  <c r="F30" i="221" s="1"/>
  <c r="E32" i="221" s="1"/>
  <c r="F38" i="221" s="1"/>
  <c r="E23" i="373"/>
  <c r="E23" i="363"/>
  <c r="E29" i="363" s="1"/>
  <c r="F30" i="363" s="1"/>
  <c r="E32" i="363" s="1"/>
  <c r="F38" i="363" s="1"/>
  <c r="E23" i="144"/>
  <c r="E21" i="144" s="1"/>
  <c r="E31" i="144" s="1"/>
  <c r="E37" i="215"/>
  <c r="E6" i="289"/>
  <c r="E23" i="158"/>
  <c r="E23" i="174"/>
  <c r="E23" i="169"/>
  <c r="E23" i="166"/>
  <c r="E23" i="146"/>
  <c r="E23" i="229"/>
  <c r="E23" i="142"/>
  <c r="E23" i="185"/>
  <c r="E23" i="180"/>
  <c r="E23" i="250"/>
  <c r="E23" i="349"/>
  <c r="E23" i="236"/>
  <c r="E23" i="273"/>
  <c r="E23" i="137"/>
  <c r="E8" i="289"/>
  <c r="E25" i="16"/>
  <c r="E23" i="204"/>
  <c r="E23" i="295"/>
  <c r="E23" i="140"/>
  <c r="E23" i="162"/>
  <c r="E23" i="262"/>
  <c r="E23" i="206"/>
  <c r="E23" i="193"/>
  <c r="E9" i="289"/>
  <c r="E25" i="10"/>
  <c r="E23" i="141"/>
  <c r="E23" i="258"/>
  <c r="E23" i="249"/>
  <c r="E23" i="315"/>
  <c r="E23" i="242"/>
  <c r="E23" i="329"/>
  <c r="E23" i="198"/>
  <c r="E23" i="160"/>
  <c r="E23" i="173"/>
  <c r="E23" i="139"/>
  <c r="E23" i="313"/>
  <c r="E23" i="337"/>
  <c r="E23" i="163"/>
  <c r="E5" i="289"/>
  <c r="E23" i="212"/>
  <c r="E23" i="223"/>
  <c r="E23" i="225"/>
  <c r="E23" i="303"/>
  <c r="E7" i="289"/>
  <c r="E25" i="18"/>
  <c r="E23" i="138"/>
  <c r="J21" i="388" l="1"/>
  <c r="L21" i="388" s="1"/>
  <c r="W20" i="209"/>
  <c r="J67" i="388"/>
  <c r="L67" i="388" s="1"/>
  <c r="W66" i="209"/>
  <c r="G75" i="388"/>
  <c r="I75" i="388" s="1"/>
  <c r="V73" i="209"/>
  <c r="J70" i="388"/>
  <c r="L70" i="388" s="1"/>
  <c r="W68" i="209"/>
  <c r="J65" i="388"/>
  <c r="L65" i="388" s="1"/>
  <c r="W64" i="209"/>
  <c r="J73" i="388"/>
  <c r="L73" i="388" s="1"/>
  <c r="W71" i="209"/>
  <c r="J175" i="388"/>
  <c r="L175" i="388" s="1"/>
  <c r="W174" i="209"/>
  <c r="J62" i="388"/>
  <c r="L62" i="388" s="1"/>
  <c r="W61" i="209"/>
  <c r="J204" i="388"/>
  <c r="L204" i="388" s="1"/>
  <c r="W203" i="209"/>
  <c r="J20" i="388"/>
  <c r="L20" i="388" s="1"/>
  <c r="W19" i="209"/>
  <c r="J77" i="388"/>
  <c r="L77" i="388" s="1"/>
  <c r="W75" i="209"/>
  <c r="G68" i="388"/>
  <c r="I68" i="388" s="1"/>
  <c r="V67" i="209"/>
  <c r="J64" i="388"/>
  <c r="L64" i="388" s="1"/>
  <c r="W63" i="209"/>
  <c r="G65" i="388"/>
  <c r="I65" i="388" s="1"/>
  <c r="V64" i="209"/>
  <c r="J170" i="388"/>
  <c r="L170" i="388" s="1"/>
  <c r="W169" i="209"/>
  <c r="J173" i="388"/>
  <c r="L173" i="388" s="1"/>
  <c r="W172" i="209"/>
  <c r="J19" i="388"/>
  <c r="L19" i="388" s="1"/>
  <c r="W18" i="209"/>
  <c r="J217" i="388"/>
  <c r="L217" i="388" s="1"/>
  <c r="W216" i="209"/>
  <c r="J212" i="388"/>
  <c r="L212" i="388" s="1"/>
  <c r="W211" i="209"/>
  <c r="J214" i="388"/>
  <c r="L214" i="388" s="1"/>
  <c r="W213" i="209"/>
  <c r="J210" i="388"/>
  <c r="L210" i="388" s="1"/>
  <c r="W209" i="209"/>
  <c r="J219" i="388"/>
  <c r="L219" i="388" s="1"/>
  <c r="W218" i="209"/>
  <c r="J220" i="388"/>
  <c r="L220" i="388" s="1"/>
  <c r="W219" i="209"/>
  <c r="J75" i="388"/>
  <c r="L75" i="388" s="1"/>
  <c r="W73" i="209"/>
  <c r="J78" i="388"/>
  <c r="L78" i="388" s="1"/>
  <c r="W76" i="209"/>
  <c r="J61" i="388"/>
  <c r="L61" i="388" s="1"/>
  <c r="W60" i="209"/>
  <c r="J68" i="388"/>
  <c r="L68" i="388" s="1"/>
  <c r="W67" i="209"/>
  <c r="J172" i="388"/>
  <c r="L172" i="388" s="1"/>
  <c r="W171" i="209"/>
  <c r="J166" i="388"/>
  <c r="L166" i="388" s="1"/>
  <c r="W165" i="209"/>
  <c r="J169" i="388"/>
  <c r="L169" i="388" s="1"/>
  <c r="W168" i="209"/>
  <c r="J221" i="388"/>
  <c r="L221" i="388" s="1"/>
  <c r="W220" i="209"/>
  <c r="J225" i="388"/>
  <c r="L225" i="388" s="1"/>
  <c r="W224" i="209"/>
  <c r="J229" i="388"/>
  <c r="L229" i="388" s="1"/>
  <c r="W228" i="209"/>
  <c r="J227" i="388"/>
  <c r="L227" i="388" s="1"/>
  <c r="W226" i="209"/>
  <c r="J209" i="388"/>
  <c r="L209" i="388" s="1"/>
  <c r="W208" i="209"/>
  <c r="J63" i="388"/>
  <c r="L63" i="388" s="1"/>
  <c r="W62" i="209"/>
  <c r="J213" i="388"/>
  <c r="L213" i="388" s="1"/>
  <c r="W212" i="209"/>
  <c r="J224" i="388"/>
  <c r="L224" i="388" s="1"/>
  <c r="W223" i="209"/>
  <c r="J22" i="388"/>
  <c r="L22" i="388" s="1"/>
  <c r="W21" i="209"/>
  <c r="G80" i="388"/>
  <c r="I80" i="388" s="1"/>
  <c r="V78" i="209"/>
  <c r="J76" i="388"/>
  <c r="L76" i="388" s="1"/>
  <c r="W74" i="209"/>
  <c r="G62" i="388"/>
  <c r="I62" i="388" s="1"/>
  <c r="V61" i="209"/>
  <c r="G73" i="388"/>
  <c r="I73" i="388" s="1"/>
  <c r="V71" i="209"/>
  <c r="J165" i="388"/>
  <c r="L165" i="388" s="1"/>
  <c r="W164" i="209"/>
  <c r="J94" i="388"/>
  <c r="L94" i="388" s="1"/>
  <c r="W92" i="209"/>
  <c r="J164" i="388"/>
  <c r="L164" i="388" s="1"/>
  <c r="W163" i="209"/>
  <c r="J216" i="388"/>
  <c r="L216" i="388" s="1"/>
  <c r="W215" i="209"/>
  <c r="J199" i="388"/>
  <c r="L199" i="388" s="1"/>
  <c r="W198" i="209"/>
  <c r="J223" i="388"/>
  <c r="L223" i="388" s="1"/>
  <c r="W222" i="209"/>
  <c r="J200" i="388"/>
  <c r="L200" i="388" s="1"/>
  <c r="W199" i="209"/>
  <c r="J74" i="388"/>
  <c r="L74" i="388" s="1"/>
  <c r="W72" i="209"/>
  <c r="J171" i="388"/>
  <c r="L171" i="388" s="1"/>
  <c r="W170" i="209"/>
  <c r="J205" i="388"/>
  <c r="L205" i="388" s="1"/>
  <c r="W204" i="209"/>
  <c r="J24" i="388"/>
  <c r="L24" i="388" s="1"/>
  <c r="W23" i="209"/>
  <c r="J79" i="388"/>
  <c r="L79" i="388" s="1"/>
  <c r="W77" i="209"/>
  <c r="G77" i="388"/>
  <c r="I77" i="388" s="1"/>
  <c r="V75" i="209"/>
  <c r="G64" i="388"/>
  <c r="I64" i="388" s="1"/>
  <c r="V63" i="209"/>
  <c r="J60" i="388"/>
  <c r="L60" i="388" s="1"/>
  <c r="W59" i="209"/>
  <c r="J72" i="388"/>
  <c r="L72" i="388" s="1"/>
  <c r="W70" i="209"/>
  <c r="J174" i="388"/>
  <c r="L174" i="388" s="1"/>
  <c r="W173" i="209"/>
  <c r="J25" i="388"/>
  <c r="L25" i="388" s="1"/>
  <c r="W24" i="209"/>
  <c r="J202" i="388"/>
  <c r="L202" i="388" s="1"/>
  <c r="W201" i="209"/>
  <c r="J215" i="388"/>
  <c r="L215" i="388" s="1"/>
  <c r="W214" i="209"/>
  <c r="J207" i="388"/>
  <c r="L207" i="388" s="1"/>
  <c r="W206" i="209"/>
  <c r="J71" i="388"/>
  <c r="L71" i="388" s="1"/>
  <c r="W69" i="209"/>
  <c r="J23" i="388"/>
  <c r="L23" i="388" s="1"/>
  <c r="W22" i="209"/>
  <c r="J18" i="388"/>
  <c r="L18" i="388" s="1"/>
  <c r="W17" i="209"/>
  <c r="J80" i="388"/>
  <c r="L80" i="388" s="1"/>
  <c r="W78" i="209"/>
  <c r="J66" i="388"/>
  <c r="L66" i="388" s="1"/>
  <c r="W65" i="209"/>
  <c r="J167" i="388"/>
  <c r="L167" i="388" s="1"/>
  <c r="W166" i="209"/>
  <c r="J203" i="388"/>
  <c r="L203" i="388" s="1"/>
  <c r="W202" i="209"/>
  <c r="J201" i="388"/>
  <c r="L201" i="388" s="1"/>
  <c r="W200" i="209"/>
  <c r="G66" i="388"/>
  <c r="I66" i="388" s="1"/>
  <c r="V65" i="209"/>
  <c r="J17" i="388"/>
  <c r="L17" i="388" s="1"/>
  <c r="W16" i="209"/>
  <c r="G63" i="388"/>
  <c r="I63" i="388" s="1"/>
  <c r="V62" i="209"/>
  <c r="J168" i="388"/>
  <c r="L168" i="388" s="1"/>
  <c r="W167" i="209"/>
  <c r="J208" i="388"/>
  <c r="L208" i="388" s="1"/>
  <c r="W207" i="209"/>
  <c r="J211" i="388"/>
  <c r="L211" i="388" s="1"/>
  <c r="W210" i="209"/>
  <c r="J218" i="388"/>
  <c r="L218" i="388" s="1"/>
  <c r="W217" i="209"/>
  <c r="J222" i="388"/>
  <c r="L222" i="388" s="1"/>
  <c r="W221" i="209"/>
  <c r="J228" i="388"/>
  <c r="L228" i="388" s="1"/>
  <c r="W227" i="209"/>
  <c r="D33" i="416"/>
  <c r="C32" i="446"/>
  <c r="D38" i="446" s="1"/>
  <c r="F33" i="252"/>
  <c r="E21" i="252"/>
  <c r="E31" i="252" s="1"/>
  <c r="E33" i="252" s="1"/>
  <c r="E37" i="252" s="1"/>
  <c r="E43" i="252" s="1"/>
  <c r="E46" i="252" s="1"/>
  <c r="F47" i="252" s="1"/>
  <c r="F49" i="252" s="1"/>
  <c r="E29" i="150"/>
  <c r="F30" i="150" s="1"/>
  <c r="E32" i="150" s="1"/>
  <c r="F38" i="150" s="1"/>
  <c r="D33" i="422"/>
  <c r="D33" i="448"/>
  <c r="C32" i="424"/>
  <c r="D38" i="424" s="1"/>
  <c r="D33" i="432"/>
  <c r="C32" i="434"/>
  <c r="D38" i="434" s="1"/>
  <c r="F33" i="317"/>
  <c r="E21" i="317"/>
  <c r="E31" i="317" s="1"/>
  <c r="E33" i="317" s="1"/>
  <c r="E37" i="317" s="1"/>
  <c r="E43" i="317" s="1"/>
  <c r="E46" i="317" s="1"/>
  <c r="F47" i="317" s="1"/>
  <c r="D33" i="438"/>
  <c r="C32" i="444"/>
  <c r="D38" i="444" s="1"/>
  <c r="D33" i="418"/>
  <c r="F33" i="384"/>
  <c r="E21" i="384"/>
  <c r="E31" i="384" s="1"/>
  <c r="E33" i="384" s="1"/>
  <c r="E37" i="384" s="1"/>
  <c r="E43" i="384" s="1"/>
  <c r="E46" i="384" s="1"/>
  <c r="F47" i="384" s="1"/>
  <c r="G43" i="513"/>
  <c r="G46" i="513" s="1"/>
  <c r="H47" i="513" s="1"/>
  <c r="G48" i="513" s="1"/>
  <c r="G49" i="513" s="1"/>
  <c r="F205" i="209" s="1"/>
  <c r="E29" i="562"/>
  <c r="F30" i="562" s="1"/>
  <c r="E32" i="562" s="1"/>
  <c r="F38" i="562" s="1"/>
  <c r="C33" i="562"/>
  <c r="C37" i="562" s="1"/>
  <c r="C43" i="562" s="1"/>
  <c r="C46" i="562" s="1"/>
  <c r="D47" i="562" s="1"/>
  <c r="C48" i="562" s="1"/>
  <c r="C49" i="562" s="1"/>
  <c r="D93" i="209" s="1"/>
  <c r="U93" i="209" s="1"/>
  <c r="E21" i="519"/>
  <c r="E31" i="519" s="1"/>
  <c r="G48" i="560"/>
  <c r="G49" i="560" s="1"/>
  <c r="F225" i="209" s="1"/>
  <c r="H49" i="560"/>
  <c r="E32" i="560"/>
  <c r="F38" i="560" s="1"/>
  <c r="F33" i="560"/>
  <c r="C48" i="560"/>
  <c r="C49" i="560" s="1"/>
  <c r="D225" i="209" s="1"/>
  <c r="D49" i="560"/>
  <c r="E29" i="533"/>
  <c r="F30" i="533" s="1"/>
  <c r="E32" i="533" s="1"/>
  <c r="F38" i="533" s="1"/>
  <c r="E21" i="525"/>
  <c r="E31" i="525" s="1"/>
  <c r="E21" i="543"/>
  <c r="E31" i="543" s="1"/>
  <c r="E21" i="539"/>
  <c r="E31" i="539" s="1"/>
  <c r="E21" i="515"/>
  <c r="E31" i="515" s="1"/>
  <c r="E29" i="527"/>
  <c r="F30" i="527" s="1"/>
  <c r="F33" i="527" s="1"/>
  <c r="E29" i="517"/>
  <c r="F30" i="517" s="1"/>
  <c r="E32" i="517" s="1"/>
  <c r="F38" i="517" s="1"/>
  <c r="H49" i="541"/>
  <c r="H49" i="501"/>
  <c r="H49" i="511"/>
  <c r="H49" i="537"/>
  <c r="H49" i="545"/>
  <c r="H49" i="519"/>
  <c r="H49" i="503"/>
  <c r="H49" i="539"/>
  <c r="H49" i="499"/>
  <c r="E29" i="535"/>
  <c r="F30" i="535" s="1"/>
  <c r="E32" i="535" s="1"/>
  <c r="F38" i="535" s="1"/>
  <c r="C33" i="499"/>
  <c r="C37" i="499" s="1"/>
  <c r="C43" i="499" s="1"/>
  <c r="C46" i="499" s="1"/>
  <c r="D47" i="499" s="1"/>
  <c r="C48" i="499" s="1"/>
  <c r="C49" i="499" s="1"/>
  <c r="D198" i="209" s="1"/>
  <c r="E33" i="438"/>
  <c r="E37" i="438" s="1"/>
  <c r="E43" i="438" s="1"/>
  <c r="E46" i="438" s="1"/>
  <c r="F47" i="438" s="1"/>
  <c r="E48" i="438" s="1"/>
  <c r="E49" i="438" s="1"/>
  <c r="E72" i="209" s="1"/>
  <c r="C33" i="519"/>
  <c r="C37" i="519" s="1"/>
  <c r="C43" i="519" s="1"/>
  <c r="C46" i="519" s="1"/>
  <c r="D47" i="519" s="1"/>
  <c r="C48" i="519" s="1"/>
  <c r="C49" i="519" s="1"/>
  <c r="D208" i="209" s="1"/>
  <c r="C33" i="547"/>
  <c r="C37" i="547" s="1"/>
  <c r="C43" i="547" s="1"/>
  <c r="C46" i="547" s="1"/>
  <c r="D47" i="547" s="1"/>
  <c r="C48" i="547" s="1"/>
  <c r="C49" i="547" s="1"/>
  <c r="D222" i="209" s="1"/>
  <c r="E29" i="521"/>
  <c r="F30" i="521" s="1"/>
  <c r="E32" i="521" s="1"/>
  <c r="F38" i="521" s="1"/>
  <c r="E21" i="503"/>
  <c r="E31" i="503" s="1"/>
  <c r="H49" i="557"/>
  <c r="H49" i="515"/>
  <c r="H49" i="505"/>
  <c r="H49" i="549"/>
  <c r="H49" i="527"/>
  <c r="H49" i="466"/>
  <c r="E29" i="501"/>
  <c r="F30" i="501" s="1"/>
  <c r="F33" i="501" s="1"/>
  <c r="E29" i="529"/>
  <c r="F30" i="529" s="1"/>
  <c r="E32" i="529" s="1"/>
  <c r="F38" i="529" s="1"/>
  <c r="H49" i="507"/>
  <c r="H49" i="531"/>
  <c r="C33" i="531"/>
  <c r="C37" i="531" s="1"/>
  <c r="C43" i="531" s="1"/>
  <c r="C46" i="531" s="1"/>
  <c r="D47" i="531" s="1"/>
  <c r="C48" i="531" s="1"/>
  <c r="C49" i="531" s="1"/>
  <c r="D214" i="209" s="1"/>
  <c r="H49" i="559"/>
  <c r="H49" i="555"/>
  <c r="H49" i="547"/>
  <c r="H49" i="521"/>
  <c r="H49" i="551"/>
  <c r="E29" i="523"/>
  <c r="F30" i="523" s="1"/>
  <c r="E32" i="523" s="1"/>
  <c r="F38" i="523" s="1"/>
  <c r="E29" i="505"/>
  <c r="F30" i="505" s="1"/>
  <c r="E32" i="505" s="1"/>
  <c r="F38" i="505" s="1"/>
  <c r="E29" i="507"/>
  <c r="F30" i="507" s="1"/>
  <c r="E32" i="507" s="1"/>
  <c r="F38" i="507" s="1"/>
  <c r="E29" i="509"/>
  <c r="F30" i="509" s="1"/>
  <c r="E32" i="509" s="1"/>
  <c r="F38" i="509" s="1"/>
  <c r="C33" i="557"/>
  <c r="C37" i="557" s="1"/>
  <c r="C43" i="557" s="1"/>
  <c r="C46" i="557" s="1"/>
  <c r="D47" i="557" s="1"/>
  <c r="C48" i="557" s="1"/>
  <c r="C49" i="557" s="1"/>
  <c r="D227" i="209" s="1"/>
  <c r="H49" i="533"/>
  <c r="H49" i="509"/>
  <c r="H49" i="523"/>
  <c r="C33" i="539"/>
  <c r="C37" i="539" s="1"/>
  <c r="C43" i="539" s="1"/>
  <c r="C46" i="539" s="1"/>
  <c r="D47" i="539" s="1"/>
  <c r="C48" i="539" s="1"/>
  <c r="C49" i="539" s="1"/>
  <c r="D218" i="209" s="1"/>
  <c r="C33" i="555"/>
  <c r="C37" i="555" s="1"/>
  <c r="C43" i="555" s="1"/>
  <c r="C46" i="555" s="1"/>
  <c r="D47" i="555" s="1"/>
  <c r="C48" i="555" s="1"/>
  <c r="C49" i="555" s="1"/>
  <c r="D226" i="209" s="1"/>
  <c r="C33" i="503"/>
  <c r="C37" i="503" s="1"/>
  <c r="C43" i="503" s="1"/>
  <c r="C46" i="503" s="1"/>
  <c r="D47" i="503" s="1"/>
  <c r="C48" i="503" s="1"/>
  <c r="C49" i="503" s="1"/>
  <c r="D200" i="209" s="1"/>
  <c r="C33" i="549"/>
  <c r="C37" i="549" s="1"/>
  <c r="C43" i="549" s="1"/>
  <c r="C46" i="549" s="1"/>
  <c r="D47" i="549" s="1"/>
  <c r="C48" i="549" s="1"/>
  <c r="C49" i="549" s="1"/>
  <c r="D223" i="209" s="1"/>
  <c r="C33" i="537"/>
  <c r="C37" i="537" s="1"/>
  <c r="C43" i="537" s="1"/>
  <c r="C46" i="537" s="1"/>
  <c r="D47" i="537" s="1"/>
  <c r="C48" i="537" s="1"/>
  <c r="C49" i="537" s="1"/>
  <c r="D217" i="209" s="1"/>
  <c r="C33" i="527"/>
  <c r="C37" i="527" s="1"/>
  <c r="C43" i="527" s="1"/>
  <c r="C46" i="527" s="1"/>
  <c r="D47" i="527" s="1"/>
  <c r="C48" i="527" s="1"/>
  <c r="C49" i="527" s="1"/>
  <c r="D212" i="209" s="1"/>
  <c r="C33" i="501"/>
  <c r="C37" i="501" s="1"/>
  <c r="C43" i="501" s="1"/>
  <c r="C46" i="501" s="1"/>
  <c r="D47" i="501" s="1"/>
  <c r="C48" i="501" s="1"/>
  <c r="C49" i="501" s="1"/>
  <c r="D199" i="209" s="1"/>
  <c r="C33" i="511"/>
  <c r="C37" i="511" s="1"/>
  <c r="C43" i="511" s="1"/>
  <c r="C46" i="511" s="1"/>
  <c r="D47" i="511" s="1"/>
  <c r="C48" i="511" s="1"/>
  <c r="C49" i="511" s="1"/>
  <c r="D204" i="209" s="1"/>
  <c r="D54" i="391"/>
  <c r="C33" i="535"/>
  <c r="C37" i="535" s="1"/>
  <c r="C43" i="535" s="1"/>
  <c r="C46" i="535" s="1"/>
  <c r="D47" i="535" s="1"/>
  <c r="C48" i="535" s="1"/>
  <c r="C49" i="535" s="1"/>
  <c r="D216" i="209" s="1"/>
  <c r="C33" i="529"/>
  <c r="C37" i="529" s="1"/>
  <c r="C43" i="529" s="1"/>
  <c r="C46" i="529" s="1"/>
  <c r="D47" i="529" s="1"/>
  <c r="C48" i="529" s="1"/>
  <c r="C49" i="529" s="1"/>
  <c r="D213" i="209" s="1"/>
  <c r="C33" i="541"/>
  <c r="C37" i="541" s="1"/>
  <c r="C43" i="541" s="1"/>
  <c r="C46" i="541" s="1"/>
  <c r="D47" i="541" s="1"/>
  <c r="C48" i="541" s="1"/>
  <c r="C49" i="541" s="1"/>
  <c r="D219" i="209" s="1"/>
  <c r="C33" i="543"/>
  <c r="C37" i="543" s="1"/>
  <c r="C43" i="543" s="1"/>
  <c r="C46" i="543" s="1"/>
  <c r="D47" i="543" s="1"/>
  <c r="C48" i="543" s="1"/>
  <c r="C49" i="543" s="1"/>
  <c r="D220" i="209" s="1"/>
  <c r="E33" i="410"/>
  <c r="E37" i="410" s="1"/>
  <c r="E43" i="410" s="1"/>
  <c r="E46" i="410" s="1"/>
  <c r="F47" i="410" s="1"/>
  <c r="E48" i="410" s="1"/>
  <c r="E49" i="410" s="1"/>
  <c r="E59" i="209" s="1"/>
  <c r="F33" i="525"/>
  <c r="E32" i="525"/>
  <c r="F38" i="525" s="1"/>
  <c r="E21" i="551"/>
  <c r="E31" i="551" s="1"/>
  <c r="E29" i="551"/>
  <c r="F30" i="551" s="1"/>
  <c r="C33" i="523"/>
  <c r="C37" i="523" s="1"/>
  <c r="C43" i="523" s="1"/>
  <c r="C46" i="523" s="1"/>
  <c r="D47" i="523" s="1"/>
  <c r="C48" i="523" s="1"/>
  <c r="C49" i="523" s="1"/>
  <c r="D210" i="209" s="1"/>
  <c r="E21" i="555"/>
  <c r="E31" i="555" s="1"/>
  <c r="E29" i="555"/>
  <c r="F30" i="555" s="1"/>
  <c r="F33" i="515"/>
  <c r="E32" i="515"/>
  <c r="F38" i="515" s="1"/>
  <c r="C33" i="525"/>
  <c r="C37" i="525" s="1"/>
  <c r="C43" i="525" s="1"/>
  <c r="C46" i="525" s="1"/>
  <c r="D47" i="525" s="1"/>
  <c r="C48" i="525" s="1"/>
  <c r="C49" i="525" s="1"/>
  <c r="D211" i="209" s="1"/>
  <c r="C33" i="551"/>
  <c r="C37" i="551" s="1"/>
  <c r="C43" i="551" s="1"/>
  <c r="C46" i="551" s="1"/>
  <c r="D47" i="551" s="1"/>
  <c r="C48" i="551" s="1"/>
  <c r="C49" i="551" s="1"/>
  <c r="D224" i="209" s="1"/>
  <c r="E21" i="531"/>
  <c r="E31" i="531" s="1"/>
  <c r="E29" i="531"/>
  <c r="F30" i="531" s="1"/>
  <c r="E32" i="503"/>
  <c r="F38" i="503" s="1"/>
  <c r="F33" i="503"/>
  <c r="E32" i="519"/>
  <c r="F38" i="519" s="1"/>
  <c r="F33" i="519"/>
  <c r="E21" i="537"/>
  <c r="E31" i="537" s="1"/>
  <c r="E29" i="537"/>
  <c r="F30" i="537" s="1"/>
  <c r="H49" i="529"/>
  <c r="E21" i="511"/>
  <c r="E31" i="511" s="1"/>
  <c r="E29" i="511"/>
  <c r="F30" i="511" s="1"/>
  <c r="E21" i="513"/>
  <c r="E31" i="513" s="1"/>
  <c r="E29" i="513"/>
  <c r="F30" i="513" s="1"/>
  <c r="E32" i="543"/>
  <c r="F38" i="543" s="1"/>
  <c r="F33" i="543"/>
  <c r="H49" i="543"/>
  <c r="E32" i="539"/>
  <c r="F38" i="539" s="1"/>
  <c r="F33" i="539"/>
  <c r="C33" i="507"/>
  <c r="C37" i="507" s="1"/>
  <c r="C43" i="507" s="1"/>
  <c r="C46" i="507" s="1"/>
  <c r="D47" i="507" s="1"/>
  <c r="C48" i="507" s="1"/>
  <c r="C49" i="507" s="1"/>
  <c r="D202" i="209" s="1"/>
  <c r="C33" i="533"/>
  <c r="C37" i="533" s="1"/>
  <c r="C43" i="533" s="1"/>
  <c r="C46" i="533" s="1"/>
  <c r="D47" i="533" s="1"/>
  <c r="C48" i="533" s="1"/>
  <c r="C49" i="533" s="1"/>
  <c r="D215" i="209" s="1"/>
  <c r="E21" i="549"/>
  <c r="E31" i="549" s="1"/>
  <c r="E29" i="549"/>
  <c r="F30" i="549" s="1"/>
  <c r="E21" i="559"/>
  <c r="E31" i="559" s="1"/>
  <c r="E29" i="559"/>
  <c r="F30" i="559" s="1"/>
  <c r="E21" i="499"/>
  <c r="E31" i="499" s="1"/>
  <c r="E29" i="499"/>
  <c r="F30" i="499" s="1"/>
  <c r="H49" i="535"/>
  <c r="H49" i="517"/>
  <c r="H49" i="525"/>
  <c r="C33" i="509"/>
  <c r="C37" i="509" s="1"/>
  <c r="C43" i="509" s="1"/>
  <c r="C46" i="509" s="1"/>
  <c r="D47" i="509" s="1"/>
  <c r="C48" i="509" s="1"/>
  <c r="C49" i="509" s="1"/>
  <c r="D203" i="209" s="1"/>
  <c r="C33" i="559"/>
  <c r="C37" i="559" s="1"/>
  <c r="C43" i="559" s="1"/>
  <c r="C46" i="559" s="1"/>
  <c r="D47" i="559" s="1"/>
  <c r="C48" i="559" s="1"/>
  <c r="C49" i="559" s="1"/>
  <c r="D228" i="209" s="1"/>
  <c r="E21" i="557"/>
  <c r="E31" i="557" s="1"/>
  <c r="E29" i="557"/>
  <c r="F30" i="557" s="1"/>
  <c r="C33" i="513"/>
  <c r="C37" i="513" s="1"/>
  <c r="C43" i="513" s="1"/>
  <c r="C46" i="513" s="1"/>
  <c r="D47" i="513" s="1"/>
  <c r="C48" i="513" s="1"/>
  <c r="C49" i="513" s="1"/>
  <c r="D205" i="209" s="1"/>
  <c r="E21" i="541"/>
  <c r="E31" i="541" s="1"/>
  <c r="E29" i="541"/>
  <c r="F30" i="541" s="1"/>
  <c r="C33" i="505"/>
  <c r="C37" i="505" s="1"/>
  <c r="C43" i="505" s="1"/>
  <c r="C46" i="505" s="1"/>
  <c r="D47" i="505" s="1"/>
  <c r="C48" i="505" s="1"/>
  <c r="C49" i="505" s="1"/>
  <c r="D201" i="209" s="1"/>
  <c r="C33" i="545"/>
  <c r="C37" i="545" s="1"/>
  <c r="C43" i="545" s="1"/>
  <c r="C46" i="545" s="1"/>
  <c r="D47" i="545" s="1"/>
  <c r="C48" i="545" s="1"/>
  <c r="C49" i="545" s="1"/>
  <c r="D221" i="209" s="1"/>
  <c r="E21" i="547"/>
  <c r="E31" i="547" s="1"/>
  <c r="E29" i="547"/>
  <c r="F30" i="547" s="1"/>
  <c r="C33" i="521"/>
  <c r="C37" i="521" s="1"/>
  <c r="C43" i="521" s="1"/>
  <c r="C46" i="521" s="1"/>
  <c r="D47" i="521" s="1"/>
  <c r="C48" i="521" s="1"/>
  <c r="C49" i="521" s="1"/>
  <c r="D209" i="209" s="1"/>
  <c r="E21" i="545"/>
  <c r="E31" i="545" s="1"/>
  <c r="E29" i="545"/>
  <c r="F30" i="545" s="1"/>
  <c r="C33" i="517"/>
  <c r="C37" i="517" s="1"/>
  <c r="C43" i="517" s="1"/>
  <c r="C46" i="517" s="1"/>
  <c r="D47" i="517" s="1"/>
  <c r="C48" i="517" s="1"/>
  <c r="C49" i="517" s="1"/>
  <c r="D207" i="209" s="1"/>
  <c r="C33" i="515"/>
  <c r="C37" i="515" s="1"/>
  <c r="C43" i="515" s="1"/>
  <c r="C46" i="515" s="1"/>
  <c r="D47" i="515" s="1"/>
  <c r="C48" i="515" s="1"/>
  <c r="C49" i="515" s="1"/>
  <c r="D206" i="209" s="1"/>
  <c r="H49" i="405"/>
  <c r="G56" i="405" s="1"/>
  <c r="E33" i="430"/>
  <c r="E37" i="430" s="1"/>
  <c r="E43" i="430" s="1"/>
  <c r="E46" i="430" s="1"/>
  <c r="F47" i="430" s="1"/>
  <c r="E48" i="430" s="1"/>
  <c r="E49" i="430" s="1"/>
  <c r="E68" i="209" s="1"/>
  <c r="C33" i="393"/>
  <c r="C37" i="393" s="1"/>
  <c r="C43" i="393" s="1"/>
  <c r="C46" i="393" s="1"/>
  <c r="D47" i="393" s="1"/>
  <c r="C48" i="393" s="1"/>
  <c r="C49" i="393" s="1"/>
  <c r="D18" i="209" s="1"/>
  <c r="E21" i="476"/>
  <c r="E31" i="476" s="1"/>
  <c r="F33" i="453"/>
  <c r="H49" i="414"/>
  <c r="H49" i="460"/>
  <c r="H49" i="476"/>
  <c r="H49" i="454"/>
  <c r="E29" i="470"/>
  <c r="F30" i="470" s="1"/>
  <c r="E32" i="470" s="1"/>
  <c r="F38" i="470" s="1"/>
  <c r="H49" i="446"/>
  <c r="C33" i="460"/>
  <c r="C37" i="460" s="1"/>
  <c r="C43" i="460" s="1"/>
  <c r="C46" i="460" s="1"/>
  <c r="D47" i="460" s="1"/>
  <c r="C48" i="460" s="1"/>
  <c r="C49" i="460" s="1"/>
  <c r="D165" i="209" s="1"/>
  <c r="H49" i="426"/>
  <c r="C33" i="462"/>
  <c r="C37" i="462" s="1"/>
  <c r="C43" i="462" s="1"/>
  <c r="C46" i="462" s="1"/>
  <c r="D47" i="462" s="1"/>
  <c r="C48" i="462" s="1"/>
  <c r="C49" i="462" s="1"/>
  <c r="D166" i="209" s="1"/>
  <c r="C33" i="466"/>
  <c r="C37" i="466" s="1"/>
  <c r="C43" i="466" s="1"/>
  <c r="C46" i="466" s="1"/>
  <c r="D47" i="466" s="1"/>
  <c r="C48" i="466" s="1"/>
  <c r="C49" i="466" s="1"/>
  <c r="D168" i="209" s="1"/>
  <c r="H49" i="393"/>
  <c r="G56" i="393" s="1"/>
  <c r="H49" i="422"/>
  <c r="H49" i="434"/>
  <c r="H49" i="462"/>
  <c r="H49" i="474"/>
  <c r="C33" i="404"/>
  <c r="C37" i="404" s="1"/>
  <c r="C43" i="404" s="1"/>
  <c r="C46" i="404" s="1"/>
  <c r="D47" i="404" s="1"/>
  <c r="C48" i="404" s="1"/>
  <c r="C49" i="404" s="1"/>
  <c r="H49" i="478"/>
  <c r="E21" i="395"/>
  <c r="E31" i="395" s="1"/>
  <c r="H49" i="464"/>
  <c r="C33" i="474"/>
  <c r="C37" i="474" s="1"/>
  <c r="C43" i="474" s="1"/>
  <c r="C46" i="474" s="1"/>
  <c r="D47" i="474" s="1"/>
  <c r="C48" i="474" s="1"/>
  <c r="C49" i="474" s="1"/>
  <c r="D172" i="209" s="1"/>
  <c r="E21" i="297"/>
  <c r="E31" i="297" s="1"/>
  <c r="E33" i="297" s="1"/>
  <c r="E37" i="297" s="1"/>
  <c r="E43" i="297" s="1"/>
  <c r="E46" i="297" s="1"/>
  <c r="F47" i="297" s="1"/>
  <c r="F49" i="297" s="1"/>
  <c r="F33" i="297"/>
  <c r="C33" i="456"/>
  <c r="C37" i="456" s="1"/>
  <c r="C43" i="456" s="1"/>
  <c r="C46" i="456" s="1"/>
  <c r="D47" i="456" s="1"/>
  <c r="C48" i="456" s="1"/>
  <c r="C49" i="456" s="1"/>
  <c r="D164" i="209" s="1"/>
  <c r="C33" i="454"/>
  <c r="C37" i="454" s="1"/>
  <c r="C43" i="454" s="1"/>
  <c r="C46" i="454" s="1"/>
  <c r="D47" i="454" s="1"/>
  <c r="C48" i="454" s="1"/>
  <c r="C49" i="454" s="1"/>
  <c r="D163" i="209" s="1"/>
  <c r="H49" i="472"/>
  <c r="E21" i="468"/>
  <c r="E31" i="468" s="1"/>
  <c r="E29" i="468"/>
  <c r="F30" i="468" s="1"/>
  <c r="C33" i="468"/>
  <c r="C37" i="468" s="1"/>
  <c r="C43" i="468" s="1"/>
  <c r="C46" i="468" s="1"/>
  <c r="D47" i="468" s="1"/>
  <c r="C48" i="468" s="1"/>
  <c r="C49" i="468" s="1"/>
  <c r="D169" i="209" s="1"/>
  <c r="E32" i="476"/>
  <c r="F38" i="476" s="1"/>
  <c r="F33" i="476"/>
  <c r="H49" i="456"/>
  <c r="H49" i="470"/>
  <c r="E29" i="466"/>
  <c r="F30" i="466" s="1"/>
  <c r="E21" i="466"/>
  <c r="E31" i="466" s="1"/>
  <c r="C33" i="472"/>
  <c r="C37" i="472" s="1"/>
  <c r="C43" i="472" s="1"/>
  <c r="C46" i="472" s="1"/>
  <c r="D47" i="472" s="1"/>
  <c r="C48" i="472" s="1"/>
  <c r="C49" i="472" s="1"/>
  <c r="D171" i="209" s="1"/>
  <c r="E21" i="462"/>
  <c r="E31" i="462" s="1"/>
  <c r="E29" i="462"/>
  <c r="F30" i="462" s="1"/>
  <c r="H49" i="468"/>
  <c r="E21" i="472"/>
  <c r="E31" i="472" s="1"/>
  <c r="E29" i="472"/>
  <c r="F30" i="472" s="1"/>
  <c r="C33" i="476"/>
  <c r="C37" i="476" s="1"/>
  <c r="C43" i="476" s="1"/>
  <c r="C46" i="476" s="1"/>
  <c r="D47" i="476" s="1"/>
  <c r="C48" i="476" s="1"/>
  <c r="C49" i="476" s="1"/>
  <c r="D173" i="209" s="1"/>
  <c r="C33" i="470"/>
  <c r="C37" i="470" s="1"/>
  <c r="C43" i="470" s="1"/>
  <c r="C46" i="470" s="1"/>
  <c r="D47" i="470" s="1"/>
  <c r="C48" i="470" s="1"/>
  <c r="C49" i="470" s="1"/>
  <c r="D170" i="209" s="1"/>
  <c r="E21" i="454"/>
  <c r="E31" i="454" s="1"/>
  <c r="E29" i="454"/>
  <c r="F30" i="454" s="1"/>
  <c r="H49" i="450"/>
  <c r="E21" i="460"/>
  <c r="E31" i="460" s="1"/>
  <c r="E29" i="460"/>
  <c r="F30" i="460" s="1"/>
  <c r="H49" i="436"/>
  <c r="E21" i="478"/>
  <c r="E31" i="478" s="1"/>
  <c r="E29" i="478"/>
  <c r="F30" i="478" s="1"/>
  <c r="E21" i="474"/>
  <c r="E31" i="474" s="1"/>
  <c r="E29" i="474"/>
  <c r="F30" i="474" s="1"/>
  <c r="E21" i="456"/>
  <c r="E31" i="456" s="1"/>
  <c r="E29" i="456"/>
  <c r="F30" i="456" s="1"/>
  <c r="C33" i="478"/>
  <c r="C37" i="478" s="1"/>
  <c r="C43" i="478" s="1"/>
  <c r="C46" i="478" s="1"/>
  <c r="D47" i="478" s="1"/>
  <c r="C48" i="478" s="1"/>
  <c r="C49" i="478" s="1"/>
  <c r="D174" i="209" s="1"/>
  <c r="E21" i="464"/>
  <c r="E31" i="464" s="1"/>
  <c r="E29" i="464"/>
  <c r="F30" i="464" s="1"/>
  <c r="C33" i="464"/>
  <c r="C37" i="464" s="1"/>
  <c r="C43" i="464" s="1"/>
  <c r="C46" i="464" s="1"/>
  <c r="D47" i="464" s="1"/>
  <c r="C48" i="464" s="1"/>
  <c r="C49" i="464" s="1"/>
  <c r="D167" i="209" s="1"/>
  <c r="H49" i="432"/>
  <c r="F49" i="426"/>
  <c r="E33" i="412"/>
  <c r="E37" i="412" s="1"/>
  <c r="E43" i="412" s="1"/>
  <c r="E46" i="412" s="1"/>
  <c r="F47" i="412" s="1"/>
  <c r="E48" i="412" s="1"/>
  <c r="E49" i="412" s="1"/>
  <c r="E60" i="209" s="1"/>
  <c r="F49" i="420"/>
  <c r="F49" i="414"/>
  <c r="H49" i="416"/>
  <c r="H49" i="410"/>
  <c r="H49" i="420"/>
  <c r="H49" i="418"/>
  <c r="F49" i="416"/>
  <c r="H49" i="438"/>
  <c r="C33" i="453"/>
  <c r="C37" i="453" s="1"/>
  <c r="C43" i="453" s="1"/>
  <c r="C46" i="453" s="1"/>
  <c r="D47" i="453" s="1"/>
  <c r="C48" i="453" s="1"/>
  <c r="C49" i="453" s="1"/>
  <c r="D92" i="209" s="1"/>
  <c r="C33" i="400"/>
  <c r="C37" i="400" s="1"/>
  <c r="C43" i="400" s="1"/>
  <c r="C46" i="400" s="1"/>
  <c r="D47" i="400" s="1"/>
  <c r="C48" i="400" s="1"/>
  <c r="C49" i="400" s="1"/>
  <c r="C33" i="450"/>
  <c r="C37" i="450" s="1"/>
  <c r="C43" i="450" s="1"/>
  <c r="C46" i="450" s="1"/>
  <c r="D47" i="450" s="1"/>
  <c r="C48" i="450" s="1"/>
  <c r="C49" i="450" s="1"/>
  <c r="D78" i="209" s="1"/>
  <c r="H49" i="412"/>
  <c r="C33" i="414"/>
  <c r="C37" i="414" s="1"/>
  <c r="C43" i="414" s="1"/>
  <c r="C46" i="414" s="1"/>
  <c r="D47" i="414" s="1"/>
  <c r="C48" i="414" s="1"/>
  <c r="C49" i="414" s="1"/>
  <c r="D61" i="209" s="1"/>
  <c r="H49" i="404"/>
  <c r="G56" i="404" s="1"/>
  <c r="C33" i="446"/>
  <c r="C37" i="446" s="1"/>
  <c r="C43" i="446" s="1"/>
  <c r="C46" i="446" s="1"/>
  <c r="D47" i="446" s="1"/>
  <c r="C48" i="446" s="1"/>
  <c r="C49" i="446" s="1"/>
  <c r="D76" i="209" s="1"/>
  <c r="C33" i="436"/>
  <c r="C37" i="436" s="1"/>
  <c r="C43" i="436" s="1"/>
  <c r="C46" i="436" s="1"/>
  <c r="D47" i="436" s="1"/>
  <c r="C48" i="436" s="1"/>
  <c r="C49" i="436" s="1"/>
  <c r="D71" i="209" s="1"/>
  <c r="E33" i="442"/>
  <c r="E37" i="442" s="1"/>
  <c r="E43" i="442" s="1"/>
  <c r="E46" i="442" s="1"/>
  <c r="F47" i="442" s="1"/>
  <c r="E48" i="442" s="1"/>
  <c r="E49" i="442" s="1"/>
  <c r="E74" i="209" s="1"/>
  <c r="F49" i="436"/>
  <c r="F49" i="418"/>
  <c r="C33" i="442"/>
  <c r="C37" i="442" s="1"/>
  <c r="C43" i="442" s="1"/>
  <c r="C46" i="442" s="1"/>
  <c r="D47" i="442" s="1"/>
  <c r="C48" i="442" s="1"/>
  <c r="C49" i="442" s="1"/>
  <c r="D74" i="209" s="1"/>
  <c r="H49" i="430"/>
  <c r="H49" i="453"/>
  <c r="E33" i="432"/>
  <c r="E37" i="432" s="1"/>
  <c r="E43" i="432" s="1"/>
  <c r="E46" i="432" s="1"/>
  <c r="F47" i="432" s="1"/>
  <c r="E48" i="432" s="1"/>
  <c r="E49" i="432" s="1"/>
  <c r="E69" i="209" s="1"/>
  <c r="F49" i="440"/>
  <c r="E33" i="434"/>
  <c r="E37" i="434" s="1"/>
  <c r="E43" i="434" s="1"/>
  <c r="E46" i="434" s="1"/>
  <c r="F47" i="434" s="1"/>
  <c r="E48" i="434" s="1"/>
  <c r="E49" i="434" s="1"/>
  <c r="E70" i="209" s="1"/>
  <c r="E33" i="453"/>
  <c r="E37" i="453" s="1"/>
  <c r="E43" i="453" s="1"/>
  <c r="E46" i="453" s="1"/>
  <c r="F47" i="453" s="1"/>
  <c r="E48" i="453" s="1"/>
  <c r="E49" i="453" s="1"/>
  <c r="E92" i="209" s="1"/>
  <c r="E29" i="393"/>
  <c r="F30" i="393" s="1"/>
  <c r="E32" i="393" s="1"/>
  <c r="F38" i="393" s="1"/>
  <c r="C33" i="410"/>
  <c r="C37" i="410" s="1"/>
  <c r="C43" i="410" s="1"/>
  <c r="C46" i="410" s="1"/>
  <c r="D47" i="410" s="1"/>
  <c r="C48" i="410" s="1"/>
  <c r="C49" i="410" s="1"/>
  <c r="D59" i="209" s="1"/>
  <c r="C33" i="438"/>
  <c r="C37" i="438" s="1"/>
  <c r="C43" i="438" s="1"/>
  <c r="C46" i="438" s="1"/>
  <c r="D47" i="438" s="1"/>
  <c r="C48" i="438" s="1"/>
  <c r="C49" i="438" s="1"/>
  <c r="D72" i="209" s="1"/>
  <c r="C33" i="432"/>
  <c r="C37" i="432" s="1"/>
  <c r="C43" i="432" s="1"/>
  <c r="C46" i="432" s="1"/>
  <c r="D47" i="432" s="1"/>
  <c r="C48" i="432" s="1"/>
  <c r="C49" i="432" s="1"/>
  <c r="D69" i="209" s="1"/>
  <c r="C33" i="440"/>
  <c r="C37" i="440" s="1"/>
  <c r="C43" i="440" s="1"/>
  <c r="C46" i="440" s="1"/>
  <c r="D47" i="440" s="1"/>
  <c r="C48" i="440" s="1"/>
  <c r="C49" i="440" s="1"/>
  <c r="D73" i="209" s="1"/>
  <c r="C33" i="422"/>
  <c r="C37" i="422" s="1"/>
  <c r="C43" i="422" s="1"/>
  <c r="C46" i="422" s="1"/>
  <c r="D47" i="422" s="1"/>
  <c r="C48" i="422" s="1"/>
  <c r="C49" i="422" s="1"/>
  <c r="D65" i="209" s="1"/>
  <c r="H49" i="424"/>
  <c r="C33" i="418"/>
  <c r="C37" i="418" s="1"/>
  <c r="C43" i="418" s="1"/>
  <c r="C46" i="418" s="1"/>
  <c r="D47" i="418" s="1"/>
  <c r="C48" i="418" s="1"/>
  <c r="C49" i="418" s="1"/>
  <c r="D63" i="209" s="1"/>
  <c r="F49" i="450"/>
  <c r="H49" i="440"/>
  <c r="C33" i="430"/>
  <c r="C37" i="430" s="1"/>
  <c r="C43" i="430" s="1"/>
  <c r="C46" i="430" s="1"/>
  <c r="D47" i="430" s="1"/>
  <c r="C48" i="430" s="1"/>
  <c r="C49" i="430" s="1"/>
  <c r="D68" i="209" s="1"/>
  <c r="C33" i="420"/>
  <c r="C37" i="420" s="1"/>
  <c r="C43" i="420" s="1"/>
  <c r="C46" i="420" s="1"/>
  <c r="D47" i="420" s="1"/>
  <c r="C48" i="420" s="1"/>
  <c r="C49" i="420" s="1"/>
  <c r="D64" i="209" s="1"/>
  <c r="F49" i="444"/>
  <c r="C33" i="416"/>
  <c r="C37" i="416" s="1"/>
  <c r="C43" i="416" s="1"/>
  <c r="C46" i="416" s="1"/>
  <c r="D47" i="416" s="1"/>
  <c r="C48" i="416" s="1"/>
  <c r="C49" i="416" s="1"/>
  <c r="D62" i="209" s="1"/>
  <c r="H49" i="400"/>
  <c r="G56" i="400" s="1"/>
  <c r="C33" i="405"/>
  <c r="C37" i="405" s="1"/>
  <c r="C43" i="405" s="1"/>
  <c r="C46" i="405" s="1"/>
  <c r="D47" i="405" s="1"/>
  <c r="C48" i="405" s="1"/>
  <c r="C49" i="405" s="1"/>
  <c r="E33" i="446"/>
  <c r="E37" i="446" s="1"/>
  <c r="E43" i="446" s="1"/>
  <c r="E46" i="446" s="1"/>
  <c r="F47" i="446" s="1"/>
  <c r="E48" i="446" s="1"/>
  <c r="E49" i="446" s="1"/>
  <c r="E76" i="209" s="1"/>
  <c r="C33" i="412"/>
  <c r="C37" i="412" s="1"/>
  <c r="C43" i="412" s="1"/>
  <c r="C46" i="412" s="1"/>
  <c r="D47" i="412" s="1"/>
  <c r="C48" i="412" s="1"/>
  <c r="C49" i="412" s="1"/>
  <c r="D60" i="209" s="1"/>
  <c r="E33" i="424"/>
  <c r="E37" i="424" s="1"/>
  <c r="E43" i="424" s="1"/>
  <c r="E46" i="424" s="1"/>
  <c r="F47" i="424" s="1"/>
  <c r="E48" i="424" s="1"/>
  <c r="E49" i="424" s="1"/>
  <c r="E66" i="209" s="1"/>
  <c r="D69" i="388"/>
  <c r="F69" i="388" s="1"/>
  <c r="H49" i="442"/>
  <c r="C33" i="448"/>
  <c r="C37" i="448" s="1"/>
  <c r="C43" i="448" s="1"/>
  <c r="C46" i="448" s="1"/>
  <c r="D47" i="448" s="1"/>
  <c r="C48" i="448" s="1"/>
  <c r="C49" i="448" s="1"/>
  <c r="D77" i="209" s="1"/>
  <c r="E33" i="448"/>
  <c r="E37" i="448" s="1"/>
  <c r="E43" i="448" s="1"/>
  <c r="E46" i="448" s="1"/>
  <c r="F47" i="448" s="1"/>
  <c r="E48" i="448" s="1"/>
  <c r="E49" i="448" s="1"/>
  <c r="E77" i="209" s="1"/>
  <c r="E29" i="397"/>
  <c r="F30" i="397" s="1"/>
  <c r="E32" i="397" s="1"/>
  <c r="F38" i="397" s="1"/>
  <c r="C33" i="426"/>
  <c r="C37" i="426" s="1"/>
  <c r="C43" i="426" s="1"/>
  <c r="C46" i="426" s="1"/>
  <c r="D47" i="426" s="1"/>
  <c r="C48" i="426" s="1"/>
  <c r="C49" i="426" s="1"/>
  <c r="D67" i="209" s="1"/>
  <c r="H49" i="395"/>
  <c r="G56" i="395" s="1"/>
  <c r="H49" i="448"/>
  <c r="H49" i="444"/>
  <c r="F49" i="422"/>
  <c r="D54" i="397"/>
  <c r="E29" i="391"/>
  <c r="F30" i="391" s="1"/>
  <c r="E32" i="391" s="1"/>
  <c r="F38" i="391" s="1"/>
  <c r="H49" i="389"/>
  <c r="G56" i="389" s="1"/>
  <c r="C33" i="402"/>
  <c r="C37" i="402" s="1"/>
  <c r="C43" i="402" s="1"/>
  <c r="C46" i="402" s="1"/>
  <c r="D47" i="402" s="1"/>
  <c r="C48" i="402" s="1"/>
  <c r="C49" i="402" s="1"/>
  <c r="D54" i="402"/>
  <c r="D54" i="405"/>
  <c r="D54" i="393"/>
  <c r="C33" i="397"/>
  <c r="C37" i="397" s="1"/>
  <c r="C43" i="397" s="1"/>
  <c r="C46" i="397" s="1"/>
  <c r="D47" i="397" s="1"/>
  <c r="C48" i="397" s="1"/>
  <c r="C49" i="397" s="1"/>
  <c r="E21" i="404"/>
  <c r="E31" i="404" s="1"/>
  <c r="E29" i="404"/>
  <c r="F30" i="404" s="1"/>
  <c r="D54" i="389"/>
  <c r="C33" i="395"/>
  <c r="C37" i="395" s="1"/>
  <c r="C43" i="395" s="1"/>
  <c r="C46" i="395" s="1"/>
  <c r="D47" i="395" s="1"/>
  <c r="C48" i="395" s="1"/>
  <c r="C49" i="395" s="1"/>
  <c r="E32" i="395"/>
  <c r="F38" i="395" s="1"/>
  <c r="F33" i="395"/>
  <c r="E21" i="402"/>
  <c r="E31" i="402" s="1"/>
  <c r="E29" i="402"/>
  <c r="F30" i="402" s="1"/>
  <c r="E21" i="400"/>
  <c r="E31" i="400" s="1"/>
  <c r="E29" i="400"/>
  <c r="F30" i="400" s="1"/>
  <c r="C33" i="389"/>
  <c r="C37" i="389" s="1"/>
  <c r="C43" i="389" s="1"/>
  <c r="C46" i="389" s="1"/>
  <c r="D47" i="389" s="1"/>
  <c r="C48" i="389" s="1"/>
  <c r="C49" i="389" s="1"/>
  <c r="D54" i="395"/>
  <c r="H49" i="397"/>
  <c r="G56" i="397" s="1"/>
  <c r="H49" i="402"/>
  <c r="G56" i="402" s="1"/>
  <c r="D54" i="400"/>
  <c r="D54" i="404"/>
  <c r="E21" i="405"/>
  <c r="E31" i="405" s="1"/>
  <c r="E29" i="405"/>
  <c r="F30" i="405" s="1"/>
  <c r="C33" i="391"/>
  <c r="C37" i="391" s="1"/>
  <c r="C43" i="391" s="1"/>
  <c r="C46" i="391" s="1"/>
  <c r="D47" i="391" s="1"/>
  <c r="C48" i="391" s="1"/>
  <c r="C49" i="391" s="1"/>
  <c r="E21" i="389"/>
  <c r="E31" i="389" s="1"/>
  <c r="E29" i="389"/>
  <c r="F30" i="389" s="1"/>
  <c r="H49" i="391"/>
  <c r="G56" i="391" s="1"/>
  <c r="E29" i="264"/>
  <c r="F30" i="264" s="1"/>
  <c r="E32" i="264" s="1"/>
  <c r="F38" i="264" s="1"/>
  <c r="E21" i="199"/>
  <c r="E31" i="199" s="1"/>
  <c r="E33" i="199" s="1"/>
  <c r="E37" i="199" s="1"/>
  <c r="E43" i="199" s="1"/>
  <c r="E46" i="199" s="1"/>
  <c r="F47" i="199" s="1"/>
  <c r="F33" i="199"/>
  <c r="E31" i="132"/>
  <c r="E34" i="132" s="1"/>
  <c r="E26" i="132"/>
  <c r="I24" i="132" s="1"/>
  <c r="E29" i="155"/>
  <c r="F30" i="155" s="1"/>
  <c r="E32" i="155" s="1"/>
  <c r="F38" i="155" s="1"/>
  <c r="E21" i="181"/>
  <c r="E31" i="181" s="1"/>
  <c r="E33" i="181" s="1"/>
  <c r="E37" i="181" s="1"/>
  <c r="E43" i="181" s="1"/>
  <c r="E46" i="181" s="1"/>
  <c r="F47" i="181" s="1"/>
  <c r="E48" i="181" s="1"/>
  <c r="E49" i="181" s="1"/>
  <c r="E91" i="209" s="1"/>
  <c r="Q7" i="2"/>
  <c r="E21" i="176"/>
  <c r="E31" i="176" s="1"/>
  <c r="E33" i="176" s="1"/>
  <c r="E37" i="176" s="1"/>
  <c r="E43" i="176" s="1"/>
  <c r="E46" i="176" s="1"/>
  <c r="F47" i="176" s="1"/>
  <c r="F33" i="181"/>
  <c r="E21" i="282"/>
  <c r="E31" i="282" s="1"/>
  <c r="E33" i="282" s="1"/>
  <c r="E37" i="282" s="1"/>
  <c r="E43" i="282" s="1"/>
  <c r="E46" i="282" s="1"/>
  <c r="F47" i="282" s="1"/>
  <c r="F49" i="282" s="1"/>
  <c r="F33" i="282"/>
  <c r="F33" i="176"/>
  <c r="E29" i="301"/>
  <c r="F30" i="301" s="1"/>
  <c r="E32" i="301" s="1"/>
  <c r="F38" i="301" s="1"/>
  <c r="E21" i="207"/>
  <c r="E31" i="207" s="1"/>
  <c r="E33" i="207" s="1"/>
  <c r="E37" i="207" s="1"/>
  <c r="E43" i="207" s="1"/>
  <c r="E46" i="207" s="1"/>
  <c r="F47" i="207" s="1"/>
  <c r="E21" i="171"/>
  <c r="E31" i="171" s="1"/>
  <c r="E33" i="171" s="1"/>
  <c r="E37" i="171" s="1"/>
  <c r="E43" i="171" s="1"/>
  <c r="E46" i="171" s="1"/>
  <c r="F47" i="171" s="1"/>
  <c r="E48" i="171" s="1"/>
  <c r="E49" i="171" s="1"/>
  <c r="E85" i="209" s="1"/>
  <c r="F33" i="171"/>
  <c r="F33" i="172"/>
  <c r="F33" i="319"/>
  <c r="F33" i="207"/>
  <c r="F33" i="167"/>
  <c r="E21" i="172"/>
  <c r="E31" i="172" s="1"/>
  <c r="E33" i="172" s="1"/>
  <c r="E37" i="172" s="1"/>
  <c r="E43" i="172" s="1"/>
  <c r="E46" i="172" s="1"/>
  <c r="F47" i="172" s="1"/>
  <c r="E21" i="167"/>
  <c r="E31" i="167" s="1"/>
  <c r="E33" i="167" s="1"/>
  <c r="E37" i="167" s="1"/>
  <c r="E43" i="167" s="1"/>
  <c r="E46" i="167" s="1"/>
  <c r="F47" i="167" s="1"/>
  <c r="E48" i="167" s="1"/>
  <c r="E49" i="167" s="1"/>
  <c r="E21" i="196"/>
  <c r="E31" i="196" s="1"/>
  <c r="E33" i="196" s="1"/>
  <c r="E37" i="196" s="1"/>
  <c r="E43" i="196" s="1"/>
  <c r="E46" i="196" s="1"/>
  <c r="F47" i="196" s="1"/>
  <c r="E48" i="196" s="1"/>
  <c r="E49" i="196" s="1"/>
  <c r="E40" i="209" s="1"/>
  <c r="E29" i="205"/>
  <c r="F30" i="205" s="1"/>
  <c r="F33" i="205" s="1"/>
  <c r="F33" i="309"/>
  <c r="E21" i="309"/>
  <c r="E31" i="309" s="1"/>
  <c r="E33" i="309" s="1"/>
  <c r="E37" i="309" s="1"/>
  <c r="E43" i="309" s="1"/>
  <c r="E46" i="309" s="1"/>
  <c r="F47" i="309" s="1"/>
  <c r="E48" i="309" s="1"/>
  <c r="E49" i="309" s="1"/>
  <c r="E57" i="209" s="1"/>
  <c r="F33" i="196"/>
  <c r="E21" i="319"/>
  <c r="E31" i="319" s="1"/>
  <c r="E33" i="319" s="1"/>
  <c r="E37" i="319" s="1"/>
  <c r="E43" i="319" s="1"/>
  <c r="E46" i="319" s="1"/>
  <c r="F47" i="319" s="1"/>
  <c r="E48" i="319" s="1"/>
  <c r="E49" i="319" s="1"/>
  <c r="E131" i="209" s="1"/>
  <c r="E29" i="179"/>
  <c r="F30" i="179" s="1"/>
  <c r="E32" i="179" s="1"/>
  <c r="F38" i="179" s="1"/>
  <c r="E21" i="333"/>
  <c r="E31" i="333" s="1"/>
  <c r="E33" i="333" s="1"/>
  <c r="E37" i="333" s="1"/>
  <c r="E43" i="333" s="1"/>
  <c r="E46" i="333" s="1"/>
  <c r="F47" i="333" s="1"/>
  <c r="E48" i="333" s="1"/>
  <c r="E49" i="333" s="1"/>
  <c r="F33" i="333"/>
  <c r="F33" i="149"/>
  <c r="E21" i="208"/>
  <c r="E31" i="208" s="1"/>
  <c r="E33" i="208" s="1"/>
  <c r="E37" i="208" s="1"/>
  <c r="E43" i="208" s="1"/>
  <c r="E46" i="208" s="1"/>
  <c r="F47" i="208" s="1"/>
  <c r="E48" i="208" s="1"/>
  <c r="E49" i="208" s="1"/>
  <c r="E58" i="209" s="1"/>
  <c r="E21" i="148"/>
  <c r="E31" i="148" s="1"/>
  <c r="E33" i="148" s="1"/>
  <c r="E37" i="148" s="1"/>
  <c r="E43" i="148" s="1"/>
  <c r="E46" i="148" s="1"/>
  <c r="F47" i="148" s="1"/>
  <c r="E48" i="148" s="1"/>
  <c r="E49" i="148" s="1"/>
  <c r="F33" i="208"/>
  <c r="F33" i="161"/>
  <c r="F33" i="175"/>
  <c r="F33" i="148"/>
  <c r="E29" i="195"/>
  <c r="F30" i="195" s="1"/>
  <c r="E21" i="186"/>
  <c r="E31" i="186" s="1"/>
  <c r="E33" i="186" s="1"/>
  <c r="E37" i="186" s="1"/>
  <c r="E43" i="186" s="1"/>
  <c r="E46" i="186" s="1"/>
  <c r="F47" i="186" s="1"/>
  <c r="E48" i="186" s="1"/>
  <c r="E49" i="186" s="1"/>
  <c r="E28" i="209" s="1"/>
  <c r="F33" i="186"/>
  <c r="E29" i="203"/>
  <c r="F30" i="203" s="1"/>
  <c r="F33" i="203" s="1"/>
  <c r="F33" i="153"/>
  <c r="E21" i="149"/>
  <c r="E31" i="149" s="1"/>
  <c r="E33" i="149" s="1"/>
  <c r="E37" i="149" s="1"/>
  <c r="E43" i="149" s="1"/>
  <c r="E46" i="149" s="1"/>
  <c r="F47" i="149" s="1"/>
  <c r="E48" i="149" s="1"/>
  <c r="E49" i="149" s="1"/>
  <c r="E181" i="209" s="1"/>
  <c r="E21" i="201"/>
  <c r="E31" i="201" s="1"/>
  <c r="E33" i="201" s="1"/>
  <c r="E37" i="201" s="1"/>
  <c r="E43" i="201" s="1"/>
  <c r="E46" i="201" s="1"/>
  <c r="F47" i="201" s="1"/>
  <c r="E48" i="201" s="1"/>
  <c r="E49" i="201" s="1"/>
  <c r="E21" i="191"/>
  <c r="E31" i="191" s="1"/>
  <c r="E33" i="191" s="1"/>
  <c r="E37" i="191" s="1"/>
  <c r="E43" i="191" s="1"/>
  <c r="E46" i="191" s="1"/>
  <c r="F47" i="191" s="1"/>
  <c r="F49" i="191" s="1"/>
  <c r="F33" i="157"/>
  <c r="E21" i="246"/>
  <c r="E31" i="246" s="1"/>
  <c r="E33" i="246" s="1"/>
  <c r="E37" i="246" s="1"/>
  <c r="E43" i="246" s="1"/>
  <c r="E46" i="246" s="1"/>
  <c r="F47" i="246" s="1"/>
  <c r="E48" i="246" s="1"/>
  <c r="E49" i="246" s="1"/>
  <c r="F33" i="191"/>
  <c r="F33" i="201"/>
  <c r="F33" i="254"/>
  <c r="F33" i="339"/>
  <c r="E21" i="254"/>
  <c r="E31" i="254" s="1"/>
  <c r="E33" i="254" s="1"/>
  <c r="E37" i="254" s="1"/>
  <c r="E43" i="254" s="1"/>
  <c r="E46" i="254" s="1"/>
  <c r="F47" i="254" s="1"/>
  <c r="E48" i="254" s="1"/>
  <c r="E49" i="254" s="1"/>
  <c r="F33" i="275"/>
  <c r="F33" i="355"/>
  <c r="E21" i="175"/>
  <c r="E31" i="175" s="1"/>
  <c r="E33" i="175" s="1"/>
  <c r="E37" i="175" s="1"/>
  <c r="E43" i="175" s="1"/>
  <c r="E46" i="175" s="1"/>
  <c r="F47" i="175" s="1"/>
  <c r="E48" i="175" s="1"/>
  <c r="E49" i="175" s="1"/>
  <c r="E21" i="355"/>
  <c r="E31" i="355" s="1"/>
  <c r="E33" i="355" s="1"/>
  <c r="E37" i="355" s="1"/>
  <c r="E43" i="355" s="1"/>
  <c r="E46" i="355" s="1"/>
  <c r="F47" i="355" s="1"/>
  <c r="F49" i="355" s="1"/>
  <c r="E21" i="378"/>
  <c r="E31" i="378" s="1"/>
  <c r="E33" i="378" s="1"/>
  <c r="E37" i="378" s="1"/>
  <c r="E43" i="378" s="1"/>
  <c r="E46" i="378" s="1"/>
  <c r="F47" i="378" s="1"/>
  <c r="E48" i="378" s="1"/>
  <c r="E49" i="378" s="1"/>
  <c r="F33" i="164"/>
  <c r="F33" i="378"/>
  <c r="F33" i="190"/>
  <c r="E21" i="357"/>
  <c r="E31" i="357" s="1"/>
  <c r="E33" i="357" s="1"/>
  <c r="E37" i="357" s="1"/>
  <c r="E43" i="357" s="1"/>
  <c r="E46" i="357" s="1"/>
  <c r="F47" i="357" s="1"/>
  <c r="E48" i="357" s="1"/>
  <c r="E49" i="357" s="1"/>
  <c r="E21" i="197"/>
  <c r="E31" i="197" s="1"/>
  <c r="E33" i="197" s="1"/>
  <c r="E37" i="197" s="1"/>
  <c r="E43" i="197" s="1"/>
  <c r="E46" i="197" s="1"/>
  <c r="F47" i="197" s="1"/>
  <c r="E48" i="197" s="1"/>
  <c r="E49" i="197" s="1"/>
  <c r="E21" i="161"/>
  <c r="E31" i="161" s="1"/>
  <c r="E33" i="161" s="1"/>
  <c r="E37" i="161" s="1"/>
  <c r="E43" i="161" s="1"/>
  <c r="E46" i="161" s="1"/>
  <c r="F47" i="161" s="1"/>
  <c r="E48" i="161" s="1"/>
  <c r="E49" i="161" s="1"/>
  <c r="E21" i="153"/>
  <c r="E31" i="153" s="1"/>
  <c r="E33" i="153" s="1"/>
  <c r="E37" i="153" s="1"/>
  <c r="E43" i="153" s="1"/>
  <c r="E46" i="153" s="1"/>
  <c r="F47" i="153" s="1"/>
  <c r="F49" i="153" s="1"/>
  <c r="E21" i="170"/>
  <c r="E31" i="170" s="1"/>
  <c r="E33" i="170" s="1"/>
  <c r="E8" i="291" s="1"/>
  <c r="E21" i="231"/>
  <c r="E31" i="231" s="1"/>
  <c r="E33" i="231" s="1"/>
  <c r="E37" i="231" s="1"/>
  <c r="E43" i="231" s="1"/>
  <c r="E46" i="231" s="1"/>
  <c r="F47" i="231" s="1"/>
  <c r="E48" i="231" s="1"/>
  <c r="E49" i="231" s="1"/>
  <c r="F33" i="187"/>
  <c r="E29" i="323"/>
  <c r="F30" i="323" s="1"/>
  <c r="F33" i="323" s="1"/>
  <c r="E21" i="359"/>
  <c r="E31" i="359" s="1"/>
  <c r="E33" i="359" s="1"/>
  <c r="E37" i="359" s="1"/>
  <c r="E43" i="359" s="1"/>
  <c r="E46" i="359" s="1"/>
  <c r="F47" i="359" s="1"/>
  <c r="E48" i="359" s="1"/>
  <c r="E49" i="359" s="1"/>
  <c r="E21" i="183"/>
  <c r="E31" i="183" s="1"/>
  <c r="E33" i="183" s="1"/>
  <c r="E37" i="183" s="1"/>
  <c r="E43" i="183" s="1"/>
  <c r="E46" i="183" s="1"/>
  <c r="F47" i="183" s="1"/>
  <c r="E21" i="164"/>
  <c r="E31" i="164" s="1"/>
  <c r="E33" i="164" s="1"/>
  <c r="E37" i="164" s="1"/>
  <c r="E43" i="164" s="1"/>
  <c r="E46" i="164" s="1"/>
  <c r="F47" i="164" s="1"/>
  <c r="F49" i="164" s="1"/>
  <c r="F33" i="277"/>
  <c r="E21" i="277"/>
  <c r="E31" i="277" s="1"/>
  <c r="E33" i="277" s="1"/>
  <c r="E37" i="277" s="1"/>
  <c r="E43" i="277" s="1"/>
  <c r="E46" i="277" s="1"/>
  <c r="F47" i="277" s="1"/>
  <c r="F49" i="277" s="1"/>
  <c r="F33" i="357"/>
  <c r="E29" i="305"/>
  <c r="F30" i="305" s="1"/>
  <c r="E21" i="305"/>
  <c r="E31" i="305" s="1"/>
  <c r="E29" i="299"/>
  <c r="F30" i="299" s="1"/>
  <c r="E32" i="299" s="1"/>
  <c r="F38" i="299" s="1"/>
  <c r="E21" i="157"/>
  <c r="E31" i="157" s="1"/>
  <c r="E33" i="157" s="1"/>
  <c r="E37" i="157" s="1"/>
  <c r="E43" i="157" s="1"/>
  <c r="E46" i="157" s="1"/>
  <c r="F47" i="157" s="1"/>
  <c r="E48" i="157" s="1"/>
  <c r="E49" i="157" s="1"/>
  <c r="E21" i="190"/>
  <c r="E31" i="190" s="1"/>
  <c r="E33" i="190" s="1"/>
  <c r="E37" i="190" s="1"/>
  <c r="E43" i="190" s="1"/>
  <c r="E46" i="190" s="1"/>
  <c r="F47" i="190" s="1"/>
  <c r="E48" i="190" s="1"/>
  <c r="E49" i="190" s="1"/>
  <c r="E21" i="339"/>
  <c r="E31" i="339" s="1"/>
  <c r="E33" i="339" s="1"/>
  <c r="E37" i="339" s="1"/>
  <c r="E43" i="339" s="1"/>
  <c r="E46" i="339" s="1"/>
  <c r="F47" i="339" s="1"/>
  <c r="E48" i="339" s="1"/>
  <c r="E49" i="339" s="1"/>
  <c r="F33" i="359"/>
  <c r="F33" i="256"/>
  <c r="E29" i="347"/>
  <c r="F30" i="347" s="1"/>
  <c r="F33" i="347" s="1"/>
  <c r="F33" i="197"/>
  <c r="E29" i="260"/>
  <c r="F30" i="260" s="1"/>
  <c r="E32" i="260" s="1"/>
  <c r="F38" i="260" s="1"/>
  <c r="E29" i="240"/>
  <c r="F30" i="240" s="1"/>
  <c r="E32" i="240" s="1"/>
  <c r="F38" i="240" s="1"/>
  <c r="F33" i="194"/>
  <c r="E21" i="221"/>
  <c r="E31" i="221" s="1"/>
  <c r="E33" i="221" s="1"/>
  <c r="E37" i="221" s="1"/>
  <c r="E43" i="221" s="1"/>
  <c r="E46" i="221" s="1"/>
  <c r="F47" i="221" s="1"/>
  <c r="F49" i="221" s="1"/>
  <c r="E21" i="353"/>
  <c r="E31" i="353" s="1"/>
  <c r="E33" i="353" s="1"/>
  <c r="E37" i="353" s="1"/>
  <c r="E43" i="353" s="1"/>
  <c r="E46" i="353" s="1"/>
  <c r="F47" i="353" s="1"/>
  <c r="F49" i="353" s="1"/>
  <c r="E29" i="345"/>
  <c r="F30" i="345" s="1"/>
  <c r="E32" i="345" s="1"/>
  <c r="F38" i="345" s="1"/>
  <c r="F33" i="353"/>
  <c r="E21" i="256"/>
  <c r="E31" i="256" s="1"/>
  <c r="E33" i="256" s="1"/>
  <c r="E37" i="256" s="1"/>
  <c r="E43" i="256" s="1"/>
  <c r="E46" i="256" s="1"/>
  <c r="F47" i="256" s="1"/>
  <c r="E21" i="194"/>
  <c r="E31" i="194" s="1"/>
  <c r="E33" i="194" s="1"/>
  <c r="E37" i="194" s="1"/>
  <c r="E43" i="194" s="1"/>
  <c r="E46" i="194" s="1"/>
  <c r="F47" i="194" s="1"/>
  <c r="E48" i="194" s="1"/>
  <c r="E49" i="194" s="1"/>
  <c r="E29" i="144"/>
  <c r="F30" i="144" s="1"/>
  <c r="F33" i="144" s="1"/>
  <c r="E21" i="244"/>
  <c r="E31" i="244" s="1"/>
  <c r="E33" i="244" s="1"/>
  <c r="E37" i="244" s="1"/>
  <c r="E43" i="244" s="1"/>
  <c r="E46" i="244" s="1"/>
  <c r="F47" i="244" s="1"/>
  <c r="F49" i="244" s="1"/>
  <c r="E21" i="145"/>
  <c r="E31" i="145" s="1"/>
  <c r="E29" i="369"/>
  <c r="F30" i="369" s="1"/>
  <c r="E21" i="369"/>
  <c r="E31" i="369" s="1"/>
  <c r="F33" i="244"/>
  <c r="E21" i="331"/>
  <c r="E31" i="331" s="1"/>
  <c r="E33" i="331" s="1"/>
  <c r="E37" i="331" s="1"/>
  <c r="E43" i="331" s="1"/>
  <c r="E46" i="331" s="1"/>
  <c r="F47" i="331" s="1"/>
  <c r="F49" i="331" s="1"/>
  <c r="E29" i="189"/>
  <c r="F30" i="189" s="1"/>
  <c r="E21" i="189"/>
  <c r="E31" i="189" s="1"/>
  <c r="E32" i="177"/>
  <c r="F38" i="177" s="1"/>
  <c r="E21" i="177"/>
  <c r="E31" i="177" s="1"/>
  <c r="E29" i="151"/>
  <c r="F30" i="151" s="1"/>
  <c r="E21" i="151"/>
  <c r="E31" i="151" s="1"/>
  <c r="F33" i="331"/>
  <c r="E29" i="202"/>
  <c r="F30" i="202" s="1"/>
  <c r="E21" i="202"/>
  <c r="E31" i="202" s="1"/>
  <c r="E21" i="275"/>
  <c r="E31" i="275" s="1"/>
  <c r="E33" i="275" s="1"/>
  <c r="E37" i="275" s="1"/>
  <c r="E43" i="275" s="1"/>
  <c r="E46" i="275" s="1"/>
  <c r="F47" i="275" s="1"/>
  <c r="E48" i="275" s="1"/>
  <c r="E49" i="275" s="1"/>
  <c r="E21" i="168"/>
  <c r="E31" i="168" s="1"/>
  <c r="E21" i="187"/>
  <c r="E31" i="187" s="1"/>
  <c r="E33" i="187" s="1"/>
  <c r="E37" i="187" s="1"/>
  <c r="E43" i="187" s="1"/>
  <c r="E46" i="187" s="1"/>
  <c r="F47" i="187" s="1"/>
  <c r="F49" i="187" s="1"/>
  <c r="E21" i="266"/>
  <c r="E31" i="266" s="1"/>
  <c r="E29" i="266"/>
  <c r="F30" i="266" s="1"/>
  <c r="E29" i="351"/>
  <c r="F30" i="351" s="1"/>
  <c r="E21" i="351"/>
  <c r="E31" i="351" s="1"/>
  <c r="F33" i="246"/>
  <c r="E29" i="268"/>
  <c r="F30" i="268" s="1"/>
  <c r="E21" i="268"/>
  <c r="E31" i="268" s="1"/>
  <c r="E29" i="335"/>
  <c r="F30" i="335" s="1"/>
  <c r="E21" i="335"/>
  <c r="E31" i="335" s="1"/>
  <c r="E29" i="365"/>
  <c r="F30" i="365" s="1"/>
  <c r="E21" i="365"/>
  <c r="E31" i="365" s="1"/>
  <c r="E21" i="321"/>
  <c r="E31" i="321" s="1"/>
  <c r="E29" i="321"/>
  <c r="F30" i="321" s="1"/>
  <c r="E29" i="382"/>
  <c r="F30" i="382" s="1"/>
  <c r="E21" i="382"/>
  <c r="E31" i="382" s="1"/>
  <c r="E21" i="307"/>
  <c r="E31" i="307" s="1"/>
  <c r="E29" i="307"/>
  <c r="F30" i="307" s="1"/>
  <c r="E21" i="147"/>
  <c r="E31" i="147" s="1"/>
  <c r="E33" i="147" s="1"/>
  <c r="E37" i="147" s="1"/>
  <c r="E43" i="147" s="1"/>
  <c r="E46" i="147" s="1"/>
  <c r="F47" i="147" s="1"/>
  <c r="F49" i="147" s="1"/>
  <c r="E29" i="371"/>
  <c r="F30" i="371" s="1"/>
  <c r="E21" i="371"/>
  <c r="E31" i="371" s="1"/>
  <c r="F33" i="147"/>
  <c r="E32" i="188"/>
  <c r="F38" i="188" s="1"/>
  <c r="E32" i="200"/>
  <c r="F38" i="200" s="1"/>
  <c r="F33" i="170"/>
  <c r="F33" i="183"/>
  <c r="F33" i="221"/>
  <c r="F33" i="218"/>
  <c r="E29" i="271"/>
  <c r="F30" i="271" s="1"/>
  <c r="E21" i="271"/>
  <c r="E31" i="271" s="1"/>
  <c r="F33" i="233"/>
  <c r="E29" i="284"/>
  <c r="F30" i="284" s="1"/>
  <c r="E21" i="284"/>
  <c r="E31" i="284" s="1"/>
  <c r="F33" i="386"/>
  <c r="E21" i="238"/>
  <c r="E31" i="238" s="1"/>
  <c r="E29" i="238"/>
  <c r="F30" i="238" s="1"/>
  <c r="E29" i="311"/>
  <c r="F30" i="311" s="1"/>
  <c r="E21" i="311"/>
  <c r="E31" i="311" s="1"/>
  <c r="E29" i="227"/>
  <c r="F30" i="227" s="1"/>
  <c r="E21" i="227"/>
  <c r="E31" i="227" s="1"/>
  <c r="E29" i="325"/>
  <c r="F30" i="325" s="1"/>
  <c r="E21" i="325"/>
  <c r="E31" i="325" s="1"/>
  <c r="E32" i="361"/>
  <c r="F38" i="361" s="1"/>
  <c r="F33" i="361"/>
  <c r="E21" i="279"/>
  <c r="E31" i="279" s="1"/>
  <c r="E21" i="386"/>
  <c r="E31" i="386" s="1"/>
  <c r="E33" i="386" s="1"/>
  <c r="E37" i="386" s="1"/>
  <c r="E43" i="386" s="1"/>
  <c r="E46" i="386" s="1"/>
  <c r="F47" i="386" s="1"/>
  <c r="E48" i="386" s="1"/>
  <c r="E49" i="386" s="1"/>
  <c r="E21" i="200"/>
  <c r="E31" i="200" s="1"/>
  <c r="E21" i="361"/>
  <c r="E31" i="361" s="1"/>
  <c r="E21" i="218"/>
  <c r="E31" i="218" s="1"/>
  <c r="E33" i="218" s="1"/>
  <c r="E37" i="218" s="1"/>
  <c r="E43" i="218" s="1"/>
  <c r="E46" i="218" s="1"/>
  <c r="F47" i="218" s="1"/>
  <c r="E21" i="341"/>
  <c r="E31" i="341" s="1"/>
  <c r="E29" i="341"/>
  <c r="F30" i="341" s="1"/>
  <c r="E29" i="165"/>
  <c r="F30" i="165" s="1"/>
  <c r="E21" i="165"/>
  <c r="E31" i="165" s="1"/>
  <c r="E21" i="363"/>
  <c r="E31" i="363" s="1"/>
  <c r="E33" i="363" s="1"/>
  <c r="E37" i="363" s="1"/>
  <c r="E43" i="363" s="1"/>
  <c r="E46" i="363" s="1"/>
  <c r="F47" i="363" s="1"/>
  <c r="E48" i="363" s="1"/>
  <c r="E49" i="363" s="1"/>
  <c r="E29" i="152"/>
  <c r="F30" i="152" s="1"/>
  <c r="E21" i="152"/>
  <c r="E31" i="152" s="1"/>
  <c r="E29" i="380"/>
  <c r="F30" i="380" s="1"/>
  <c r="E21" i="380"/>
  <c r="E31" i="380" s="1"/>
  <c r="E32" i="327"/>
  <c r="F38" i="327" s="1"/>
  <c r="F33" i="327"/>
  <c r="F33" i="363"/>
  <c r="E21" i="233"/>
  <c r="E31" i="233" s="1"/>
  <c r="E33" i="233" s="1"/>
  <c r="E37" i="233" s="1"/>
  <c r="E43" i="233" s="1"/>
  <c r="E46" i="233" s="1"/>
  <c r="F47" i="233" s="1"/>
  <c r="E48" i="233" s="1"/>
  <c r="E49" i="233" s="1"/>
  <c r="E29" i="192"/>
  <c r="F30" i="192" s="1"/>
  <c r="E29" i="156"/>
  <c r="F30" i="156" s="1"/>
  <c r="E21" i="156"/>
  <c r="E31" i="156" s="1"/>
  <c r="E21" i="327"/>
  <c r="E31" i="327" s="1"/>
  <c r="E32" i="168"/>
  <c r="F38" i="168" s="1"/>
  <c r="F33" i="168"/>
  <c r="E29" i="343"/>
  <c r="F30" i="343" s="1"/>
  <c r="E21" i="343"/>
  <c r="E31" i="343" s="1"/>
  <c r="F33" i="231"/>
  <c r="E21" i="188"/>
  <c r="E31" i="188" s="1"/>
  <c r="E29" i="376"/>
  <c r="F30" i="376" s="1"/>
  <c r="E21" i="376"/>
  <c r="E31" i="376" s="1"/>
  <c r="E29" i="184"/>
  <c r="F30" i="184" s="1"/>
  <c r="E21" i="184"/>
  <c r="E31" i="184" s="1"/>
  <c r="E29" i="367"/>
  <c r="F30" i="367" s="1"/>
  <c r="E21" i="367"/>
  <c r="E31" i="367" s="1"/>
  <c r="E29" i="373"/>
  <c r="F30" i="373" s="1"/>
  <c r="E21" i="373"/>
  <c r="E31" i="373" s="1"/>
  <c r="E29" i="159"/>
  <c r="F30" i="159" s="1"/>
  <c r="E21" i="159"/>
  <c r="E31" i="159" s="1"/>
  <c r="E32" i="279"/>
  <c r="F38" i="279" s="1"/>
  <c r="E29" i="349"/>
  <c r="F30" i="349" s="1"/>
  <c r="E21" i="349"/>
  <c r="E31" i="349" s="1"/>
  <c r="E32" i="145"/>
  <c r="F38" i="145" s="1"/>
  <c r="F33" i="145"/>
  <c r="E21" i="173"/>
  <c r="E31" i="173" s="1"/>
  <c r="E29" i="173"/>
  <c r="F30" i="173" s="1"/>
  <c r="E95" i="2"/>
  <c r="E29" i="10"/>
  <c r="E31" i="10" s="1"/>
  <c r="E21" i="262"/>
  <c r="E31" i="262" s="1"/>
  <c r="E29" i="262"/>
  <c r="F30" i="262" s="1"/>
  <c r="E29" i="250"/>
  <c r="F30" i="250" s="1"/>
  <c r="E21" i="250"/>
  <c r="E31" i="250" s="1"/>
  <c r="F30" i="182"/>
  <c r="E31" i="182"/>
  <c r="E29" i="138"/>
  <c r="F30" i="138" s="1"/>
  <c r="E21" i="138"/>
  <c r="E31" i="138" s="1"/>
  <c r="E29" i="212"/>
  <c r="F30" i="212" s="1"/>
  <c r="E21" i="212"/>
  <c r="E31" i="212" s="1"/>
  <c r="E29" i="160"/>
  <c r="F30" i="160" s="1"/>
  <c r="E21" i="160"/>
  <c r="E31" i="160" s="1"/>
  <c r="E29" i="162"/>
  <c r="F30" i="162" s="1"/>
  <c r="E21" i="162"/>
  <c r="E31" i="162" s="1"/>
  <c r="E29" i="16"/>
  <c r="E31" i="16" s="1"/>
  <c r="E63" i="2"/>
  <c r="E29" i="180"/>
  <c r="F30" i="180" s="1"/>
  <c r="E21" i="180"/>
  <c r="E31" i="180" s="1"/>
  <c r="E29" i="146"/>
  <c r="F30" i="146" s="1"/>
  <c r="E21" i="146"/>
  <c r="E31" i="146" s="1"/>
  <c r="E29" i="139"/>
  <c r="F30" i="139" s="1"/>
  <c r="E21" i="139"/>
  <c r="E31" i="139" s="1"/>
  <c r="E29" i="141"/>
  <c r="F30" i="141" s="1"/>
  <c r="E21" i="141"/>
  <c r="E31" i="141" s="1"/>
  <c r="E49" i="2"/>
  <c r="E29" i="18"/>
  <c r="E31" i="18" s="1"/>
  <c r="E29" i="198"/>
  <c r="F30" i="198" s="1"/>
  <c r="E21" i="198"/>
  <c r="E31" i="198" s="1"/>
  <c r="E21" i="329"/>
  <c r="E31" i="329" s="1"/>
  <c r="E29" i="329"/>
  <c r="F30" i="329" s="1"/>
  <c r="E29" i="193"/>
  <c r="F30" i="193" s="1"/>
  <c r="E21" i="193"/>
  <c r="E31" i="193" s="1"/>
  <c r="E29" i="140"/>
  <c r="F30" i="140" s="1"/>
  <c r="E21" i="140"/>
  <c r="E31" i="140" s="1"/>
  <c r="E29" i="166"/>
  <c r="F30" i="166" s="1"/>
  <c r="E21" i="166"/>
  <c r="E31" i="166" s="1"/>
  <c r="E29" i="17"/>
  <c r="E31" i="17" s="1"/>
  <c r="E6" i="2"/>
  <c r="E21" i="242"/>
  <c r="E31" i="242" s="1"/>
  <c r="E29" i="242"/>
  <c r="F30" i="242" s="1"/>
  <c r="E29" i="206"/>
  <c r="F30" i="206" s="1"/>
  <c r="E21" i="206"/>
  <c r="E31" i="206" s="1"/>
  <c r="E29" i="295"/>
  <c r="F30" i="295" s="1"/>
  <c r="E21" i="295"/>
  <c r="E31" i="295" s="1"/>
  <c r="E29" i="137"/>
  <c r="F30" i="137" s="1"/>
  <c r="E21" i="137"/>
  <c r="E31" i="137" s="1"/>
  <c r="E29" i="169"/>
  <c r="F30" i="169" s="1"/>
  <c r="E21" i="169"/>
  <c r="E31" i="169" s="1"/>
  <c r="E29" i="303"/>
  <c r="F30" i="303" s="1"/>
  <c r="E21" i="303"/>
  <c r="E31" i="303" s="1"/>
  <c r="E21" i="163"/>
  <c r="E31" i="163" s="1"/>
  <c r="E29" i="163"/>
  <c r="F30" i="163" s="1"/>
  <c r="E21" i="315"/>
  <c r="E31" i="315" s="1"/>
  <c r="E29" i="315"/>
  <c r="F30" i="315" s="1"/>
  <c r="E29" i="204"/>
  <c r="F30" i="204" s="1"/>
  <c r="E21" i="204"/>
  <c r="E31" i="204" s="1"/>
  <c r="E29" i="185"/>
  <c r="F30" i="185" s="1"/>
  <c r="E21" i="185"/>
  <c r="E31" i="185" s="1"/>
  <c r="E29" i="142"/>
  <c r="F30" i="142" s="1"/>
  <c r="E21" i="142"/>
  <c r="E31" i="142" s="1"/>
  <c r="E29" i="174"/>
  <c r="F30" i="174" s="1"/>
  <c r="E21" i="174"/>
  <c r="E31" i="174" s="1"/>
  <c r="E29" i="225"/>
  <c r="F30" i="225" s="1"/>
  <c r="E21" i="225"/>
  <c r="E31" i="225" s="1"/>
  <c r="E29" i="337"/>
  <c r="F30" i="337" s="1"/>
  <c r="E21" i="337"/>
  <c r="E31" i="337" s="1"/>
  <c r="E29" i="249"/>
  <c r="F30" i="249" s="1"/>
  <c r="E21" i="249"/>
  <c r="E31" i="249" s="1"/>
  <c r="E29" i="273"/>
  <c r="F30" i="273" s="1"/>
  <c r="E21" i="273"/>
  <c r="E31" i="273" s="1"/>
  <c r="E29" i="229"/>
  <c r="F30" i="229" s="1"/>
  <c r="E21" i="229"/>
  <c r="E31" i="229" s="1"/>
  <c r="E29" i="158"/>
  <c r="F30" i="158" s="1"/>
  <c r="E21" i="158"/>
  <c r="E31" i="158" s="1"/>
  <c r="E29" i="223"/>
  <c r="F30" i="223" s="1"/>
  <c r="E21" i="223"/>
  <c r="E31" i="223" s="1"/>
  <c r="E29" i="313"/>
  <c r="F30" i="313" s="1"/>
  <c r="E21" i="313"/>
  <c r="E31" i="313" s="1"/>
  <c r="E29" i="258"/>
  <c r="F30" i="258" s="1"/>
  <c r="E21" i="258"/>
  <c r="E31" i="258" s="1"/>
  <c r="E29" i="236"/>
  <c r="F30" i="236" s="1"/>
  <c r="E21" i="236"/>
  <c r="E31" i="236" s="1"/>
  <c r="E16" i="2"/>
  <c r="I26" i="214"/>
  <c r="I28" i="214" s="1"/>
  <c r="I29" i="214" s="1"/>
  <c r="E33" i="150"/>
  <c r="E37" i="150" s="1"/>
  <c r="E43" i="150" s="1"/>
  <c r="E46" i="150" s="1"/>
  <c r="F47" i="150" s="1"/>
  <c r="E48" i="252"/>
  <c r="E49" i="252" s="1"/>
  <c r="E48" i="154"/>
  <c r="E49" i="154" s="1"/>
  <c r="F49" i="154"/>
  <c r="D168" i="388" l="1"/>
  <c r="F168" i="388" s="1"/>
  <c r="U167" i="209"/>
  <c r="D228" i="388"/>
  <c r="F228" i="388" s="1"/>
  <c r="U227" i="209"/>
  <c r="G93" i="388"/>
  <c r="I93" i="388" s="1"/>
  <c r="V91" i="209"/>
  <c r="D61" i="388"/>
  <c r="F61" i="388" s="1"/>
  <c r="U60" i="209"/>
  <c r="D60" i="388"/>
  <c r="F60" i="388" s="1"/>
  <c r="U59" i="209"/>
  <c r="D76" i="388"/>
  <c r="F76" i="388" s="1"/>
  <c r="U74" i="209"/>
  <c r="D174" i="388"/>
  <c r="F174" i="388" s="1"/>
  <c r="U173" i="209"/>
  <c r="D167" i="388"/>
  <c r="F167" i="388" s="1"/>
  <c r="U166" i="209"/>
  <c r="D203" i="388"/>
  <c r="F203" i="388" s="1"/>
  <c r="U202" i="209"/>
  <c r="D220" i="388"/>
  <c r="F220" i="388" s="1"/>
  <c r="U219" i="209"/>
  <c r="D224" i="388"/>
  <c r="F224" i="388" s="1"/>
  <c r="U223" i="209"/>
  <c r="G74" i="388"/>
  <c r="I74" i="388" s="1"/>
  <c r="V72" i="209"/>
  <c r="J226" i="388"/>
  <c r="L226" i="388" s="1"/>
  <c r="W225" i="209"/>
  <c r="D62" i="388"/>
  <c r="F62" i="388" s="1"/>
  <c r="U61" i="209"/>
  <c r="D169" i="388"/>
  <c r="F169" i="388" s="1"/>
  <c r="U168" i="209"/>
  <c r="D221" i="388"/>
  <c r="F221" i="388" s="1"/>
  <c r="U220" i="209"/>
  <c r="D68" i="388"/>
  <c r="F68" i="388" s="1"/>
  <c r="U67" i="209"/>
  <c r="G78" i="388"/>
  <c r="I78" i="388" s="1"/>
  <c r="V76" i="209"/>
  <c r="D80" i="388"/>
  <c r="F80" i="388" s="1"/>
  <c r="U78" i="209"/>
  <c r="D164" i="388"/>
  <c r="F164" i="388" s="1"/>
  <c r="U163" i="209"/>
  <c r="D206" i="388"/>
  <c r="F206" i="388" s="1"/>
  <c r="U205" i="209"/>
  <c r="D211" i="388"/>
  <c r="F211" i="388" s="1"/>
  <c r="U210" i="209"/>
  <c r="D214" i="388"/>
  <c r="F214" i="388" s="1"/>
  <c r="U213" i="209"/>
  <c r="D201" i="388"/>
  <c r="F201" i="388" s="1"/>
  <c r="U200" i="209"/>
  <c r="D215" i="388"/>
  <c r="F215" i="388" s="1"/>
  <c r="U214" i="209"/>
  <c r="D199" i="388"/>
  <c r="F199" i="388" s="1"/>
  <c r="U198" i="209"/>
  <c r="D70" i="388"/>
  <c r="F70" i="388" s="1"/>
  <c r="U68" i="209"/>
  <c r="D208" i="388"/>
  <c r="F208" i="388" s="1"/>
  <c r="U207" i="209"/>
  <c r="G182" i="388"/>
  <c r="I182" i="388" s="1"/>
  <c r="V181" i="209"/>
  <c r="G132" i="388"/>
  <c r="I132" i="388" s="1"/>
  <c r="V131" i="209"/>
  <c r="D64" i="388"/>
  <c r="F64" i="388" s="1"/>
  <c r="U63" i="209"/>
  <c r="G94" i="388"/>
  <c r="I94" i="388" s="1"/>
  <c r="V92" i="209"/>
  <c r="D175" i="388"/>
  <c r="F175" i="388" s="1"/>
  <c r="U174" i="209"/>
  <c r="D165" i="388"/>
  <c r="F165" i="388" s="1"/>
  <c r="U164" i="209"/>
  <c r="D166" i="388"/>
  <c r="F166" i="388" s="1"/>
  <c r="U165" i="209"/>
  <c r="D210" i="388"/>
  <c r="F210" i="388" s="1"/>
  <c r="U209" i="209"/>
  <c r="D217" i="388"/>
  <c r="F217" i="388" s="1"/>
  <c r="U216" i="209"/>
  <c r="D227" i="388"/>
  <c r="F227" i="388" s="1"/>
  <c r="U226" i="209"/>
  <c r="G87" i="388"/>
  <c r="I87" i="388" s="1"/>
  <c r="V85" i="209"/>
  <c r="G79" i="388"/>
  <c r="I79" i="388" s="1"/>
  <c r="V77" i="209"/>
  <c r="G72" i="388"/>
  <c r="I72" i="388" s="1"/>
  <c r="V70" i="209"/>
  <c r="G76" i="388"/>
  <c r="I76" i="388" s="1"/>
  <c r="V74" i="209"/>
  <c r="D94" i="388"/>
  <c r="F94" i="388" s="1"/>
  <c r="U92" i="209"/>
  <c r="D19" i="388"/>
  <c r="F19" i="388" s="1"/>
  <c r="U18" i="209"/>
  <c r="D225" i="388"/>
  <c r="F225" i="388" s="1"/>
  <c r="U224" i="209"/>
  <c r="D219" i="388"/>
  <c r="F219" i="388" s="1"/>
  <c r="U218" i="209"/>
  <c r="G41" i="388"/>
  <c r="I41" i="388" s="1"/>
  <c r="V40" i="209"/>
  <c r="D218" i="388"/>
  <c r="F218" i="388" s="1"/>
  <c r="U217" i="209"/>
  <c r="G58" i="388"/>
  <c r="I58" i="388" s="1"/>
  <c r="V57" i="209"/>
  <c r="D79" i="388"/>
  <c r="F79" i="388" s="1"/>
  <c r="U77" i="209"/>
  <c r="D63" i="388"/>
  <c r="F63" i="388" s="1"/>
  <c r="U62" i="209"/>
  <c r="D66" i="388"/>
  <c r="F66" i="388" s="1"/>
  <c r="U65" i="209"/>
  <c r="D73" i="388"/>
  <c r="F73" i="388" s="1"/>
  <c r="U71" i="209"/>
  <c r="G61" i="388"/>
  <c r="I61" i="388" s="1"/>
  <c r="V60" i="209"/>
  <c r="G70" i="388"/>
  <c r="I70" i="388" s="1"/>
  <c r="V68" i="209"/>
  <c r="D229" i="388"/>
  <c r="F229" i="388" s="1"/>
  <c r="U228" i="209"/>
  <c r="D212" i="388"/>
  <c r="F212" i="388" s="1"/>
  <c r="U211" i="209"/>
  <c r="D205" i="388"/>
  <c r="F205" i="388" s="1"/>
  <c r="U204" i="209"/>
  <c r="D226" i="388"/>
  <c r="F226" i="388" s="1"/>
  <c r="U225" i="209"/>
  <c r="J206" i="388"/>
  <c r="L206" i="388" s="1"/>
  <c r="W205" i="209"/>
  <c r="G67" i="388"/>
  <c r="I67" i="388" s="1"/>
  <c r="V66" i="209"/>
  <c r="D209" i="388"/>
  <c r="F209" i="388" s="1"/>
  <c r="U208" i="209"/>
  <c r="G59" i="388"/>
  <c r="I59" i="388" s="1"/>
  <c r="V58" i="209"/>
  <c r="D75" i="388"/>
  <c r="F75" i="388" s="1"/>
  <c r="U73" i="209"/>
  <c r="G71" i="388"/>
  <c r="I71" i="388" s="1"/>
  <c r="V69" i="209"/>
  <c r="D78" i="388"/>
  <c r="F78" i="388" s="1"/>
  <c r="U76" i="209"/>
  <c r="D170" i="388"/>
  <c r="F170" i="388" s="1"/>
  <c r="U169" i="209"/>
  <c r="D173" i="388"/>
  <c r="F173" i="388" s="1"/>
  <c r="U172" i="209"/>
  <c r="D222" i="388"/>
  <c r="F222" i="388" s="1"/>
  <c r="U221" i="209"/>
  <c r="D204" i="388"/>
  <c r="F204" i="388" s="1"/>
  <c r="U203" i="209"/>
  <c r="D200" i="388"/>
  <c r="F200" i="388" s="1"/>
  <c r="U199" i="209"/>
  <c r="G29" i="388"/>
  <c r="I29" i="388" s="1"/>
  <c r="V28" i="209"/>
  <c r="D65" i="388"/>
  <c r="F65" i="388" s="1"/>
  <c r="U64" i="209"/>
  <c r="D71" i="388"/>
  <c r="F71" i="388" s="1"/>
  <c r="U69" i="209"/>
  <c r="D172" i="388"/>
  <c r="F172" i="388" s="1"/>
  <c r="U171" i="209"/>
  <c r="D207" i="388"/>
  <c r="F207" i="388" s="1"/>
  <c r="U206" i="209"/>
  <c r="D202" i="388"/>
  <c r="F202" i="388" s="1"/>
  <c r="U201" i="209"/>
  <c r="G60" i="388"/>
  <c r="I60" i="388" s="1"/>
  <c r="V59" i="209"/>
  <c r="D213" i="388"/>
  <c r="F213" i="388" s="1"/>
  <c r="U212" i="209"/>
  <c r="D223" i="388"/>
  <c r="F223" i="388" s="1"/>
  <c r="U222" i="209"/>
  <c r="D74" i="388"/>
  <c r="F74" i="388" s="1"/>
  <c r="U72" i="209"/>
  <c r="D171" i="388"/>
  <c r="F171" i="388" s="1"/>
  <c r="U170" i="209"/>
  <c r="D216" i="388"/>
  <c r="F216" i="388" s="1"/>
  <c r="U215" i="209"/>
  <c r="F33" i="150"/>
  <c r="C33" i="444"/>
  <c r="C37" i="444" s="1"/>
  <c r="C43" i="444" s="1"/>
  <c r="C46" i="444" s="1"/>
  <c r="D47" i="444" s="1"/>
  <c r="C48" i="444" s="1"/>
  <c r="C49" i="444" s="1"/>
  <c r="D75" i="209" s="1"/>
  <c r="C33" i="424"/>
  <c r="C37" i="424" s="1"/>
  <c r="C43" i="424" s="1"/>
  <c r="C46" i="424" s="1"/>
  <c r="D47" i="424" s="1"/>
  <c r="C48" i="424" s="1"/>
  <c r="C49" i="424" s="1"/>
  <c r="D66" i="209" s="1"/>
  <c r="C33" i="434"/>
  <c r="C37" i="434" s="1"/>
  <c r="C43" i="434" s="1"/>
  <c r="C46" i="434" s="1"/>
  <c r="D47" i="434" s="1"/>
  <c r="C48" i="434" s="1"/>
  <c r="C49" i="434" s="1"/>
  <c r="D70" i="209" s="1"/>
  <c r="F49" i="317"/>
  <c r="E48" i="317"/>
  <c r="E49" i="317" s="1"/>
  <c r="E130" i="209" s="1"/>
  <c r="F49" i="384"/>
  <c r="E48" i="384"/>
  <c r="E49" i="384" s="1"/>
  <c r="E96" i="209" s="1"/>
  <c r="H49" i="513"/>
  <c r="F33" i="562"/>
  <c r="E33" i="562"/>
  <c r="E37" i="562" s="1"/>
  <c r="E43" i="562" s="1"/>
  <c r="E46" i="562" s="1"/>
  <c r="F47" i="562" s="1"/>
  <c r="E48" i="562" s="1"/>
  <c r="E49" i="562" s="1"/>
  <c r="E93" i="209" s="1"/>
  <c r="V93" i="209" s="1"/>
  <c r="D49" i="562"/>
  <c r="E33" i="560"/>
  <c r="E37" i="560" s="1"/>
  <c r="E43" i="560" s="1"/>
  <c r="E46" i="560" s="1"/>
  <c r="C54" i="393"/>
  <c r="C55" i="393" s="1"/>
  <c r="E32" i="527"/>
  <c r="F38" i="527" s="1"/>
  <c r="F33" i="517"/>
  <c r="F33" i="533"/>
  <c r="F49" i="438"/>
  <c r="F33" i="535"/>
  <c r="D49" i="527"/>
  <c r="D49" i="499"/>
  <c r="F33" i="521"/>
  <c r="D49" i="547"/>
  <c r="D49" i="557"/>
  <c r="F33" i="505"/>
  <c r="D49" i="519"/>
  <c r="E32" i="501"/>
  <c r="F38" i="501" s="1"/>
  <c r="F33" i="507"/>
  <c r="F33" i="523"/>
  <c r="D49" i="531"/>
  <c r="F33" i="509"/>
  <c r="F33" i="529"/>
  <c r="D49" i="549"/>
  <c r="D49" i="529"/>
  <c r="D49" i="539"/>
  <c r="D49" i="555"/>
  <c r="E33" i="529"/>
  <c r="E37" i="529" s="1"/>
  <c r="E43" i="529" s="1"/>
  <c r="E46" i="529" s="1"/>
  <c r="F47" i="529" s="1"/>
  <c r="E48" i="529" s="1"/>
  <c r="E49" i="529" s="1"/>
  <c r="E213" i="209" s="1"/>
  <c r="E33" i="509"/>
  <c r="E37" i="509" s="1"/>
  <c r="E43" i="509" s="1"/>
  <c r="E46" i="509" s="1"/>
  <c r="F47" i="509" s="1"/>
  <c r="E48" i="509" s="1"/>
  <c r="E49" i="509" s="1"/>
  <c r="E203" i="209" s="1"/>
  <c r="E33" i="543"/>
  <c r="E37" i="543" s="1"/>
  <c r="E43" i="543" s="1"/>
  <c r="E46" i="543" s="1"/>
  <c r="F47" i="543" s="1"/>
  <c r="E48" i="543" s="1"/>
  <c r="E49" i="543" s="1"/>
  <c r="E220" i="209" s="1"/>
  <c r="D49" i="537"/>
  <c r="E33" i="515"/>
  <c r="E37" i="515" s="1"/>
  <c r="E43" i="515" s="1"/>
  <c r="E46" i="515" s="1"/>
  <c r="F47" i="515" s="1"/>
  <c r="E48" i="515" s="1"/>
  <c r="E49" i="515" s="1"/>
  <c r="E206" i="209" s="1"/>
  <c r="D49" i="503"/>
  <c r="E33" i="525"/>
  <c r="E37" i="525" s="1"/>
  <c r="E43" i="525" s="1"/>
  <c r="E46" i="525" s="1"/>
  <c r="F47" i="525" s="1"/>
  <c r="E48" i="525" s="1"/>
  <c r="E49" i="525" s="1"/>
  <c r="E211" i="209" s="1"/>
  <c r="E33" i="535"/>
  <c r="E37" i="535" s="1"/>
  <c r="E43" i="535" s="1"/>
  <c r="E46" i="535" s="1"/>
  <c r="F47" i="535" s="1"/>
  <c r="E48" i="535" s="1"/>
  <c r="E49" i="535" s="1"/>
  <c r="E216" i="209" s="1"/>
  <c r="E33" i="505"/>
  <c r="E37" i="505" s="1"/>
  <c r="E43" i="505" s="1"/>
  <c r="E46" i="505" s="1"/>
  <c r="F47" i="505" s="1"/>
  <c r="E48" i="505" s="1"/>
  <c r="E49" i="505" s="1"/>
  <c r="E201" i="209" s="1"/>
  <c r="E33" i="519"/>
  <c r="E37" i="519" s="1"/>
  <c r="E43" i="519" s="1"/>
  <c r="E46" i="519" s="1"/>
  <c r="F47" i="519" s="1"/>
  <c r="E48" i="519" s="1"/>
  <c r="E49" i="519" s="1"/>
  <c r="E208" i="209" s="1"/>
  <c r="E33" i="503"/>
  <c r="E37" i="503" s="1"/>
  <c r="E43" i="503" s="1"/>
  <c r="E46" i="503" s="1"/>
  <c r="F47" i="503" s="1"/>
  <c r="E48" i="503" s="1"/>
  <c r="E49" i="503" s="1"/>
  <c r="E200" i="209" s="1"/>
  <c r="D49" i="501"/>
  <c r="D49" i="511"/>
  <c r="D49" i="393"/>
  <c r="C56" i="393" s="1"/>
  <c r="D49" i="551"/>
  <c r="D49" i="523"/>
  <c r="D49" i="535"/>
  <c r="D49" i="543"/>
  <c r="D49" i="541"/>
  <c r="D49" i="559"/>
  <c r="E32" i="545"/>
  <c r="F38" i="545" s="1"/>
  <c r="F33" i="545"/>
  <c r="F33" i="541"/>
  <c r="E32" i="541"/>
  <c r="F38" i="541" s="1"/>
  <c r="D49" i="505"/>
  <c r="E32" i="557"/>
  <c r="F38" i="557" s="1"/>
  <c r="F33" i="557"/>
  <c r="E32" i="499"/>
  <c r="F38" i="499" s="1"/>
  <c r="F33" i="499"/>
  <c r="E32" i="551"/>
  <c r="F38" i="551" s="1"/>
  <c r="F33" i="551"/>
  <c r="D49" i="525"/>
  <c r="D49" i="515"/>
  <c r="E33" i="521"/>
  <c r="E37" i="521" s="1"/>
  <c r="E43" i="521" s="1"/>
  <c r="E46" i="521" s="1"/>
  <c r="F47" i="521" s="1"/>
  <c r="E48" i="521" s="1"/>
  <c r="E49" i="521" s="1"/>
  <c r="E209" i="209" s="1"/>
  <c r="F33" i="549"/>
  <c r="E32" i="549"/>
  <c r="F38" i="549" s="1"/>
  <c r="D49" i="513"/>
  <c r="E33" i="533"/>
  <c r="E37" i="533" s="1"/>
  <c r="E43" i="533" s="1"/>
  <c r="E46" i="533" s="1"/>
  <c r="F47" i="533" s="1"/>
  <c r="E48" i="533" s="1"/>
  <c r="E49" i="533" s="1"/>
  <c r="E215" i="209" s="1"/>
  <c r="D49" i="509"/>
  <c r="F49" i="410"/>
  <c r="F49" i="430"/>
  <c r="E32" i="547"/>
  <c r="F38" i="547" s="1"/>
  <c r="F33" i="547"/>
  <c r="E33" i="539"/>
  <c r="E37" i="539" s="1"/>
  <c r="E43" i="539" s="1"/>
  <c r="E46" i="539" s="1"/>
  <c r="F47" i="539" s="1"/>
  <c r="E48" i="539" s="1"/>
  <c r="E49" i="539" s="1"/>
  <c r="E218" i="209" s="1"/>
  <c r="D49" i="521"/>
  <c r="E32" i="537"/>
  <c r="F38" i="537" s="1"/>
  <c r="F33" i="537"/>
  <c r="E32" i="531"/>
  <c r="F38" i="531" s="1"/>
  <c r="F33" i="531"/>
  <c r="D49" i="517"/>
  <c r="E33" i="507"/>
  <c r="E37" i="507" s="1"/>
  <c r="E43" i="507" s="1"/>
  <c r="E46" i="507" s="1"/>
  <c r="F47" i="507" s="1"/>
  <c r="E48" i="507" s="1"/>
  <c r="E49" i="507" s="1"/>
  <c r="E202" i="209" s="1"/>
  <c r="E32" i="511"/>
  <c r="F38" i="511" s="1"/>
  <c r="F33" i="511"/>
  <c r="D49" i="545"/>
  <c r="E32" i="555"/>
  <c r="F38" i="555" s="1"/>
  <c r="F33" i="555"/>
  <c r="E33" i="517"/>
  <c r="E37" i="517" s="1"/>
  <c r="E43" i="517" s="1"/>
  <c r="E46" i="517" s="1"/>
  <c r="F47" i="517" s="1"/>
  <c r="E48" i="517" s="1"/>
  <c r="E49" i="517" s="1"/>
  <c r="E207" i="209" s="1"/>
  <c r="F33" i="513"/>
  <c r="E32" i="513"/>
  <c r="F38" i="513" s="1"/>
  <c r="E33" i="523"/>
  <c r="E37" i="523" s="1"/>
  <c r="E43" i="523" s="1"/>
  <c r="E46" i="523" s="1"/>
  <c r="F47" i="523" s="1"/>
  <c r="E48" i="523" s="1"/>
  <c r="E49" i="523" s="1"/>
  <c r="E210" i="209" s="1"/>
  <c r="F33" i="559"/>
  <c r="E32" i="559"/>
  <c r="F38" i="559" s="1"/>
  <c r="D49" i="507"/>
  <c r="D49" i="533"/>
  <c r="C54" i="405"/>
  <c r="C55" i="405" s="1"/>
  <c r="D24" i="209"/>
  <c r="C54" i="397"/>
  <c r="C55" i="397" s="1"/>
  <c r="D20" i="209"/>
  <c r="C54" i="400"/>
  <c r="C55" i="400" s="1"/>
  <c r="D21" i="209"/>
  <c r="C54" i="395"/>
  <c r="C55" i="395" s="1"/>
  <c r="D19" i="209"/>
  <c r="C54" i="402"/>
  <c r="C55" i="402" s="1"/>
  <c r="D22" i="209"/>
  <c r="C54" i="404"/>
  <c r="C55" i="404" s="1"/>
  <c r="D23" i="209"/>
  <c r="C54" i="391"/>
  <c r="C55" i="391" s="1"/>
  <c r="D17" i="209"/>
  <c r="C54" i="389"/>
  <c r="C55" i="389" s="1"/>
  <c r="D16" i="209"/>
  <c r="F33" i="470"/>
  <c r="E48" i="297"/>
  <c r="E49" i="297" s="1"/>
  <c r="E192" i="209" s="1"/>
  <c r="D49" i="460"/>
  <c r="D49" i="404"/>
  <c r="C56" i="404" s="1"/>
  <c r="D49" i="462"/>
  <c r="D49" i="466"/>
  <c r="D49" i="468"/>
  <c r="F33" i="393"/>
  <c r="D49" i="474"/>
  <c r="D49" i="446"/>
  <c r="D49" i="422"/>
  <c r="D49" i="400"/>
  <c r="C56" i="400" s="1"/>
  <c r="D49" i="450"/>
  <c r="D49" i="456"/>
  <c r="D49" i="442"/>
  <c r="D49" i="410"/>
  <c r="D49" i="414"/>
  <c r="D49" i="454"/>
  <c r="F49" i="412"/>
  <c r="E32" i="464"/>
  <c r="F38" i="464" s="1"/>
  <c r="F33" i="464"/>
  <c r="D49" i="472"/>
  <c r="E32" i="474"/>
  <c r="F38" i="474" s="1"/>
  <c r="F33" i="474"/>
  <c r="E32" i="472"/>
  <c r="F38" i="472" s="1"/>
  <c r="F33" i="472"/>
  <c r="E32" i="466"/>
  <c r="F38" i="466" s="1"/>
  <c r="F33" i="466"/>
  <c r="D49" i="438"/>
  <c r="E32" i="478"/>
  <c r="F38" i="478" s="1"/>
  <c r="F33" i="478"/>
  <c r="D49" i="464"/>
  <c r="D49" i="470"/>
  <c r="E32" i="462"/>
  <c r="F38" i="462" s="1"/>
  <c r="F33" i="462"/>
  <c r="D49" i="478"/>
  <c r="E32" i="468"/>
  <c r="F38" i="468" s="1"/>
  <c r="F33" i="468"/>
  <c r="F49" i="432"/>
  <c r="D49" i="476"/>
  <c r="E32" i="454"/>
  <c r="F38" i="454" s="1"/>
  <c r="F33" i="454"/>
  <c r="E33" i="476"/>
  <c r="E37" i="476" s="1"/>
  <c r="E43" i="476" s="1"/>
  <c r="E46" i="476" s="1"/>
  <c r="F47" i="476" s="1"/>
  <c r="E48" i="476" s="1"/>
  <c r="E49" i="476" s="1"/>
  <c r="E173" i="209" s="1"/>
  <c r="E32" i="456"/>
  <c r="F38" i="456" s="1"/>
  <c r="F33" i="456"/>
  <c r="E32" i="460"/>
  <c r="F38" i="460" s="1"/>
  <c r="F33" i="460"/>
  <c r="E33" i="470"/>
  <c r="E37" i="470" s="1"/>
  <c r="E43" i="470" s="1"/>
  <c r="E46" i="470" s="1"/>
  <c r="F47" i="470" s="1"/>
  <c r="E48" i="470" s="1"/>
  <c r="E49" i="470" s="1"/>
  <c r="E170" i="209" s="1"/>
  <c r="D49" i="436"/>
  <c r="F49" i="434"/>
  <c r="F49" i="442"/>
  <c r="D49" i="440"/>
  <c r="D49" i="424"/>
  <c r="D49" i="453"/>
  <c r="D49" i="430"/>
  <c r="D49" i="448"/>
  <c r="F49" i="453"/>
  <c r="D49" i="418"/>
  <c r="D49" i="416"/>
  <c r="D49" i="405"/>
  <c r="C56" i="405" s="1"/>
  <c r="D49" i="412"/>
  <c r="D49" i="432"/>
  <c r="F33" i="391"/>
  <c r="F49" i="448"/>
  <c r="D49" i="397"/>
  <c r="C56" i="397" s="1"/>
  <c r="F49" i="424"/>
  <c r="F33" i="397"/>
  <c r="D49" i="420"/>
  <c r="D49" i="426"/>
  <c r="F49" i="446"/>
  <c r="E33" i="391"/>
  <c r="E37" i="391" s="1"/>
  <c r="E43" i="391" s="1"/>
  <c r="E46" i="391" s="1"/>
  <c r="F47" i="391" s="1"/>
  <c r="E48" i="391" s="1"/>
  <c r="E49" i="391" s="1"/>
  <c r="E17" i="209" s="1"/>
  <c r="D49" i="391"/>
  <c r="C56" i="391" s="1"/>
  <c r="E33" i="397"/>
  <c r="E37" i="397" s="1"/>
  <c r="E43" i="397" s="1"/>
  <c r="E46" i="397" s="1"/>
  <c r="F47" i="397" s="1"/>
  <c r="E48" i="397" s="1"/>
  <c r="E49" i="397" s="1"/>
  <c r="E20" i="209" s="1"/>
  <c r="D49" i="402"/>
  <c r="C56" i="402" s="1"/>
  <c r="E33" i="264"/>
  <c r="E37" i="264" s="1"/>
  <c r="E43" i="264" s="1"/>
  <c r="E46" i="264" s="1"/>
  <c r="F47" i="264" s="1"/>
  <c r="E48" i="264" s="1"/>
  <c r="E49" i="264" s="1"/>
  <c r="E119" i="209" s="1"/>
  <c r="F33" i="264"/>
  <c r="D49" i="395"/>
  <c r="C56" i="395" s="1"/>
  <c r="D49" i="389"/>
  <c r="C56" i="389" s="1"/>
  <c r="E33" i="395"/>
  <c r="E37" i="395" s="1"/>
  <c r="E43" i="395" s="1"/>
  <c r="E46" i="395" s="1"/>
  <c r="F47" i="395" s="1"/>
  <c r="E48" i="395" s="1"/>
  <c r="E49" i="395" s="1"/>
  <c r="E19" i="209" s="1"/>
  <c r="E33" i="393"/>
  <c r="E37" i="393" s="1"/>
  <c r="E43" i="393" s="1"/>
  <c r="E46" i="393" s="1"/>
  <c r="F47" i="393" s="1"/>
  <c r="E48" i="393" s="1"/>
  <c r="E49" i="393" s="1"/>
  <c r="E18" i="209" s="1"/>
  <c r="E53" i="402"/>
  <c r="E53" i="391"/>
  <c r="E53" i="389"/>
  <c r="E53" i="400"/>
  <c r="E53" i="405"/>
  <c r="E53" i="404"/>
  <c r="E53" i="397"/>
  <c r="E53" i="395"/>
  <c r="E53" i="393"/>
  <c r="E32" i="389"/>
  <c r="F38" i="389" s="1"/>
  <c r="F33" i="389"/>
  <c r="E32" i="400"/>
  <c r="F38" i="400" s="1"/>
  <c r="F33" i="400"/>
  <c r="E32" i="402"/>
  <c r="F38" i="402" s="1"/>
  <c r="F33" i="402"/>
  <c r="E32" i="404"/>
  <c r="F38" i="404" s="1"/>
  <c r="F33" i="404"/>
  <c r="E32" i="405"/>
  <c r="F38" i="405" s="1"/>
  <c r="F33" i="405"/>
  <c r="G9" i="290"/>
  <c r="I9" i="290" s="1"/>
  <c r="E53" i="145"/>
  <c r="E48" i="199"/>
  <c r="E49" i="199" s="1"/>
  <c r="E38" i="209" s="1"/>
  <c r="F49" i="199"/>
  <c r="E33" i="155"/>
  <c r="E37" i="155" s="1"/>
  <c r="E43" i="155" s="1"/>
  <c r="E46" i="155" s="1"/>
  <c r="F47" i="155" s="1"/>
  <c r="F49" i="155" s="1"/>
  <c r="F33" i="155"/>
  <c r="F49" i="181"/>
  <c r="F49" i="176"/>
  <c r="E48" i="176"/>
  <c r="E49" i="176" s="1"/>
  <c r="E81" i="209" s="1"/>
  <c r="E48" i="282"/>
  <c r="E49" i="282" s="1"/>
  <c r="E127" i="209" s="1"/>
  <c r="E33" i="301"/>
  <c r="E37" i="301" s="1"/>
  <c r="E43" i="301" s="1"/>
  <c r="E46" i="301" s="1"/>
  <c r="F47" i="301" s="1"/>
  <c r="E48" i="301" s="1"/>
  <c r="E49" i="301" s="1"/>
  <c r="F49" i="171"/>
  <c r="F33" i="301"/>
  <c r="F49" i="207"/>
  <c r="E48" i="207"/>
  <c r="E49" i="207" s="1"/>
  <c r="E56" i="209" s="1"/>
  <c r="F33" i="179"/>
  <c r="F49" i="167"/>
  <c r="F49" i="148"/>
  <c r="F49" i="172"/>
  <c r="E48" i="172"/>
  <c r="E49" i="172" s="1"/>
  <c r="E88" i="209" s="1"/>
  <c r="E32" i="205"/>
  <c r="F38" i="205" s="1"/>
  <c r="F49" i="309"/>
  <c r="F49" i="186"/>
  <c r="E33" i="179"/>
  <c r="E37" i="179" s="1"/>
  <c r="E43" i="179" s="1"/>
  <c r="E46" i="179" s="1"/>
  <c r="F47" i="179" s="1"/>
  <c r="E48" i="179" s="1"/>
  <c r="E49" i="179" s="1"/>
  <c r="E84" i="209" s="1"/>
  <c r="F49" i="319"/>
  <c r="E48" i="355"/>
  <c r="E49" i="355" s="1"/>
  <c r="E149" i="209" s="1"/>
  <c r="F49" i="333"/>
  <c r="F49" i="196"/>
  <c r="F49" i="208"/>
  <c r="F49" i="149"/>
  <c r="F49" i="157"/>
  <c r="E48" i="191"/>
  <c r="E49" i="191" s="1"/>
  <c r="E29" i="209" s="1"/>
  <c r="E32" i="203"/>
  <c r="F38" i="203" s="1"/>
  <c r="E48" i="277"/>
  <c r="E49" i="277" s="1"/>
  <c r="E125" i="209" s="1"/>
  <c r="F49" i="201"/>
  <c r="F49" i="254"/>
  <c r="E32" i="195"/>
  <c r="F33" i="195"/>
  <c r="E48" i="331"/>
  <c r="E49" i="331" s="1"/>
  <c r="E137" i="209" s="1"/>
  <c r="E124" i="209"/>
  <c r="E37" i="209"/>
  <c r="E160" i="209"/>
  <c r="E87" i="209"/>
  <c r="E35" i="209"/>
  <c r="E185" i="209"/>
  <c r="E189" i="209"/>
  <c r="E109" i="209"/>
  <c r="E153" i="209"/>
  <c r="E179" i="209"/>
  <c r="E41" i="209"/>
  <c r="E150" i="209"/>
  <c r="E55" i="209"/>
  <c r="E114" i="209"/>
  <c r="E44" i="209"/>
  <c r="E141" i="209"/>
  <c r="F49" i="161"/>
  <c r="F33" i="299"/>
  <c r="F49" i="175"/>
  <c r="F49" i="359"/>
  <c r="E33" i="299"/>
  <c r="E37" i="299" s="1"/>
  <c r="E43" i="299" s="1"/>
  <c r="E46" i="299" s="1"/>
  <c r="F47" i="299" s="1"/>
  <c r="F49" i="299" s="1"/>
  <c r="F49" i="246"/>
  <c r="F49" i="378"/>
  <c r="F49" i="190"/>
  <c r="E33" i="240"/>
  <c r="E37" i="240" s="1"/>
  <c r="E43" i="240" s="1"/>
  <c r="E46" i="240" s="1"/>
  <c r="F47" i="240" s="1"/>
  <c r="E48" i="240" s="1"/>
  <c r="E49" i="240" s="1"/>
  <c r="E53" i="144"/>
  <c r="E33" i="177"/>
  <c r="E37" i="177" s="1"/>
  <c r="E43" i="177" s="1"/>
  <c r="E46" i="177" s="1"/>
  <c r="F47" i="177" s="1"/>
  <c r="F49" i="177" s="1"/>
  <c r="E53" i="137"/>
  <c r="E53" i="138"/>
  <c r="E32" i="144"/>
  <c r="F38" i="144" s="1"/>
  <c r="F33" i="260"/>
  <c r="E48" i="164"/>
  <c r="E49" i="164" s="1"/>
  <c r="E53" i="142"/>
  <c r="F33" i="240"/>
  <c r="E53" i="212"/>
  <c r="E48" i="153"/>
  <c r="E49" i="153" s="1"/>
  <c r="F49" i="275"/>
  <c r="E33" i="260"/>
  <c r="E37" i="260" s="1"/>
  <c r="E43" i="260" s="1"/>
  <c r="E46" i="260" s="1"/>
  <c r="F47" i="260" s="1"/>
  <c r="E48" i="260" s="1"/>
  <c r="E49" i="260" s="1"/>
  <c r="E53" i="146"/>
  <c r="E32" i="323"/>
  <c r="F38" i="323" s="1"/>
  <c r="F49" i="339"/>
  <c r="E33" i="145"/>
  <c r="E37" i="145" s="1"/>
  <c r="E43" i="145" s="1"/>
  <c r="E46" i="145" s="1"/>
  <c r="F47" i="145" s="1"/>
  <c r="E48" i="145" s="1"/>
  <c r="E49" i="145" s="1"/>
  <c r="F49" i="197"/>
  <c r="F49" i="357"/>
  <c r="E48" i="353"/>
  <c r="E49" i="353" s="1"/>
  <c r="E32" i="305"/>
  <c r="F38" i="305" s="1"/>
  <c r="F33" i="305"/>
  <c r="E48" i="187"/>
  <c r="E49" i="187" s="1"/>
  <c r="F33" i="345"/>
  <c r="E33" i="345"/>
  <c r="E37" i="345" s="1"/>
  <c r="E43" i="345" s="1"/>
  <c r="E46" i="345" s="1"/>
  <c r="F47" i="345" s="1"/>
  <c r="E48" i="345" s="1"/>
  <c r="E49" i="345" s="1"/>
  <c r="E48" i="244"/>
  <c r="E49" i="244" s="1"/>
  <c r="E32" i="347"/>
  <c r="F38" i="347" s="1"/>
  <c r="F49" i="194"/>
  <c r="E32" i="202"/>
  <c r="F38" i="202" s="1"/>
  <c r="F33" i="202"/>
  <c r="F33" i="189"/>
  <c r="E32" i="189"/>
  <c r="E32" i="151"/>
  <c r="F38" i="151" s="1"/>
  <c r="F33" i="151"/>
  <c r="E32" i="369"/>
  <c r="F38" i="369" s="1"/>
  <c r="F33" i="369"/>
  <c r="E32" i="351"/>
  <c r="F38" i="351" s="1"/>
  <c r="F33" i="351"/>
  <c r="E32" i="365"/>
  <c r="F38" i="365" s="1"/>
  <c r="F33" i="365"/>
  <c r="F33" i="266"/>
  <c r="E32" i="266"/>
  <c r="E32" i="335"/>
  <c r="F38" i="335" s="1"/>
  <c r="F33" i="335"/>
  <c r="E32" i="268"/>
  <c r="F38" i="268" s="1"/>
  <c r="F33" i="268"/>
  <c r="E32" i="371"/>
  <c r="F38" i="371" s="1"/>
  <c r="F33" i="371"/>
  <c r="F33" i="307"/>
  <c r="E32" i="307"/>
  <c r="E32" i="382"/>
  <c r="F38" i="382" s="1"/>
  <c r="F33" i="382"/>
  <c r="E32" i="321"/>
  <c r="F33" i="321"/>
  <c r="E48" i="147"/>
  <c r="E49" i="147" s="1"/>
  <c r="D61" i="147" s="1"/>
  <c r="D65" i="147" s="1"/>
  <c r="E33" i="188"/>
  <c r="E37" i="188" s="1"/>
  <c r="E43" i="188" s="1"/>
  <c r="E46" i="188" s="1"/>
  <c r="F47" i="188" s="1"/>
  <c r="F49" i="188" s="1"/>
  <c r="E33" i="200"/>
  <c r="E37" i="200" s="1"/>
  <c r="E43" i="200" s="1"/>
  <c r="E46" i="200" s="1"/>
  <c r="F47" i="200" s="1"/>
  <c r="F49" i="200" s="1"/>
  <c r="E10" i="291"/>
  <c r="E37" i="170"/>
  <c r="E43" i="170" s="1"/>
  <c r="E46" i="170" s="1"/>
  <c r="F47" i="170" s="1"/>
  <c r="F49" i="170" s="1"/>
  <c r="F49" i="363"/>
  <c r="F49" i="386"/>
  <c r="E48" i="221"/>
  <c r="E49" i="221" s="1"/>
  <c r="E33" i="327"/>
  <c r="E37" i="327" s="1"/>
  <c r="E43" i="327" s="1"/>
  <c r="E46" i="327" s="1"/>
  <c r="F47" i="327" s="1"/>
  <c r="F33" i="325"/>
  <c r="E32" i="325"/>
  <c r="F38" i="325" s="1"/>
  <c r="E32" i="227"/>
  <c r="F38" i="227" s="1"/>
  <c r="F33" i="227"/>
  <c r="E33" i="168"/>
  <c r="E37" i="168" s="1"/>
  <c r="E43" i="168" s="1"/>
  <c r="E46" i="168" s="1"/>
  <c r="F47" i="168" s="1"/>
  <c r="E32" i="165"/>
  <c r="F38" i="165" s="1"/>
  <c r="F33" i="165"/>
  <c r="E32" i="284"/>
  <c r="F38" i="284" s="1"/>
  <c r="F33" i="284"/>
  <c r="E32" i="152"/>
  <c r="F33" i="152"/>
  <c r="F33" i="341"/>
  <c r="E32" i="341"/>
  <c r="E32" i="311"/>
  <c r="F38" i="311" s="1"/>
  <c r="F33" i="311"/>
  <c r="E32" i="156"/>
  <c r="F38" i="156" s="1"/>
  <c r="F33" i="156"/>
  <c r="F33" i="238"/>
  <c r="E32" i="238"/>
  <c r="E32" i="192"/>
  <c r="F33" i="192"/>
  <c r="E32" i="380"/>
  <c r="F38" i="380" s="1"/>
  <c r="F33" i="380"/>
  <c r="E48" i="218"/>
  <c r="E49" i="218" s="1"/>
  <c r="F49" i="218"/>
  <c r="E32" i="271"/>
  <c r="F38" i="271" s="1"/>
  <c r="F33" i="271"/>
  <c r="E33" i="361"/>
  <c r="E37" i="361" s="1"/>
  <c r="E43" i="361" s="1"/>
  <c r="E46" i="361" s="1"/>
  <c r="F47" i="361" s="1"/>
  <c r="F49" i="233"/>
  <c r="E32" i="184"/>
  <c r="F38" i="184" s="1"/>
  <c r="F33" i="184"/>
  <c r="F33" i="373"/>
  <c r="E32" i="373"/>
  <c r="F38" i="373" s="1"/>
  <c r="F49" i="231"/>
  <c r="E32" i="376"/>
  <c r="F38" i="376" s="1"/>
  <c r="F33" i="376"/>
  <c r="E32" i="159"/>
  <c r="F38" i="159" s="1"/>
  <c r="F33" i="159"/>
  <c r="E32" i="367"/>
  <c r="F38" i="367" s="1"/>
  <c r="F33" i="367"/>
  <c r="E32" i="343"/>
  <c r="F38" i="343" s="1"/>
  <c r="F33" i="343"/>
  <c r="E33" i="279"/>
  <c r="E37" i="279" s="1"/>
  <c r="E43" i="279" s="1"/>
  <c r="E46" i="279" s="1"/>
  <c r="F47" i="279" s="1"/>
  <c r="E32" i="236"/>
  <c r="F38" i="236" s="1"/>
  <c r="F33" i="236"/>
  <c r="E32" i="142"/>
  <c r="F38" i="142" s="1"/>
  <c r="F33" i="142"/>
  <c r="E32" i="162"/>
  <c r="F38" i="162" s="1"/>
  <c r="F33" i="162"/>
  <c r="E32" i="337"/>
  <c r="F38" i="337" s="1"/>
  <c r="F33" i="337"/>
  <c r="E32" i="166"/>
  <c r="F38" i="166" s="1"/>
  <c r="F33" i="166"/>
  <c r="E32" i="258"/>
  <c r="F38" i="258" s="1"/>
  <c r="F33" i="258"/>
  <c r="E32" i="185"/>
  <c r="F38" i="185" s="1"/>
  <c r="F33" i="185"/>
  <c r="E32" i="146"/>
  <c r="F38" i="146" s="1"/>
  <c r="F33" i="146"/>
  <c r="E32" i="182"/>
  <c r="F38" i="182" s="1"/>
  <c r="F33" i="182"/>
  <c r="F33" i="173"/>
  <c r="E32" i="173"/>
  <c r="E32" i="163"/>
  <c r="F38" i="163" s="1"/>
  <c r="F33" i="163"/>
  <c r="E32" i="139"/>
  <c r="F38" i="139" s="1"/>
  <c r="F33" i="139"/>
  <c r="E32" i="138"/>
  <c r="F38" i="138" s="1"/>
  <c r="F33" i="138"/>
  <c r="E32" i="158"/>
  <c r="F38" i="158" s="1"/>
  <c r="F33" i="158"/>
  <c r="E32" i="295"/>
  <c r="F38" i="295" s="1"/>
  <c r="F33" i="295"/>
  <c r="E32" i="198"/>
  <c r="F38" i="198" s="1"/>
  <c r="F33" i="198"/>
  <c r="E32" i="229"/>
  <c r="F38" i="229" s="1"/>
  <c r="F33" i="229"/>
  <c r="E32" i="225"/>
  <c r="F33" i="225"/>
  <c r="E35" i="215"/>
  <c r="E32" i="303"/>
  <c r="F38" i="303" s="1"/>
  <c r="F33" i="303"/>
  <c r="E32" i="206"/>
  <c r="F38" i="206" s="1"/>
  <c r="F33" i="206"/>
  <c r="E32" i="140"/>
  <c r="F38" i="140" s="1"/>
  <c r="F33" i="140"/>
  <c r="E32" i="242"/>
  <c r="F33" i="242"/>
  <c r="E32" i="180"/>
  <c r="F38" i="180" s="1"/>
  <c r="F33" i="180"/>
  <c r="E32" i="160"/>
  <c r="F38" i="160" s="1"/>
  <c r="F33" i="160"/>
  <c r="E32" i="250"/>
  <c r="F38" i="250" s="1"/>
  <c r="F33" i="250"/>
  <c r="E32" i="273"/>
  <c r="F38" i="273" s="1"/>
  <c r="F33" i="273"/>
  <c r="E32" i="204"/>
  <c r="F38" i="204" s="1"/>
  <c r="F33" i="204"/>
  <c r="E32" i="193"/>
  <c r="F38" i="193" s="1"/>
  <c r="F33" i="193"/>
  <c r="E32" i="262"/>
  <c r="F33" i="262"/>
  <c r="E32" i="223"/>
  <c r="F38" i="223" s="1"/>
  <c r="F33" i="223"/>
  <c r="E32" i="174"/>
  <c r="F38" i="174" s="1"/>
  <c r="F33" i="174"/>
  <c r="E32" i="315"/>
  <c r="F33" i="315"/>
  <c r="E32" i="169"/>
  <c r="F33" i="169"/>
  <c r="R7" i="2"/>
  <c r="J7" i="2"/>
  <c r="E32" i="329"/>
  <c r="F33" i="329"/>
  <c r="E32" i="141"/>
  <c r="F38" i="141" s="1"/>
  <c r="F33" i="141"/>
  <c r="E32" i="212"/>
  <c r="F38" i="212" s="1"/>
  <c r="F33" i="212"/>
  <c r="E32" i="313"/>
  <c r="F38" i="313" s="1"/>
  <c r="F33" i="313"/>
  <c r="E32" i="249"/>
  <c r="F38" i="249" s="1"/>
  <c r="F33" i="249"/>
  <c r="E32" i="137"/>
  <c r="F38" i="137" s="1"/>
  <c r="F33" i="137"/>
  <c r="E32" i="349"/>
  <c r="F38" i="349" s="1"/>
  <c r="F33" i="349"/>
  <c r="F49" i="256"/>
  <c r="E48" i="256"/>
  <c r="E49" i="256" s="1"/>
  <c r="E48" i="183"/>
  <c r="E49" i="183" s="1"/>
  <c r="F49" i="183"/>
  <c r="E48" i="150"/>
  <c r="E49" i="150" s="1"/>
  <c r="F49" i="150"/>
  <c r="E178" i="209"/>
  <c r="E184" i="209"/>
  <c r="E113" i="209"/>
  <c r="E100" i="209"/>
  <c r="E83" i="209"/>
  <c r="E151" i="209"/>
  <c r="E138" i="209"/>
  <c r="D77" i="388" l="1"/>
  <c r="F77" i="388" s="1"/>
  <c r="U75" i="209"/>
  <c r="G139" i="388"/>
  <c r="I139" i="388" s="1"/>
  <c r="V138" i="209"/>
  <c r="G42" i="388"/>
  <c r="I42" i="388" s="1"/>
  <c r="V41" i="209"/>
  <c r="G161" i="388"/>
  <c r="I161" i="388" s="1"/>
  <c r="V160" i="209"/>
  <c r="G126" i="388"/>
  <c r="I126" i="388" s="1"/>
  <c r="V125" i="209"/>
  <c r="G150" i="388"/>
  <c r="I150" i="388" s="1"/>
  <c r="V149" i="209"/>
  <c r="G128" i="388"/>
  <c r="I128" i="388" s="1"/>
  <c r="V127" i="209"/>
  <c r="G207" i="388"/>
  <c r="I207" i="388" s="1"/>
  <c r="V206" i="209"/>
  <c r="D22" i="388"/>
  <c r="F22" i="388" s="1"/>
  <c r="U21" i="209"/>
  <c r="G152" i="388"/>
  <c r="I152" i="388" s="1"/>
  <c r="V151" i="209"/>
  <c r="G180" i="388"/>
  <c r="I180" i="388" s="1"/>
  <c r="V179" i="209"/>
  <c r="G38" i="388"/>
  <c r="I38" i="388" s="1"/>
  <c r="V37" i="209"/>
  <c r="G83" i="388"/>
  <c r="I83" i="388" s="1"/>
  <c r="V81" i="209"/>
  <c r="D24" i="388"/>
  <c r="F24" i="388" s="1"/>
  <c r="U23" i="209"/>
  <c r="D21" i="388"/>
  <c r="F21" i="388" s="1"/>
  <c r="U20" i="209"/>
  <c r="G211" i="388"/>
  <c r="I211" i="388" s="1"/>
  <c r="V210" i="209"/>
  <c r="G219" i="388"/>
  <c r="I219" i="388" s="1"/>
  <c r="V218" i="209"/>
  <c r="G97" i="388"/>
  <c r="I97" i="388" s="1"/>
  <c r="V96" i="209"/>
  <c r="G89" i="388"/>
  <c r="I89" i="388" s="1"/>
  <c r="V87" i="209"/>
  <c r="G154" i="388"/>
  <c r="I154" i="388" s="1"/>
  <c r="V153" i="209"/>
  <c r="G125" i="388"/>
  <c r="I125" i="388" s="1"/>
  <c r="V124" i="209"/>
  <c r="G30" i="388"/>
  <c r="I30" i="388" s="1"/>
  <c r="V29" i="209"/>
  <c r="G86" i="388"/>
  <c r="I86" i="388" s="1"/>
  <c r="V84" i="209"/>
  <c r="G120" i="388"/>
  <c r="I120" i="388" s="1"/>
  <c r="V119" i="209"/>
  <c r="G174" i="388"/>
  <c r="I174" i="388" s="1"/>
  <c r="V173" i="209"/>
  <c r="G203" i="388"/>
  <c r="I203" i="388" s="1"/>
  <c r="V202" i="209"/>
  <c r="G201" i="388"/>
  <c r="I201" i="388" s="1"/>
  <c r="V200" i="209"/>
  <c r="G221" i="388"/>
  <c r="I221" i="388" s="1"/>
  <c r="V220" i="209"/>
  <c r="G39" i="388"/>
  <c r="I39" i="388" s="1"/>
  <c r="V38" i="209"/>
  <c r="D18" i="388"/>
  <c r="F18" i="388" s="1"/>
  <c r="U17" i="209"/>
  <c r="G101" i="388"/>
  <c r="I101" i="388" s="1"/>
  <c r="V100" i="209"/>
  <c r="G142" i="388"/>
  <c r="I142" i="388" s="1"/>
  <c r="V141" i="209"/>
  <c r="G110" i="388"/>
  <c r="I110" i="388" s="1"/>
  <c r="V109" i="209"/>
  <c r="G138" i="388"/>
  <c r="I138" i="388" s="1"/>
  <c r="V137" i="209"/>
  <c r="G57" i="388"/>
  <c r="I57" i="388" s="1"/>
  <c r="V56" i="209"/>
  <c r="G193" i="388"/>
  <c r="I193" i="388" s="1"/>
  <c r="V192" i="209"/>
  <c r="D23" i="388"/>
  <c r="F23" i="388" s="1"/>
  <c r="U22" i="209"/>
  <c r="D25" i="388"/>
  <c r="F25" i="388" s="1"/>
  <c r="U24" i="209"/>
  <c r="G210" i="388"/>
  <c r="I210" i="388" s="1"/>
  <c r="V209" i="209"/>
  <c r="G209" i="388"/>
  <c r="I209" i="388" s="1"/>
  <c r="V208" i="209"/>
  <c r="G204" i="388"/>
  <c r="I204" i="388" s="1"/>
  <c r="V203" i="209"/>
  <c r="G131" i="388"/>
  <c r="I131" i="388" s="1"/>
  <c r="V130" i="209"/>
  <c r="G216" i="388"/>
  <c r="I216" i="388" s="1"/>
  <c r="V215" i="209"/>
  <c r="G85" i="388"/>
  <c r="I85" i="388" s="1"/>
  <c r="V83" i="209"/>
  <c r="G114" i="388"/>
  <c r="I114" i="388" s="1"/>
  <c r="V113" i="209"/>
  <c r="G45" i="388"/>
  <c r="I45" i="388" s="1"/>
  <c r="V44" i="209"/>
  <c r="G190" i="388"/>
  <c r="I190" i="388" s="1"/>
  <c r="V189" i="209"/>
  <c r="G21" i="388"/>
  <c r="I21" i="388" s="1"/>
  <c r="V20" i="209"/>
  <c r="G208" i="388"/>
  <c r="I208" i="388" s="1"/>
  <c r="V207" i="209"/>
  <c r="G202" i="388"/>
  <c r="I202" i="388" s="1"/>
  <c r="V201" i="209"/>
  <c r="G214" i="388"/>
  <c r="I214" i="388" s="1"/>
  <c r="V213" i="209"/>
  <c r="G151" i="388"/>
  <c r="I151" i="388" s="1"/>
  <c r="V150" i="209"/>
  <c r="G185" i="388"/>
  <c r="I185" i="388" s="1"/>
  <c r="V184" i="209"/>
  <c r="G115" i="388"/>
  <c r="I115" i="388" s="1"/>
  <c r="V114" i="209"/>
  <c r="G186" i="388"/>
  <c r="I186" i="388" s="1"/>
  <c r="V185" i="209"/>
  <c r="G19" i="388"/>
  <c r="I19" i="388" s="1"/>
  <c r="V18" i="209"/>
  <c r="G171" i="388"/>
  <c r="I171" i="388" s="1"/>
  <c r="V170" i="209"/>
  <c r="D17" i="388"/>
  <c r="F17" i="388" s="1"/>
  <c r="U16" i="209"/>
  <c r="D20" i="388"/>
  <c r="F20" i="388" s="1"/>
  <c r="U19" i="209"/>
  <c r="G217" i="388"/>
  <c r="I217" i="388" s="1"/>
  <c r="V216" i="209"/>
  <c r="D72" i="388"/>
  <c r="F72" i="388" s="1"/>
  <c r="U70" i="209"/>
  <c r="G179" i="388"/>
  <c r="I179" i="388" s="1"/>
  <c r="V178" i="209"/>
  <c r="G56" i="388"/>
  <c r="I56" i="388" s="1"/>
  <c r="V55" i="209"/>
  <c r="G36" i="388"/>
  <c r="I36" i="388" s="1"/>
  <c r="V35" i="209"/>
  <c r="G90" i="388"/>
  <c r="I90" i="388" s="1"/>
  <c r="V88" i="209"/>
  <c r="G20" i="388"/>
  <c r="I20" i="388" s="1"/>
  <c r="V19" i="209"/>
  <c r="G18" i="388"/>
  <c r="I18" i="388" s="1"/>
  <c r="V17" i="209"/>
  <c r="G212" i="388"/>
  <c r="I212" i="388" s="1"/>
  <c r="V211" i="209"/>
  <c r="D67" i="388"/>
  <c r="F67" i="388" s="1"/>
  <c r="U66" i="209"/>
  <c r="D49" i="444"/>
  <c r="D49" i="434"/>
  <c r="F49" i="562"/>
  <c r="F49" i="264"/>
  <c r="F47" i="560"/>
  <c r="E33" i="527"/>
  <c r="E37" i="527" s="1"/>
  <c r="E43" i="527" s="1"/>
  <c r="E46" i="527" s="1"/>
  <c r="F47" i="527" s="1"/>
  <c r="E48" i="527" s="1"/>
  <c r="E49" i="527" s="1"/>
  <c r="E212" i="209" s="1"/>
  <c r="F49" i="543"/>
  <c r="F49" i="509"/>
  <c r="E33" i="501"/>
  <c r="E37" i="501" s="1"/>
  <c r="E43" i="501" s="1"/>
  <c r="E46" i="501" s="1"/>
  <c r="F47" i="501" s="1"/>
  <c r="E48" i="501" s="1"/>
  <c r="E49" i="501" s="1"/>
  <c r="E199" i="209" s="1"/>
  <c r="F49" i="529"/>
  <c r="E33" i="545"/>
  <c r="E37" i="545" s="1"/>
  <c r="E43" i="545" s="1"/>
  <c r="E46" i="545" s="1"/>
  <c r="F47" i="545" s="1"/>
  <c r="F49" i="503"/>
  <c r="F49" i="519"/>
  <c r="F49" i="525"/>
  <c r="F49" i="515"/>
  <c r="F49" i="521"/>
  <c r="E33" i="547"/>
  <c r="E37" i="547" s="1"/>
  <c r="E43" i="547" s="1"/>
  <c r="E46" i="547" s="1"/>
  <c r="F47" i="547" s="1"/>
  <c r="E48" i="547" s="1"/>
  <c r="E49" i="547" s="1"/>
  <c r="E222" i="209" s="1"/>
  <c r="F49" i="505"/>
  <c r="E33" i="499"/>
  <c r="E37" i="499" s="1"/>
  <c r="E43" i="499" s="1"/>
  <c r="E46" i="499" s="1"/>
  <c r="F47" i="499" s="1"/>
  <c r="E48" i="499" s="1"/>
  <c r="E49" i="499" s="1"/>
  <c r="E198" i="209" s="1"/>
  <c r="F49" i="535"/>
  <c r="E33" i="557"/>
  <c r="E37" i="557" s="1"/>
  <c r="E43" i="557" s="1"/>
  <c r="E46" i="557" s="1"/>
  <c r="F47" i="557" s="1"/>
  <c r="E48" i="557" s="1"/>
  <c r="E49" i="557" s="1"/>
  <c r="E227" i="209" s="1"/>
  <c r="E33" i="511"/>
  <c r="E37" i="511" s="1"/>
  <c r="E43" i="511" s="1"/>
  <c r="E46" i="511" s="1"/>
  <c r="F47" i="511" s="1"/>
  <c r="E48" i="511" s="1"/>
  <c r="E49" i="511" s="1"/>
  <c r="E204" i="209" s="1"/>
  <c r="F49" i="517"/>
  <c r="F49" i="523"/>
  <c r="E33" i="531"/>
  <c r="E37" i="531" s="1"/>
  <c r="E43" i="531" s="1"/>
  <c r="E46" i="531" s="1"/>
  <c r="F47" i="531" s="1"/>
  <c r="E48" i="531" s="1"/>
  <c r="E49" i="531" s="1"/>
  <c r="E214" i="209" s="1"/>
  <c r="E33" i="549"/>
  <c r="E37" i="549" s="1"/>
  <c r="E43" i="549" s="1"/>
  <c r="E46" i="549" s="1"/>
  <c r="F47" i="549" s="1"/>
  <c r="E33" i="551"/>
  <c r="E37" i="551" s="1"/>
  <c r="E43" i="551" s="1"/>
  <c r="E46" i="551" s="1"/>
  <c r="F47" i="551" s="1"/>
  <c r="E48" i="551" s="1"/>
  <c r="E49" i="551" s="1"/>
  <c r="E224" i="209" s="1"/>
  <c r="F49" i="539"/>
  <c r="E33" i="513"/>
  <c r="E37" i="513" s="1"/>
  <c r="E43" i="513" s="1"/>
  <c r="E46" i="513" s="1"/>
  <c r="F47" i="513" s="1"/>
  <c r="E48" i="513" s="1"/>
  <c r="E49" i="513" s="1"/>
  <c r="E205" i="209" s="1"/>
  <c r="E33" i="559"/>
  <c r="E37" i="559" s="1"/>
  <c r="E43" i="559" s="1"/>
  <c r="E46" i="559" s="1"/>
  <c r="F47" i="559" s="1"/>
  <c r="E48" i="559" s="1"/>
  <c r="E49" i="559" s="1"/>
  <c r="E228" i="209" s="1"/>
  <c r="E33" i="537"/>
  <c r="E37" i="537" s="1"/>
  <c r="E43" i="537" s="1"/>
  <c r="E46" i="537" s="1"/>
  <c r="F47" i="537" s="1"/>
  <c r="E48" i="537" s="1"/>
  <c r="E49" i="537" s="1"/>
  <c r="E217" i="209" s="1"/>
  <c r="E33" i="555"/>
  <c r="E37" i="555" s="1"/>
  <c r="E43" i="555" s="1"/>
  <c r="E46" i="555" s="1"/>
  <c r="F47" i="555" s="1"/>
  <c r="E48" i="555" s="1"/>
  <c r="E49" i="555" s="1"/>
  <c r="E226" i="209" s="1"/>
  <c r="F49" i="533"/>
  <c r="E33" i="541"/>
  <c r="E37" i="541" s="1"/>
  <c r="E43" i="541" s="1"/>
  <c r="E46" i="541" s="1"/>
  <c r="F47" i="541" s="1"/>
  <c r="E48" i="541" s="1"/>
  <c r="E49" i="541" s="1"/>
  <c r="E219" i="209" s="1"/>
  <c r="F49" i="507"/>
  <c r="E33" i="462"/>
  <c r="E37" i="462" s="1"/>
  <c r="E43" i="462" s="1"/>
  <c r="E46" i="462" s="1"/>
  <c r="F47" i="462" s="1"/>
  <c r="E48" i="462" s="1"/>
  <c r="E49" i="462" s="1"/>
  <c r="E166" i="209" s="1"/>
  <c r="E33" i="460"/>
  <c r="E37" i="460" s="1"/>
  <c r="E43" i="460" s="1"/>
  <c r="E46" i="460" s="1"/>
  <c r="F47" i="460" s="1"/>
  <c r="E48" i="460" s="1"/>
  <c r="E49" i="460" s="1"/>
  <c r="E165" i="209" s="1"/>
  <c r="E33" i="474"/>
  <c r="E37" i="474" s="1"/>
  <c r="E43" i="474" s="1"/>
  <c r="E46" i="474" s="1"/>
  <c r="F47" i="474" s="1"/>
  <c r="E48" i="474" s="1"/>
  <c r="E49" i="474" s="1"/>
  <c r="E172" i="209" s="1"/>
  <c r="E33" i="456"/>
  <c r="E37" i="456" s="1"/>
  <c r="E43" i="456" s="1"/>
  <c r="E46" i="456" s="1"/>
  <c r="F47" i="456" s="1"/>
  <c r="E48" i="456" s="1"/>
  <c r="E49" i="456" s="1"/>
  <c r="E164" i="209" s="1"/>
  <c r="E33" i="466"/>
  <c r="E37" i="466" s="1"/>
  <c r="E43" i="466" s="1"/>
  <c r="E46" i="466" s="1"/>
  <c r="F47" i="466" s="1"/>
  <c r="E48" i="466" s="1"/>
  <c r="E49" i="466" s="1"/>
  <c r="E168" i="209" s="1"/>
  <c r="E33" i="454"/>
  <c r="E37" i="454" s="1"/>
  <c r="E43" i="454" s="1"/>
  <c r="E46" i="454" s="1"/>
  <c r="F47" i="454" s="1"/>
  <c r="E48" i="454" s="1"/>
  <c r="E49" i="454" s="1"/>
  <c r="E163" i="209" s="1"/>
  <c r="F49" i="476"/>
  <c r="E33" i="478"/>
  <c r="E37" i="478" s="1"/>
  <c r="E43" i="478" s="1"/>
  <c r="E46" i="478" s="1"/>
  <c r="F47" i="478" s="1"/>
  <c r="E48" i="478" s="1"/>
  <c r="E49" i="478" s="1"/>
  <c r="E174" i="209" s="1"/>
  <c r="E33" i="468"/>
  <c r="E37" i="468" s="1"/>
  <c r="E43" i="468" s="1"/>
  <c r="E46" i="468" s="1"/>
  <c r="F47" i="468" s="1"/>
  <c r="E48" i="468" s="1"/>
  <c r="E49" i="468" s="1"/>
  <c r="E169" i="209" s="1"/>
  <c r="E33" i="472"/>
  <c r="E37" i="472" s="1"/>
  <c r="E43" i="472" s="1"/>
  <c r="E46" i="472" s="1"/>
  <c r="F47" i="472" s="1"/>
  <c r="E48" i="472" s="1"/>
  <c r="E49" i="472" s="1"/>
  <c r="E171" i="209" s="1"/>
  <c r="E33" i="464"/>
  <c r="E37" i="464" s="1"/>
  <c r="E43" i="464" s="1"/>
  <c r="E46" i="464" s="1"/>
  <c r="F47" i="464" s="1"/>
  <c r="E48" i="464" s="1"/>
  <c r="E49" i="464" s="1"/>
  <c r="E167" i="209" s="1"/>
  <c r="F49" i="470"/>
  <c r="E54" i="395"/>
  <c r="E55" i="395" s="1"/>
  <c r="E54" i="397"/>
  <c r="E55" i="397" s="1"/>
  <c r="E54" i="391"/>
  <c r="E55" i="391" s="1"/>
  <c r="F49" i="391"/>
  <c r="E56" i="391" s="1"/>
  <c r="F49" i="393"/>
  <c r="E56" i="393" s="1"/>
  <c r="F49" i="397"/>
  <c r="E56" i="397" s="1"/>
  <c r="E54" i="393"/>
  <c r="E55" i="393" s="1"/>
  <c r="F49" i="395"/>
  <c r="E56" i="395" s="1"/>
  <c r="E33" i="402"/>
  <c r="E37" i="402" s="1"/>
  <c r="E43" i="402" s="1"/>
  <c r="E46" i="402" s="1"/>
  <c r="F47" i="402" s="1"/>
  <c r="E48" i="402" s="1"/>
  <c r="E49" i="402" s="1"/>
  <c r="E33" i="405"/>
  <c r="E37" i="405" s="1"/>
  <c r="E43" i="405" s="1"/>
  <c r="E46" i="405" s="1"/>
  <c r="F47" i="405" s="1"/>
  <c r="E48" i="405" s="1"/>
  <c r="E49" i="405" s="1"/>
  <c r="E33" i="400"/>
  <c r="E37" i="400" s="1"/>
  <c r="E43" i="400" s="1"/>
  <c r="E46" i="400" s="1"/>
  <c r="F47" i="400" s="1"/>
  <c r="E48" i="400" s="1"/>
  <c r="E49" i="400" s="1"/>
  <c r="E33" i="389"/>
  <c r="E37" i="389" s="1"/>
  <c r="E43" i="389" s="1"/>
  <c r="E46" i="389" s="1"/>
  <c r="F47" i="389" s="1"/>
  <c r="E48" i="389" s="1"/>
  <c r="E49" i="389" s="1"/>
  <c r="E33" i="404"/>
  <c r="E37" i="404" s="1"/>
  <c r="E43" i="404" s="1"/>
  <c r="E46" i="404" s="1"/>
  <c r="F47" i="404" s="1"/>
  <c r="E48" i="404" s="1"/>
  <c r="E49" i="404" s="1"/>
  <c r="G11" i="290"/>
  <c r="I11" i="290" s="1"/>
  <c r="D67" i="147"/>
  <c r="E48" i="155"/>
  <c r="E49" i="155" s="1"/>
  <c r="E186" i="209" s="1"/>
  <c r="E38" i="215"/>
  <c r="E194" i="209"/>
  <c r="F49" i="301"/>
  <c r="F49" i="179"/>
  <c r="E33" i="205"/>
  <c r="E37" i="205" s="1"/>
  <c r="E43" i="205" s="1"/>
  <c r="E46" i="205" s="1"/>
  <c r="F47" i="205" s="1"/>
  <c r="E48" i="205" s="1"/>
  <c r="E49" i="205" s="1"/>
  <c r="E48" i="209" s="1"/>
  <c r="F49" i="260"/>
  <c r="E33" i="144"/>
  <c r="E37" i="144" s="1"/>
  <c r="E43" i="144" s="1"/>
  <c r="E46" i="144" s="1"/>
  <c r="F47" i="144" s="1"/>
  <c r="E48" i="144" s="1"/>
  <c r="E49" i="144" s="1"/>
  <c r="E12" i="209" s="1"/>
  <c r="E48" i="177"/>
  <c r="E49" i="177" s="1"/>
  <c r="E90" i="209" s="1"/>
  <c r="E33" i="203"/>
  <c r="E37" i="203" s="1"/>
  <c r="E43" i="203" s="1"/>
  <c r="E46" i="203" s="1"/>
  <c r="F47" i="203" s="1"/>
  <c r="F49" i="240"/>
  <c r="F38" i="195"/>
  <c r="E33" i="195"/>
  <c r="E37" i="195" s="1"/>
  <c r="E43" i="195" s="1"/>
  <c r="E13" i="209"/>
  <c r="E50" i="209"/>
  <c r="E175" i="209"/>
  <c r="E30" i="209"/>
  <c r="E115" i="209"/>
  <c r="E86" i="209"/>
  <c r="E101" i="209"/>
  <c r="E182" i="209"/>
  <c r="E26" i="209"/>
  <c r="E106" i="209"/>
  <c r="E148" i="209"/>
  <c r="E117" i="209"/>
  <c r="E108" i="209"/>
  <c r="E177" i="209"/>
  <c r="E144" i="209"/>
  <c r="E33" i="202"/>
  <c r="E37" i="202" s="1"/>
  <c r="E43" i="202" s="1"/>
  <c r="E46" i="202" s="1"/>
  <c r="F47" i="202" s="1"/>
  <c r="F49" i="202" s="1"/>
  <c r="E48" i="299"/>
  <c r="E49" i="299" s="1"/>
  <c r="E33" i="323"/>
  <c r="E37" i="323" s="1"/>
  <c r="E43" i="323" s="1"/>
  <c r="E46" i="323" s="1"/>
  <c r="F47" i="323" s="1"/>
  <c r="E48" i="323" s="1"/>
  <c r="E49" i="323" s="1"/>
  <c r="F49" i="345"/>
  <c r="E54" i="145"/>
  <c r="E55" i="145" s="1"/>
  <c r="F49" i="145"/>
  <c r="E56" i="145" s="1"/>
  <c r="E33" i="305"/>
  <c r="E37" i="305" s="1"/>
  <c r="E43" i="305" s="1"/>
  <c r="E46" i="305" s="1"/>
  <c r="F47" i="305" s="1"/>
  <c r="E48" i="305" s="1"/>
  <c r="E49" i="305" s="1"/>
  <c r="E33" i="347"/>
  <c r="E37" i="347" s="1"/>
  <c r="E43" i="347" s="1"/>
  <c r="E46" i="347" s="1"/>
  <c r="F47" i="347" s="1"/>
  <c r="E33" i="335"/>
  <c r="E37" i="335" s="1"/>
  <c r="E43" i="335" s="1"/>
  <c r="E46" i="335" s="1"/>
  <c r="F47" i="335" s="1"/>
  <c r="E48" i="335" s="1"/>
  <c r="E49" i="335" s="1"/>
  <c r="E33" i="369"/>
  <c r="E37" i="369" s="1"/>
  <c r="E43" i="369" s="1"/>
  <c r="E46" i="369" s="1"/>
  <c r="F47" i="369" s="1"/>
  <c r="E48" i="369" s="1"/>
  <c r="E49" i="369" s="1"/>
  <c r="E33" i="151"/>
  <c r="E37" i="151" s="1"/>
  <c r="E43" i="151" s="1"/>
  <c r="E46" i="151" s="1"/>
  <c r="F47" i="151" s="1"/>
  <c r="E48" i="151" s="1"/>
  <c r="E49" i="151" s="1"/>
  <c r="E33" i="351"/>
  <c r="E37" i="351" s="1"/>
  <c r="E43" i="351" s="1"/>
  <c r="E46" i="351" s="1"/>
  <c r="F47" i="351" s="1"/>
  <c r="F49" i="351" s="1"/>
  <c r="F38" i="189"/>
  <c r="E33" i="189"/>
  <c r="E37" i="189" s="1"/>
  <c r="E43" i="189" s="1"/>
  <c r="E33" i="371"/>
  <c r="E37" i="371" s="1"/>
  <c r="E43" i="371" s="1"/>
  <c r="E46" i="371" s="1"/>
  <c r="F47" i="371" s="1"/>
  <c r="E48" i="371" s="1"/>
  <c r="E49" i="371" s="1"/>
  <c r="F38" i="266"/>
  <c r="E33" i="266"/>
  <c r="E37" i="266" s="1"/>
  <c r="E43" i="266" s="1"/>
  <c r="E33" i="268"/>
  <c r="E37" i="268" s="1"/>
  <c r="E43" i="268" s="1"/>
  <c r="E46" i="268" s="1"/>
  <c r="F47" i="268" s="1"/>
  <c r="E48" i="268" s="1"/>
  <c r="E49" i="268" s="1"/>
  <c r="E33" i="365"/>
  <c r="E37" i="365" s="1"/>
  <c r="E43" i="365" s="1"/>
  <c r="E46" i="365" s="1"/>
  <c r="F47" i="365" s="1"/>
  <c r="F38" i="321"/>
  <c r="E33" i="321"/>
  <c r="E37" i="321" s="1"/>
  <c r="E43" i="321" s="1"/>
  <c r="E33" i="382"/>
  <c r="E37" i="382" s="1"/>
  <c r="E43" i="382" s="1"/>
  <c r="E46" i="382" s="1"/>
  <c r="F47" i="382" s="1"/>
  <c r="E48" i="382" s="1"/>
  <c r="E49" i="382" s="1"/>
  <c r="F38" i="307"/>
  <c r="E33" i="307"/>
  <c r="E37" i="307" s="1"/>
  <c r="E43" i="307" s="1"/>
  <c r="E48" i="200"/>
  <c r="E49" i="200" s="1"/>
  <c r="E33" i="182"/>
  <c r="E7" i="291" s="1"/>
  <c r="E48" i="188"/>
  <c r="E49" i="188" s="1"/>
  <c r="E48" i="170"/>
  <c r="E49" i="170" s="1"/>
  <c r="E33" i="139"/>
  <c r="E37" i="139" s="1"/>
  <c r="E44" i="139" s="1"/>
  <c r="E47" i="139" s="1"/>
  <c r="F48" i="139" s="1"/>
  <c r="E49" i="139" s="1"/>
  <c r="E50" i="139" s="1"/>
  <c r="E33" i="138"/>
  <c r="E37" i="138" s="1"/>
  <c r="E43" i="138" s="1"/>
  <c r="E46" i="138" s="1"/>
  <c r="F47" i="138" s="1"/>
  <c r="F49" i="138" s="1"/>
  <c r="E56" i="138" s="1"/>
  <c r="E33" i="162"/>
  <c r="E9" i="291" s="1"/>
  <c r="E33" i="184"/>
  <c r="E37" i="184" s="1"/>
  <c r="E43" i="184" s="1"/>
  <c r="E46" i="184" s="1"/>
  <c r="F47" i="184" s="1"/>
  <c r="E48" i="184" s="1"/>
  <c r="E49" i="184" s="1"/>
  <c r="E33" i="156"/>
  <c r="E37" i="156" s="1"/>
  <c r="E43" i="156" s="1"/>
  <c r="E46" i="156" s="1"/>
  <c r="F47" i="156" s="1"/>
  <c r="E48" i="156" s="1"/>
  <c r="E49" i="156" s="1"/>
  <c r="E33" i="165"/>
  <c r="E37" i="165" s="1"/>
  <c r="E43" i="165" s="1"/>
  <c r="E46" i="165" s="1"/>
  <c r="F47" i="165" s="1"/>
  <c r="E48" i="165" s="1"/>
  <c r="E49" i="165" s="1"/>
  <c r="E33" i="174"/>
  <c r="E37" i="174" s="1"/>
  <c r="E43" i="174" s="1"/>
  <c r="E46" i="174" s="1"/>
  <c r="F47" i="174" s="1"/>
  <c r="E48" i="174" s="1"/>
  <c r="E49" i="174" s="1"/>
  <c r="E48" i="327"/>
  <c r="E49" i="327" s="1"/>
  <c r="F49" i="327"/>
  <c r="F38" i="152"/>
  <c r="E33" i="152"/>
  <c r="E37" i="152" s="1"/>
  <c r="E43" i="152" s="1"/>
  <c r="E33" i="325"/>
  <c r="E37" i="325" s="1"/>
  <c r="E43" i="325" s="1"/>
  <c r="E46" i="325" s="1"/>
  <c r="F47" i="325" s="1"/>
  <c r="E48" i="325" s="1"/>
  <c r="E49" i="325" s="1"/>
  <c r="E33" i="284"/>
  <c r="E37" i="284" s="1"/>
  <c r="E43" i="284" s="1"/>
  <c r="E46" i="284" s="1"/>
  <c r="F47" i="284" s="1"/>
  <c r="E48" i="284" s="1"/>
  <c r="E49" i="284" s="1"/>
  <c r="E48" i="361"/>
  <c r="E49" i="361" s="1"/>
  <c r="F49" i="361"/>
  <c r="F38" i="192"/>
  <c r="E33" i="192"/>
  <c r="E37" i="192" s="1"/>
  <c r="E43" i="192" s="1"/>
  <c r="E33" i="311"/>
  <c r="E37" i="311" s="1"/>
  <c r="E43" i="311" s="1"/>
  <c r="E46" i="311" s="1"/>
  <c r="F47" i="311" s="1"/>
  <c r="E33" i="271"/>
  <c r="E37" i="271" s="1"/>
  <c r="E43" i="271" s="1"/>
  <c r="E46" i="271" s="1"/>
  <c r="F47" i="271" s="1"/>
  <c r="E48" i="271" s="1"/>
  <c r="E49" i="271" s="1"/>
  <c r="F38" i="341"/>
  <c r="E33" i="341"/>
  <c r="E37" i="341" s="1"/>
  <c r="E43" i="341" s="1"/>
  <c r="F38" i="238"/>
  <c r="E33" i="238"/>
  <c r="E37" i="238" s="1"/>
  <c r="E43" i="238" s="1"/>
  <c r="E33" i="227"/>
  <c r="E37" i="227" s="1"/>
  <c r="E43" i="227" s="1"/>
  <c r="E46" i="227" s="1"/>
  <c r="F47" i="227" s="1"/>
  <c r="E48" i="227" s="1"/>
  <c r="E49" i="227" s="1"/>
  <c r="E48" i="168"/>
  <c r="E49" i="168" s="1"/>
  <c r="F49" i="168"/>
  <c r="E33" i="380"/>
  <c r="E37" i="380" s="1"/>
  <c r="E43" i="380" s="1"/>
  <c r="E46" i="380" s="1"/>
  <c r="F47" i="380" s="1"/>
  <c r="E33" i="373"/>
  <c r="E37" i="373" s="1"/>
  <c r="E43" i="373" s="1"/>
  <c r="E46" i="373" s="1"/>
  <c r="F47" i="373" s="1"/>
  <c r="E48" i="373" s="1"/>
  <c r="E49" i="373" s="1"/>
  <c r="E33" i="303"/>
  <c r="E37" i="303" s="1"/>
  <c r="E43" i="303" s="1"/>
  <c r="E46" i="303" s="1"/>
  <c r="F47" i="303" s="1"/>
  <c r="E48" i="303" s="1"/>
  <c r="E49" i="303" s="1"/>
  <c r="E48" i="279"/>
  <c r="E49" i="279" s="1"/>
  <c r="F49" i="279"/>
  <c r="E33" i="343"/>
  <c r="E37" i="343" s="1"/>
  <c r="E43" i="343" s="1"/>
  <c r="E46" i="343" s="1"/>
  <c r="F47" i="343" s="1"/>
  <c r="E48" i="343" s="1"/>
  <c r="E49" i="343" s="1"/>
  <c r="E33" i="376"/>
  <c r="E37" i="376" s="1"/>
  <c r="E43" i="376" s="1"/>
  <c r="E46" i="376" s="1"/>
  <c r="F47" i="376" s="1"/>
  <c r="E48" i="376" s="1"/>
  <c r="E49" i="376" s="1"/>
  <c r="E33" i="185"/>
  <c r="E37" i="185" s="1"/>
  <c r="E43" i="185" s="1"/>
  <c r="E46" i="185" s="1"/>
  <c r="F47" i="185" s="1"/>
  <c r="E48" i="185" s="1"/>
  <c r="E49" i="185" s="1"/>
  <c r="E33" i="367"/>
  <c r="E37" i="367" s="1"/>
  <c r="E43" i="367" s="1"/>
  <c r="E46" i="367" s="1"/>
  <c r="F47" i="367" s="1"/>
  <c r="E48" i="367" s="1"/>
  <c r="E49" i="367" s="1"/>
  <c r="E33" i="236"/>
  <c r="E37" i="236" s="1"/>
  <c r="E43" i="236" s="1"/>
  <c r="E46" i="236" s="1"/>
  <c r="F47" i="236" s="1"/>
  <c r="E48" i="236" s="1"/>
  <c r="E49" i="236" s="1"/>
  <c r="E33" i="159"/>
  <c r="E37" i="159" s="1"/>
  <c r="E43" i="159" s="1"/>
  <c r="E46" i="159" s="1"/>
  <c r="F47" i="159" s="1"/>
  <c r="E48" i="159" s="1"/>
  <c r="E49" i="159" s="1"/>
  <c r="E33" i="142"/>
  <c r="E37" i="142" s="1"/>
  <c r="E43" i="142" s="1"/>
  <c r="E46" i="142" s="1"/>
  <c r="F47" i="142" s="1"/>
  <c r="E48" i="142" s="1"/>
  <c r="E49" i="142" s="1"/>
  <c r="E33" i="313"/>
  <c r="E37" i="313" s="1"/>
  <c r="E43" i="313" s="1"/>
  <c r="E46" i="313" s="1"/>
  <c r="F47" i="313" s="1"/>
  <c r="E48" i="313" s="1"/>
  <c r="E49" i="313" s="1"/>
  <c r="E33" i="250"/>
  <c r="E37" i="250" s="1"/>
  <c r="E43" i="250" s="1"/>
  <c r="E46" i="250" s="1"/>
  <c r="F47" i="250" s="1"/>
  <c r="E48" i="250" s="1"/>
  <c r="E49" i="250" s="1"/>
  <c r="E33" i="273"/>
  <c r="E37" i="273" s="1"/>
  <c r="E43" i="273" s="1"/>
  <c r="E46" i="273" s="1"/>
  <c r="F47" i="273" s="1"/>
  <c r="E48" i="273" s="1"/>
  <c r="E49" i="273" s="1"/>
  <c r="E33" i="160"/>
  <c r="E37" i="160" s="1"/>
  <c r="E43" i="160" s="1"/>
  <c r="E46" i="160" s="1"/>
  <c r="F47" i="160" s="1"/>
  <c r="F49" i="160" s="1"/>
  <c r="E33" i="198"/>
  <c r="E37" i="198" s="1"/>
  <c r="E43" i="198" s="1"/>
  <c r="E46" i="198" s="1"/>
  <c r="F47" i="198" s="1"/>
  <c r="E48" i="198" s="1"/>
  <c r="E49" i="198" s="1"/>
  <c r="E33" i="337"/>
  <c r="E37" i="337" s="1"/>
  <c r="E43" i="337" s="1"/>
  <c r="E46" i="337" s="1"/>
  <c r="F47" i="337" s="1"/>
  <c r="E48" i="337" s="1"/>
  <c r="E49" i="337" s="1"/>
  <c r="E33" i="206"/>
  <c r="E37" i="206" s="1"/>
  <c r="E43" i="206" s="1"/>
  <c r="E46" i="206" s="1"/>
  <c r="F47" i="206" s="1"/>
  <c r="F49" i="206" s="1"/>
  <c r="F38" i="169"/>
  <c r="E33" i="169"/>
  <c r="E37" i="169" s="1"/>
  <c r="E43" i="169" s="1"/>
  <c r="E33" i="140"/>
  <c r="E37" i="140" s="1"/>
  <c r="E44" i="140" s="1"/>
  <c r="E47" i="140" s="1"/>
  <c r="F48" i="140" s="1"/>
  <c r="E49" i="140" s="1"/>
  <c r="E50" i="140" s="1"/>
  <c r="E33" i="166"/>
  <c r="E37" i="166" s="1"/>
  <c r="E43" i="166" s="1"/>
  <c r="E46" i="166" s="1"/>
  <c r="F47" i="166" s="1"/>
  <c r="E48" i="166" s="1"/>
  <c r="E49" i="166" s="1"/>
  <c r="E33" i="146"/>
  <c r="E37" i="146" s="1"/>
  <c r="E43" i="146" s="1"/>
  <c r="E46" i="146" s="1"/>
  <c r="F47" i="146" s="1"/>
  <c r="E48" i="146" s="1"/>
  <c r="E49" i="146" s="1"/>
  <c r="F38" i="173"/>
  <c r="E33" i="173"/>
  <c r="E37" i="173" s="1"/>
  <c r="E43" i="173" s="1"/>
  <c r="F38" i="315"/>
  <c r="E33" i="315"/>
  <c r="E37" i="315" s="1"/>
  <c r="E43" i="315" s="1"/>
  <c r="F38" i="262"/>
  <c r="E33" i="262"/>
  <c r="E37" i="262" s="1"/>
  <c r="E43" i="262" s="1"/>
  <c r="E33" i="180"/>
  <c r="E37" i="180" s="1"/>
  <c r="E43" i="180" s="1"/>
  <c r="E46" i="180" s="1"/>
  <c r="F47" i="180" s="1"/>
  <c r="E48" i="180" s="1"/>
  <c r="E49" i="180" s="1"/>
  <c r="F38" i="329"/>
  <c r="E33" i="329"/>
  <c r="E37" i="329" s="1"/>
  <c r="E43" i="329" s="1"/>
  <c r="E33" i="212"/>
  <c r="E37" i="212" s="1"/>
  <c r="E43" i="212" s="1"/>
  <c r="E46" i="212" s="1"/>
  <c r="F47" i="212" s="1"/>
  <c r="E48" i="212" s="1"/>
  <c r="E49" i="212" s="1"/>
  <c r="E33" i="193"/>
  <c r="E37" i="193" s="1"/>
  <c r="E43" i="193" s="1"/>
  <c r="E46" i="193" s="1"/>
  <c r="F47" i="193" s="1"/>
  <c r="E48" i="193" s="1"/>
  <c r="E49" i="193" s="1"/>
  <c r="E33" i="158"/>
  <c r="E37" i="158" s="1"/>
  <c r="E43" i="158" s="1"/>
  <c r="E46" i="158" s="1"/>
  <c r="F47" i="158" s="1"/>
  <c r="E48" i="158" s="1"/>
  <c r="E49" i="158" s="1"/>
  <c r="E33" i="141"/>
  <c r="E37" i="141" s="1"/>
  <c r="E44" i="141" s="1"/>
  <c r="E47" i="141" s="1"/>
  <c r="F48" i="141" s="1"/>
  <c r="E49" i="141" s="1"/>
  <c r="E50" i="141" s="1"/>
  <c r="E33" i="223"/>
  <c r="E37" i="223" s="1"/>
  <c r="E43" i="223" s="1"/>
  <c r="E46" i="223" s="1"/>
  <c r="F47" i="223" s="1"/>
  <c r="E48" i="223" s="1"/>
  <c r="E49" i="223" s="1"/>
  <c r="F38" i="225"/>
  <c r="E33" i="225"/>
  <c r="E37" i="225" s="1"/>
  <c r="E43" i="225" s="1"/>
  <c r="E33" i="258"/>
  <c r="E37" i="258" s="1"/>
  <c r="E43" i="258" s="1"/>
  <c r="E46" i="258" s="1"/>
  <c r="F47" i="258" s="1"/>
  <c r="E48" i="258" s="1"/>
  <c r="E49" i="258" s="1"/>
  <c r="E33" i="349"/>
  <c r="E37" i="349" s="1"/>
  <c r="E43" i="349" s="1"/>
  <c r="E46" i="349" s="1"/>
  <c r="F47" i="349" s="1"/>
  <c r="E48" i="349" s="1"/>
  <c r="E49" i="349" s="1"/>
  <c r="E33" i="249"/>
  <c r="E37" i="249" s="1"/>
  <c r="E43" i="249" s="1"/>
  <c r="E46" i="249" s="1"/>
  <c r="F47" i="249" s="1"/>
  <c r="E48" i="249" s="1"/>
  <c r="E49" i="249" s="1"/>
  <c r="F38" i="242"/>
  <c r="E33" i="242"/>
  <c r="E37" i="242" s="1"/>
  <c r="E43" i="242" s="1"/>
  <c r="E33" i="295"/>
  <c r="E37" i="295" s="1"/>
  <c r="E43" i="295" s="1"/>
  <c r="E46" i="295" s="1"/>
  <c r="F47" i="295" s="1"/>
  <c r="E48" i="295" s="1"/>
  <c r="E49" i="295" s="1"/>
  <c r="E33" i="229"/>
  <c r="E37" i="229" s="1"/>
  <c r="E43" i="229" s="1"/>
  <c r="E46" i="229" s="1"/>
  <c r="F47" i="229" s="1"/>
  <c r="E48" i="229" s="1"/>
  <c r="E49" i="229" s="1"/>
  <c r="E33" i="137"/>
  <c r="E33" i="204"/>
  <c r="E37" i="204" s="1"/>
  <c r="E43" i="204" s="1"/>
  <c r="E46" i="204" s="1"/>
  <c r="F47" i="204" s="1"/>
  <c r="E48" i="204" s="1"/>
  <c r="E49" i="204" s="1"/>
  <c r="E33" i="163"/>
  <c r="E37" i="163" s="1"/>
  <c r="E43" i="163" s="1"/>
  <c r="E46" i="163" s="1"/>
  <c r="F47" i="163" s="1"/>
  <c r="G13" i="388" l="1"/>
  <c r="I13" i="388" s="1"/>
  <c r="V12" i="209"/>
  <c r="G107" i="388"/>
  <c r="I107" i="388" s="1"/>
  <c r="V106" i="209"/>
  <c r="G51" i="388"/>
  <c r="I51" i="388" s="1"/>
  <c r="V50" i="209"/>
  <c r="G172" i="388"/>
  <c r="I172" i="388" s="1"/>
  <c r="V171" i="209"/>
  <c r="G166" i="388"/>
  <c r="I166" i="388" s="1"/>
  <c r="V165" i="209"/>
  <c r="G206" i="388"/>
  <c r="I206" i="388" s="1"/>
  <c r="V205" i="209"/>
  <c r="G228" i="388"/>
  <c r="I228" i="388" s="1"/>
  <c r="V227" i="209"/>
  <c r="G168" i="388"/>
  <c r="I168" i="388" s="1"/>
  <c r="V167" i="209"/>
  <c r="G213" i="388"/>
  <c r="I213" i="388" s="1"/>
  <c r="V212" i="209"/>
  <c r="G27" i="388"/>
  <c r="I27" i="388" s="1"/>
  <c r="V26" i="209"/>
  <c r="G14" i="388"/>
  <c r="I14" i="388" s="1"/>
  <c r="V13" i="209"/>
  <c r="G49" i="388"/>
  <c r="I49" i="388" s="1"/>
  <c r="V48" i="209"/>
  <c r="G170" i="388"/>
  <c r="I170" i="388" s="1"/>
  <c r="V169" i="209"/>
  <c r="G167" i="388"/>
  <c r="I167" i="388" s="1"/>
  <c r="V166" i="209"/>
  <c r="G183" i="388"/>
  <c r="I183" i="388" s="1"/>
  <c r="V182" i="209"/>
  <c r="G175" i="388"/>
  <c r="I175" i="388" s="1"/>
  <c r="V174" i="209"/>
  <c r="G225" i="388"/>
  <c r="I225" i="388" s="1"/>
  <c r="V224" i="209"/>
  <c r="G199" i="388"/>
  <c r="I199" i="388" s="1"/>
  <c r="V198" i="209"/>
  <c r="G176" i="388"/>
  <c r="I176" i="388" s="1"/>
  <c r="V175" i="209"/>
  <c r="G229" i="388"/>
  <c r="I229" i="388" s="1"/>
  <c r="V228" i="209"/>
  <c r="G145" i="388"/>
  <c r="I145" i="388" s="1"/>
  <c r="V144" i="209"/>
  <c r="G102" i="388"/>
  <c r="I102" i="388" s="1"/>
  <c r="V101" i="209"/>
  <c r="G220" i="388"/>
  <c r="I220" i="388" s="1"/>
  <c r="V219" i="209"/>
  <c r="G149" i="388"/>
  <c r="I149" i="388" s="1"/>
  <c r="V148" i="209"/>
  <c r="G178" i="388"/>
  <c r="I178" i="388" s="1"/>
  <c r="V177" i="209"/>
  <c r="G88" i="388"/>
  <c r="I88" i="388" s="1"/>
  <c r="V86" i="209"/>
  <c r="G195" i="388"/>
  <c r="I195" i="388" s="1"/>
  <c r="V194" i="209"/>
  <c r="G164" i="388"/>
  <c r="I164" i="388" s="1"/>
  <c r="V163" i="209"/>
  <c r="G215" i="388"/>
  <c r="I215" i="388" s="1"/>
  <c r="V214" i="209"/>
  <c r="G223" i="388"/>
  <c r="I223" i="388" s="1"/>
  <c r="V222" i="209"/>
  <c r="G200" i="388"/>
  <c r="I200" i="388" s="1"/>
  <c r="V199" i="209"/>
  <c r="G173" i="388"/>
  <c r="I173" i="388" s="1"/>
  <c r="V172" i="209"/>
  <c r="G109" i="388"/>
  <c r="I109" i="388" s="1"/>
  <c r="V108" i="209"/>
  <c r="G116" i="388"/>
  <c r="I116" i="388" s="1"/>
  <c r="V115" i="209"/>
  <c r="G169" i="388"/>
  <c r="I169" i="388" s="1"/>
  <c r="V168" i="209"/>
  <c r="G227" i="388"/>
  <c r="I227" i="388" s="1"/>
  <c r="V226" i="209"/>
  <c r="G205" i="388"/>
  <c r="I205" i="388" s="1"/>
  <c r="V204" i="209"/>
  <c r="G118" i="388"/>
  <c r="I118" i="388" s="1"/>
  <c r="V117" i="209"/>
  <c r="G31" i="388"/>
  <c r="I31" i="388" s="1"/>
  <c r="V30" i="209"/>
  <c r="G92" i="388"/>
  <c r="I92" i="388" s="1"/>
  <c r="V90" i="209"/>
  <c r="G187" i="388"/>
  <c r="I187" i="388" s="1"/>
  <c r="V186" i="209"/>
  <c r="G165" i="388"/>
  <c r="I165" i="388" s="1"/>
  <c r="V164" i="209"/>
  <c r="G218" i="388"/>
  <c r="I218" i="388" s="1"/>
  <c r="V217" i="209"/>
  <c r="F49" i="527"/>
  <c r="E48" i="560"/>
  <c r="E49" i="560" s="1"/>
  <c r="E225" i="209" s="1"/>
  <c r="F49" i="560"/>
  <c r="F49" i="501"/>
  <c r="F49" i="499"/>
  <c r="E48" i="545"/>
  <c r="E49" i="545" s="1"/>
  <c r="E221" i="209" s="1"/>
  <c r="F49" i="545"/>
  <c r="F49" i="547"/>
  <c r="F49" i="513"/>
  <c r="F49" i="531"/>
  <c r="F49" i="555"/>
  <c r="F49" i="557"/>
  <c r="F49" i="549"/>
  <c r="E48" i="549"/>
  <c r="E49" i="549" s="1"/>
  <c r="E223" i="209" s="1"/>
  <c r="F49" i="551"/>
  <c r="F49" i="537"/>
  <c r="F49" i="559"/>
  <c r="F49" i="541"/>
  <c r="F49" i="511"/>
  <c r="E54" i="389"/>
  <c r="E55" i="389" s="1"/>
  <c r="E16" i="209"/>
  <c r="E54" i="400"/>
  <c r="E55" i="400" s="1"/>
  <c r="E21" i="209"/>
  <c r="E54" i="405"/>
  <c r="E55" i="405" s="1"/>
  <c r="E24" i="209"/>
  <c r="E54" i="404"/>
  <c r="E55" i="404" s="1"/>
  <c r="E23" i="209"/>
  <c r="E54" i="402"/>
  <c r="E55" i="402" s="1"/>
  <c r="E22" i="209"/>
  <c r="F49" i="454"/>
  <c r="F49" i="456"/>
  <c r="F49" i="466"/>
  <c r="F49" i="474"/>
  <c r="F49" i="472"/>
  <c r="F49" i="462"/>
  <c r="F49" i="460"/>
  <c r="F49" i="468"/>
  <c r="F49" i="464"/>
  <c r="F49" i="478"/>
  <c r="F49" i="405"/>
  <c r="E56" i="405" s="1"/>
  <c r="F49" i="402"/>
  <c r="E56" i="402" s="1"/>
  <c r="F49" i="404"/>
  <c r="E56" i="404" s="1"/>
  <c r="F49" i="389"/>
  <c r="E56" i="389" s="1"/>
  <c r="F49" i="400"/>
  <c r="E56" i="400" s="1"/>
  <c r="G10" i="290"/>
  <c r="I10" i="290" s="1"/>
  <c r="G8" i="290"/>
  <c r="I8" i="290" s="1"/>
  <c r="D63" i="170"/>
  <c r="D67" i="170" s="1"/>
  <c r="D69" i="170" s="1"/>
  <c r="F49" i="205"/>
  <c r="E54" i="144"/>
  <c r="E55" i="144" s="1"/>
  <c r="F49" i="144"/>
  <c r="E56" i="144" s="1"/>
  <c r="E48" i="202"/>
  <c r="E49" i="202" s="1"/>
  <c r="E45" i="209" s="1"/>
  <c r="E46" i="195"/>
  <c r="F47" i="195" s="1"/>
  <c r="E48" i="195" s="1"/>
  <c r="E49" i="195" s="1"/>
  <c r="E39" i="209" s="1"/>
  <c r="E48" i="203"/>
  <c r="E49" i="203" s="1"/>
  <c r="E46" i="209" s="1"/>
  <c r="F49" i="203"/>
  <c r="F49" i="323"/>
  <c r="E9" i="209"/>
  <c r="E36" i="209"/>
  <c r="E157" i="209"/>
  <c r="E139" i="209"/>
  <c r="E193" i="209"/>
  <c r="E51" i="209"/>
  <c r="E187" i="209"/>
  <c r="E123" i="209"/>
  <c r="E159" i="209"/>
  <c r="E128" i="209"/>
  <c r="E162" i="209"/>
  <c r="E111" i="209"/>
  <c r="E112" i="209"/>
  <c r="E143" i="209"/>
  <c r="E53" i="209"/>
  <c r="E135" i="209"/>
  <c r="E8" i="209"/>
  <c r="E196" i="209"/>
  <c r="E34" i="209"/>
  <c r="E146" i="209"/>
  <c r="E97" i="209"/>
  <c r="E82" i="209"/>
  <c r="E79" i="209"/>
  <c r="E47" i="209"/>
  <c r="E116" i="209"/>
  <c r="E54" i="142"/>
  <c r="E55" i="142" s="1"/>
  <c r="E126" i="209"/>
  <c r="E152" i="209"/>
  <c r="E102" i="209"/>
  <c r="E32" i="209"/>
  <c r="E140" i="209"/>
  <c r="E188" i="209"/>
  <c r="E195" i="209"/>
  <c r="E110" i="209"/>
  <c r="E190" i="209"/>
  <c r="E121" i="209"/>
  <c r="E54" i="209"/>
  <c r="E89" i="209"/>
  <c r="E103" i="209"/>
  <c r="E104" i="209"/>
  <c r="E158" i="209"/>
  <c r="E134" i="209"/>
  <c r="E27" i="209"/>
  <c r="E42" i="209"/>
  <c r="E183" i="209"/>
  <c r="E191" i="209"/>
  <c r="E11" i="209"/>
  <c r="E43" i="209"/>
  <c r="E155" i="209"/>
  <c r="E122" i="209"/>
  <c r="E156" i="209"/>
  <c r="E133" i="209"/>
  <c r="E37" i="182"/>
  <c r="E43" i="182" s="1"/>
  <c r="E46" i="182" s="1"/>
  <c r="F47" i="182" s="1"/>
  <c r="F49" i="182" s="1"/>
  <c r="D74" i="182"/>
  <c r="D76" i="182" s="1"/>
  <c r="F49" i="369"/>
  <c r="E48" i="351"/>
  <c r="E49" i="351" s="1"/>
  <c r="F49" i="335"/>
  <c r="F49" i="305"/>
  <c r="E46" i="189"/>
  <c r="F47" i="189" s="1"/>
  <c r="E48" i="189" s="1"/>
  <c r="E49" i="189" s="1"/>
  <c r="E48" i="347"/>
  <c r="E49" i="347" s="1"/>
  <c r="F49" i="347"/>
  <c r="E46" i="321"/>
  <c r="F47" i="321" s="1"/>
  <c r="E48" i="321" s="1"/>
  <c r="E49" i="321" s="1"/>
  <c r="F49" i="371"/>
  <c r="E46" i="307"/>
  <c r="F47" i="307" s="1"/>
  <c r="E48" i="307" s="1"/>
  <c r="E49" i="307" s="1"/>
  <c r="F49" i="151"/>
  <c r="F49" i="365"/>
  <c r="E48" i="365"/>
  <c r="E49" i="365" s="1"/>
  <c r="F49" i="268"/>
  <c r="E46" i="266"/>
  <c r="F47" i="266" s="1"/>
  <c r="E48" i="266" s="1"/>
  <c r="E49" i="266" s="1"/>
  <c r="F49" i="382"/>
  <c r="E37" i="162"/>
  <c r="E43" i="162" s="1"/>
  <c r="E46" i="162" s="1"/>
  <c r="F47" i="162" s="1"/>
  <c r="E48" i="162" s="1"/>
  <c r="E49" i="162" s="1"/>
  <c r="D54" i="162" s="1"/>
  <c r="D58" i="162" s="1"/>
  <c r="F50" i="139"/>
  <c r="E48" i="138"/>
  <c r="E49" i="138" s="1"/>
  <c r="F49" i="303"/>
  <c r="E10" i="209"/>
  <c r="F49" i="156"/>
  <c r="E46" i="341"/>
  <c r="F47" i="341" s="1"/>
  <c r="E48" i="341" s="1"/>
  <c r="E49" i="341" s="1"/>
  <c r="F49" i="184"/>
  <c r="F49" i="193"/>
  <c r="F49" i="174"/>
  <c r="F49" i="165"/>
  <c r="E48" i="160"/>
  <c r="E49" i="160" s="1"/>
  <c r="F49" i="284"/>
  <c r="E46" i="152"/>
  <c r="F47" i="152" s="1"/>
  <c r="E48" i="152" s="1"/>
  <c r="E49" i="152" s="1"/>
  <c r="E48" i="206"/>
  <c r="E49" i="206" s="1"/>
  <c r="E46" i="225"/>
  <c r="F47" i="225" s="1"/>
  <c r="E48" i="225" s="1"/>
  <c r="E49" i="225" s="1"/>
  <c r="F49" i="325"/>
  <c r="F50" i="140"/>
  <c r="F49" i="236"/>
  <c r="F49" i="185"/>
  <c r="F49" i="271"/>
  <c r="F49" i="273"/>
  <c r="E46" i="238"/>
  <c r="F47" i="238" s="1"/>
  <c r="E48" i="238" s="1"/>
  <c r="E49" i="238" s="1"/>
  <c r="F49" i="227"/>
  <c r="F49" i="198"/>
  <c r="E46" i="173"/>
  <c r="F47" i="173" s="1"/>
  <c r="E48" i="173" s="1"/>
  <c r="E49" i="173" s="1"/>
  <c r="F49" i="311"/>
  <c r="E48" i="311"/>
  <c r="E49" i="311" s="1"/>
  <c r="F49" i="380"/>
  <c r="E48" i="380"/>
  <c r="E49" i="380" s="1"/>
  <c r="E46" i="192"/>
  <c r="F47" i="192" s="1"/>
  <c r="E48" i="192" s="1"/>
  <c r="E49" i="192" s="1"/>
  <c r="F49" i="313"/>
  <c r="F49" i="337"/>
  <c r="F49" i="159"/>
  <c r="F49" i="367"/>
  <c r="F49" i="229"/>
  <c r="F49" i="142"/>
  <c r="E56" i="142" s="1"/>
  <c r="F49" i="343"/>
  <c r="F49" i="373"/>
  <c r="F49" i="376"/>
  <c r="F49" i="166"/>
  <c r="E46" i="329"/>
  <c r="F47" i="329" s="1"/>
  <c r="E48" i="329" s="1"/>
  <c r="E49" i="329" s="1"/>
  <c r="E46" i="262"/>
  <c r="F47" i="262" s="1"/>
  <c r="E48" i="262" s="1"/>
  <c r="E49" i="262" s="1"/>
  <c r="E46" i="169"/>
  <c r="F47" i="169" s="1"/>
  <c r="E48" i="169" s="1"/>
  <c r="E49" i="169" s="1"/>
  <c r="F49" i="250"/>
  <c r="E46" i="242"/>
  <c r="F47" i="242" s="1"/>
  <c r="E48" i="242" s="1"/>
  <c r="E49" i="242" s="1"/>
  <c r="E46" i="315"/>
  <c r="F47" i="315" s="1"/>
  <c r="E48" i="315" s="1"/>
  <c r="E49" i="315" s="1"/>
  <c r="F49" i="223"/>
  <c r="F49" i="349"/>
  <c r="E54" i="146"/>
  <c r="E55" i="146" s="1"/>
  <c r="E14" i="209"/>
  <c r="E54" i="212"/>
  <c r="E55" i="212" s="1"/>
  <c r="E15" i="209"/>
  <c r="F49" i="204"/>
  <c r="F50" i="141"/>
  <c r="E37" i="137"/>
  <c r="E43" i="137" s="1"/>
  <c r="E46" i="137" s="1"/>
  <c r="F47" i="137" s="1"/>
  <c r="E6" i="291"/>
  <c r="F49" i="295"/>
  <c r="F49" i="249"/>
  <c r="F49" i="146"/>
  <c r="E56" i="146" s="1"/>
  <c r="F49" i="163"/>
  <c r="E48" i="163"/>
  <c r="E49" i="163" s="1"/>
  <c r="F49" i="258"/>
  <c r="F49" i="180"/>
  <c r="F49" i="158"/>
  <c r="F49" i="212"/>
  <c r="E56" i="212" s="1"/>
  <c r="G28" i="388" l="1"/>
  <c r="I28" i="388" s="1"/>
  <c r="V27" i="209"/>
  <c r="G123" i="388"/>
  <c r="I123" i="388" s="1"/>
  <c r="V122" i="209"/>
  <c r="G135" i="388"/>
  <c r="I135" i="388" s="1"/>
  <c r="V134" i="209"/>
  <c r="G111" i="388"/>
  <c r="I111" i="388" s="1"/>
  <c r="V110" i="209"/>
  <c r="G197" i="388"/>
  <c r="I197" i="388" s="1"/>
  <c r="V196" i="209"/>
  <c r="G129" i="388"/>
  <c r="I129" i="388" s="1"/>
  <c r="V128" i="209"/>
  <c r="G37" i="388"/>
  <c r="I37" i="388" s="1"/>
  <c r="V36" i="209"/>
  <c r="G25" i="388"/>
  <c r="I25" i="388" s="1"/>
  <c r="V24" i="209"/>
  <c r="G16" i="388"/>
  <c r="I16" i="388" s="1"/>
  <c r="V15" i="209"/>
  <c r="G157" i="388"/>
  <c r="I157" i="388" s="1"/>
  <c r="V156" i="209"/>
  <c r="G158" i="388"/>
  <c r="I158" i="388" s="1"/>
  <c r="V157" i="209"/>
  <c r="G226" i="388"/>
  <c r="I226" i="388" s="1"/>
  <c r="V225" i="209"/>
  <c r="G15" i="388"/>
  <c r="I15" i="388" s="1"/>
  <c r="V14" i="209"/>
  <c r="G156" i="388"/>
  <c r="I156" i="388" s="1"/>
  <c r="V155" i="209"/>
  <c r="G159" i="388"/>
  <c r="I159" i="388" s="1"/>
  <c r="V158" i="209"/>
  <c r="G196" i="388"/>
  <c r="I196" i="388" s="1"/>
  <c r="V195" i="209"/>
  <c r="G117" i="388"/>
  <c r="I117" i="388" s="1"/>
  <c r="V116" i="209"/>
  <c r="G9" i="388"/>
  <c r="I9" i="388" s="1"/>
  <c r="V8" i="209"/>
  <c r="G160" i="388"/>
  <c r="I160" i="388" s="1"/>
  <c r="V159" i="209"/>
  <c r="G10" i="388"/>
  <c r="I10" i="388" s="1"/>
  <c r="V9" i="209"/>
  <c r="G11" i="388"/>
  <c r="I11" i="388" s="1"/>
  <c r="V10" i="209"/>
  <c r="G127" i="388"/>
  <c r="I127" i="388" s="1"/>
  <c r="V126" i="209"/>
  <c r="G44" i="388"/>
  <c r="I44" i="388" s="1"/>
  <c r="V43" i="209"/>
  <c r="G105" i="388"/>
  <c r="I105" i="388" s="1"/>
  <c r="V104" i="209"/>
  <c r="G189" i="388"/>
  <c r="I189" i="388" s="1"/>
  <c r="V188" i="209"/>
  <c r="G48" i="388"/>
  <c r="I48" i="388" s="1"/>
  <c r="V47" i="209"/>
  <c r="G136" i="388"/>
  <c r="I136" i="388" s="1"/>
  <c r="V135" i="209"/>
  <c r="G124" i="388"/>
  <c r="I124" i="388" s="1"/>
  <c r="V123" i="209"/>
  <c r="G22" i="388"/>
  <c r="I22" i="388" s="1"/>
  <c r="V21" i="209"/>
  <c r="G191" i="388"/>
  <c r="I191" i="388" s="1"/>
  <c r="V190" i="209"/>
  <c r="G12" i="388"/>
  <c r="I12" i="388" s="1"/>
  <c r="V11" i="209"/>
  <c r="G104" i="388"/>
  <c r="I104" i="388" s="1"/>
  <c r="V103" i="209"/>
  <c r="G141" i="388"/>
  <c r="I141" i="388" s="1"/>
  <c r="V140" i="209"/>
  <c r="G81" i="388"/>
  <c r="I81" i="388" s="1"/>
  <c r="V79" i="209"/>
  <c r="G54" i="388"/>
  <c r="I54" i="388" s="1"/>
  <c r="V53" i="209"/>
  <c r="G188" i="388"/>
  <c r="I188" i="388" s="1"/>
  <c r="V187" i="209"/>
  <c r="G224" i="388"/>
  <c r="I224" i="388" s="1"/>
  <c r="V223" i="209"/>
  <c r="G222" i="388"/>
  <c r="I222" i="388" s="1"/>
  <c r="V221" i="209"/>
  <c r="G35" i="388"/>
  <c r="I35" i="388" s="1"/>
  <c r="V34" i="209"/>
  <c r="G192" i="388"/>
  <c r="I192" i="388" s="1"/>
  <c r="V191" i="209"/>
  <c r="G91" i="388"/>
  <c r="I91" i="388" s="1"/>
  <c r="V89" i="209"/>
  <c r="G33" i="388"/>
  <c r="I33" i="388" s="1"/>
  <c r="V32" i="209"/>
  <c r="G84" i="388"/>
  <c r="I84" i="388" s="1"/>
  <c r="V82" i="209"/>
  <c r="G144" i="388"/>
  <c r="I144" i="388" s="1"/>
  <c r="V143" i="209"/>
  <c r="G52" i="388"/>
  <c r="I52" i="388" s="1"/>
  <c r="V51" i="209"/>
  <c r="G47" i="388"/>
  <c r="I47" i="388" s="1"/>
  <c r="V46" i="209"/>
  <c r="G23" i="388"/>
  <c r="I23" i="388" s="1"/>
  <c r="V22" i="209"/>
  <c r="G17" i="388"/>
  <c r="I17" i="388" s="1"/>
  <c r="V16" i="209"/>
  <c r="G163" i="388"/>
  <c r="I163" i="388" s="1"/>
  <c r="V162" i="209"/>
  <c r="G184" i="388"/>
  <c r="I184" i="388" s="1"/>
  <c r="V183" i="209"/>
  <c r="G55" i="388"/>
  <c r="I55" i="388" s="1"/>
  <c r="V54" i="209"/>
  <c r="G103" i="388"/>
  <c r="I103" i="388" s="1"/>
  <c r="V102" i="209"/>
  <c r="G98" i="388"/>
  <c r="I98" i="388" s="1"/>
  <c r="V97" i="209"/>
  <c r="G113" i="388"/>
  <c r="I113" i="388" s="1"/>
  <c r="V112" i="209"/>
  <c r="G194" i="388"/>
  <c r="I194" i="388" s="1"/>
  <c r="V193" i="209"/>
  <c r="G40" i="388"/>
  <c r="I40" i="388" s="1"/>
  <c r="V39" i="209"/>
  <c r="G134" i="388"/>
  <c r="I134" i="388" s="1"/>
  <c r="V133" i="209"/>
  <c r="G43" i="388"/>
  <c r="I43" i="388" s="1"/>
  <c r="V42" i="209"/>
  <c r="G122" i="388"/>
  <c r="I122" i="388" s="1"/>
  <c r="V121" i="209"/>
  <c r="G153" i="388"/>
  <c r="I153" i="388" s="1"/>
  <c r="V152" i="209"/>
  <c r="G147" i="388"/>
  <c r="I147" i="388" s="1"/>
  <c r="V146" i="209"/>
  <c r="G112" i="388"/>
  <c r="I112" i="388" s="1"/>
  <c r="V111" i="209"/>
  <c r="G140" i="388"/>
  <c r="I140" i="388" s="1"/>
  <c r="V139" i="209"/>
  <c r="G46" i="388"/>
  <c r="I46" i="388" s="1"/>
  <c r="V45" i="209"/>
  <c r="G24" i="388"/>
  <c r="I24" i="388" s="1"/>
  <c r="V23" i="209"/>
  <c r="G7" i="290"/>
  <c r="I7" i="290" s="1"/>
  <c r="D60" i="162"/>
  <c r="F49" i="195"/>
  <c r="E48" i="182"/>
  <c r="E31" i="215" s="1"/>
  <c r="E129" i="209"/>
  <c r="E95" i="209"/>
  <c r="E180" i="209"/>
  <c r="E99" i="209"/>
  <c r="E118" i="209"/>
  <c r="E54" i="138"/>
  <c r="E55" i="138" s="1"/>
  <c r="E136" i="209"/>
  <c r="E80" i="209"/>
  <c r="E197" i="209"/>
  <c r="E147" i="209"/>
  <c r="E94" i="209"/>
  <c r="E52" i="209"/>
  <c r="E132" i="209"/>
  <c r="E105" i="209"/>
  <c r="E49" i="209"/>
  <c r="E142" i="209"/>
  <c r="E120" i="209"/>
  <c r="E31" i="209"/>
  <c r="E107" i="209"/>
  <c r="E161" i="209"/>
  <c r="E176" i="209"/>
  <c r="E145" i="209"/>
  <c r="E98" i="209"/>
  <c r="E154" i="209"/>
  <c r="E33" i="209"/>
  <c r="F49" i="321"/>
  <c r="F49" i="189"/>
  <c r="F49" i="307"/>
  <c r="F49" i="266"/>
  <c r="F49" i="162"/>
  <c r="E7" i="209"/>
  <c r="F49" i="152"/>
  <c r="F49" i="225"/>
  <c r="F49" i="341"/>
  <c r="F49" i="173"/>
  <c r="F49" i="238"/>
  <c r="F49" i="192"/>
  <c r="F49" i="329"/>
  <c r="F49" i="169"/>
  <c r="F49" i="262"/>
  <c r="F49" i="315"/>
  <c r="F49" i="242"/>
  <c r="E48" i="137"/>
  <c r="E49" i="137" s="1"/>
  <c r="F49" i="137"/>
  <c r="E56" i="137" s="1"/>
  <c r="G32" i="388" l="1"/>
  <c r="I32" i="388" s="1"/>
  <c r="V31" i="209"/>
  <c r="G148" i="388"/>
  <c r="I148" i="388" s="1"/>
  <c r="V147" i="209"/>
  <c r="G96" i="388"/>
  <c r="I96" i="388" s="1"/>
  <c r="V95" i="209"/>
  <c r="G155" i="388"/>
  <c r="I155" i="388" s="1"/>
  <c r="V154" i="209"/>
  <c r="G143" i="388"/>
  <c r="I143" i="388" s="1"/>
  <c r="V142" i="209"/>
  <c r="G82" i="388"/>
  <c r="I82" i="388" s="1"/>
  <c r="V80" i="209"/>
  <c r="G8" i="388"/>
  <c r="I8" i="388" s="1"/>
  <c r="V7" i="209"/>
  <c r="G137" i="388"/>
  <c r="I137" i="388" s="1"/>
  <c r="V136" i="209"/>
  <c r="G198" i="388"/>
  <c r="I198" i="388" s="1"/>
  <c r="V197" i="209"/>
  <c r="G50" i="388"/>
  <c r="I50" i="388" s="1"/>
  <c r="V49" i="209"/>
  <c r="G146" i="388"/>
  <c r="I146" i="388" s="1"/>
  <c r="V145" i="209"/>
  <c r="G106" i="388"/>
  <c r="I106" i="388" s="1"/>
  <c r="V105" i="209"/>
  <c r="G121" i="388"/>
  <c r="I121" i="388" s="1"/>
  <c r="V120" i="209"/>
  <c r="G177" i="388"/>
  <c r="I177" i="388" s="1"/>
  <c r="V176" i="209"/>
  <c r="G119" i="388"/>
  <c r="I119" i="388" s="1"/>
  <c r="V118" i="209"/>
  <c r="G130" i="388"/>
  <c r="I130" i="388" s="1"/>
  <c r="V129" i="209"/>
  <c r="G99" i="388"/>
  <c r="I99" i="388" s="1"/>
  <c r="V98" i="209"/>
  <c r="G133" i="388"/>
  <c r="I133" i="388" s="1"/>
  <c r="V132" i="209"/>
  <c r="G162" i="388"/>
  <c r="I162" i="388" s="1"/>
  <c r="V161" i="209"/>
  <c r="G53" i="388"/>
  <c r="I53" i="388" s="1"/>
  <c r="V52" i="209"/>
  <c r="G100" i="388"/>
  <c r="I100" i="388" s="1"/>
  <c r="V99" i="209"/>
  <c r="G34" i="388"/>
  <c r="I34" i="388" s="1"/>
  <c r="V33" i="209"/>
  <c r="G108" i="388"/>
  <c r="I108" i="388" s="1"/>
  <c r="V107" i="209"/>
  <c r="G95" i="388"/>
  <c r="I95" i="388" s="1"/>
  <c r="V94" i="209"/>
  <c r="G181" i="388"/>
  <c r="I181" i="388" s="1"/>
  <c r="V180" i="209"/>
  <c r="E49" i="182"/>
  <c r="E54" i="137"/>
  <c r="E55" i="137" s="1"/>
  <c r="E6" i="209"/>
  <c r="V6" i="209" s="1"/>
  <c r="D60" i="137"/>
  <c r="D64" i="137" l="1"/>
  <c r="D66" i="137" s="1"/>
  <c r="I30" i="215"/>
  <c r="D60" i="182"/>
  <c r="E25" i="209"/>
  <c r="G7" i="388"/>
  <c r="G26" i="388" l="1"/>
  <c r="I26" i="388" s="1"/>
  <c r="V25" i="209"/>
  <c r="I34" i="215"/>
  <c r="I39" i="215"/>
  <c r="I41" i="215" s="1"/>
  <c r="I43" i="215" s="1"/>
  <c r="I36" i="215"/>
  <c r="I31" i="215"/>
  <c r="P8" i="388"/>
  <c r="I7" i="388"/>
  <c r="I29" i="216"/>
  <c r="D68" i="182"/>
  <c r="D64" i="182"/>
  <c r="D66" i="182" s="1"/>
  <c r="D70" i="182"/>
  <c r="D72" i="182" s="1"/>
  <c r="X8" i="388"/>
  <c r="C12" i="384" l="1"/>
  <c r="C20" i="384" s="1"/>
  <c r="C12" i="185"/>
  <c r="C20" i="185" s="1"/>
  <c r="C12" i="149"/>
  <c r="C20" i="149" s="1"/>
  <c r="C12" i="311"/>
  <c r="C20" i="311" s="1"/>
  <c r="C12" i="315"/>
  <c r="C20" i="315" s="1"/>
  <c r="C12" i="188"/>
  <c r="C20" i="188" s="1"/>
  <c r="C12" i="174"/>
  <c r="C20" i="174" s="1"/>
  <c r="C12" i="152"/>
  <c r="C20" i="152" s="1"/>
  <c r="C12" i="151"/>
  <c r="C20" i="151" s="1"/>
  <c r="C12" i="141"/>
  <c r="C20" i="141" s="1"/>
  <c r="C12" i="139"/>
  <c r="C20" i="139" s="1"/>
  <c r="C12" i="173"/>
  <c r="C20" i="173" s="1"/>
  <c r="C12" i="212"/>
  <c r="C20" i="212" s="1"/>
  <c r="C12" i="184"/>
  <c r="C20" i="184" s="1"/>
  <c r="C12" i="164"/>
  <c r="C20" i="164" s="1"/>
  <c r="C12" i="162"/>
  <c r="C20" i="162" s="1"/>
  <c r="C12" i="148"/>
  <c r="C20" i="148" s="1"/>
  <c r="C12" i="186"/>
  <c r="C20" i="186" s="1"/>
  <c r="C12" i="233"/>
  <c r="C20" i="233" s="1"/>
  <c r="C12" i="172"/>
  <c r="C20" i="172" s="1"/>
  <c r="C12" i="313"/>
  <c r="C20" i="313" s="1"/>
  <c r="C12" i="144"/>
  <c r="C20" i="144" s="1"/>
  <c r="C12" i="163"/>
  <c r="C20" i="163" s="1"/>
  <c r="C12" i="150"/>
  <c r="C20" i="150" s="1"/>
  <c r="C12" i="171"/>
  <c r="C20" i="171" s="1"/>
  <c r="C12" i="183"/>
  <c r="C20" i="183" s="1"/>
  <c r="C12" i="386"/>
  <c r="C20" i="386" s="1"/>
  <c r="C12" i="154"/>
  <c r="C20" i="154" s="1"/>
  <c r="C12" i="137"/>
  <c r="C20" i="137" s="1"/>
  <c r="C12" i="145"/>
  <c r="C20" i="145" s="1"/>
  <c r="C12" i="190"/>
  <c r="C20" i="190" s="1"/>
  <c r="C12" i="153"/>
  <c r="C20" i="153" s="1"/>
  <c r="C12" i="146"/>
  <c r="C20" i="146" s="1"/>
  <c r="C12" i="140"/>
  <c r="C20" i="140" s="1"/>
  <c r="C12" i="155"/>
  <c r="C20" i="155" s="1"/>
  <c r="C12" i="191"/>
  <c r="C20" i="191" s="1"/>
  <c r="C12" i="189"/>
  <c r="C20" i="189" s="1"/>
  <c r="C12" i="187"/>
  <c r="C20" i="187" s="1"/>
  <c r="C12" i="175"/>
  <c r="C20" i="175" s="1"/>
  <c r="C12" i="198"/>
  <c r="C20" i="198" s="1"/>
  <c r="C12" i="221"/>
  <c r="C20" i="221" s="1"/>
  <c r="C12" i="165"/>
  <c r="C20" i="165" s="1"/>
  <c r="C12" i="142"/>
  <c r="C20" i="142" s="1"/>
  <c r="C12" i="157"/>
  <c r="C20" i="157" s="1"/>
  <c r="C12" i="240"/>
  <c r="C20" i="240" s="1"/>
  <c r="C12" i="147"/>
  <c r="C20" i="147" s="1"/>
  <c r="C12" i="192"/>
  <c r="C20" i="192" s="1"/>
  <c r="C12" i="194"/>
  <c r="C20" i="194" s="1"/>
  <c r="C12" i="159"/>
  <c r="C20" i="159" s="1"/>
  <c r="C12" i="202"/>
  <c r="C20" i="202" s="1"/>
  <c r="C12" i="236"/>
  <c r="C20" i="236" s="1"/>
  <c r="C12" i="180"/>
  <c r="C20" i="180" s="1"/>
  <c r="C12" i="161"/>
  <c r="C20" i="161" s="1"/>
  <c r="C12" i="200"/>
  <c r="C20" i="200" s="1"/>
  <c r="C12" i="177"/>
  <c r="C20" i="177" s="1"/>
  <c r="C12" i="181"/>
  <c r="C20" i="181" s="1"/>
  <c r="C12" i="246"/>
  <c r="C20" i="246" s="1"/>
  <c r="C12" i="301"/>
  <c r="C20" i="301" s="1"/>
  <c r="C12" i="307"/>
  <c r="C20" i="307" s="1"/>
  <c r="C12" i="238"/>
  <c r="C20" i="238" s="1"/>
  <c r="C12" i="242"/>
  <c r="C20" i="242" s="1"/>
  <c r="C12" i="197"/>
  <c r="C20" i="197" s="1"/>
  <c r="C12" i="297"/>
  <c r="C20" i="297" s="1"/>
  <c r="C12" i="250"/>
  <c r="C20" i="250" s="1"/>
  <c r="C12" i="138"/>
  <c r="C20" i="138" s="1"/>
  <c r="C12" i="170"/>
  <c r="C20" i="170" s="1"/>
  <c r="C12" i="179"/>
  <c r="C20" i="179" s="1"/>
  <c r="C12" i="193"/>
  <c r="C20" i="193" s="1"/>
  <c r="C12" i="195"/>
  <c r="C20" i="195" s="1"/>
  <c r="C12" i="160"/>
  <c r="C20" i="160" s="1"/>
  <c r="C12" i="201"/>
  <c r="C20" i="201" s="1"/>
  <c r="C12" i="268"/>
  <c r="C20" i="268" s="1"/>
  <c r="C12" i="168"/>
  <c r="C20" i="168" s="1"/>
  <c r="C12" i="176"/>
  <c r="C20" i="176" s="1"/>
  <c r="C12" i="303"/>
  <c r="C20" i="303" s="1"/>
  <c r="C12" i="277"/>
  <c r="C20" i="277" s="1"/>
  <c r="C12" i="282"/>
  <c r="C20" i="282" s="1"/>
  <c r="C12" i="205"/>
  <c r="C20" i="205" s="1"/>
  <c r="C12" i="225"/>
  <c r="C20" i="225" s="1"/>
  <c r="C12" i="166"/>
  <c r="C20" i="166" s="1"/>
  <c r="C12" i="196"/>
  <c r="C20" i="196" s="1"/>
  <c r="C12" i="249"/>
  <c r="C20" i="249" s="1"/>
  <c r="C12" i="206"/>
  <c r="C20" i="206" s="1"/>
  <c r="C12" i="227"/>
  <c r="C20" i="227" s="1"/>
  <c r="C12" i="218"/>
  <c r="C20" i="218" s="1"/>
  <c r="C12" i="264"/>
  <c r="C20" i="264" s="1"/>
  <c r="C12" i="299"/>
  <c r="C20" i="299" s="1"/>
  <c r="C12" i="254"/>
  <c r="C20" i="254" s="1"/>
  <c r="C12" i="203"/>
  <c r="C20" i="203" s="1"/>
  <c r="C12" i="223"/>
  <c r="C20" i="223" s="1"/>
  <c r="C12" i="229"/>
  <c r="C20" i="229" s="1"/>
  <c r="C12" i="208"/>
  <c r="C20" i="208" s="1"/>
  <c r="C12" i="323"/>
  <c r="C20" i="323" s="1"/>
  <c r="C12" i="327"/>
  <c r="C20" i="327" s="1"/>
  <c r="C12" i="337"/>
  <c r="C20" i="337" s="1"/>
  <c r="C12" i="305"/>
  <c r="C20" i="305" s="1"/>
  <c r="C12" i="284"/>
  <c r="C20" i="284" s="1"/>
  <c r="C12" i="158"/>
  <c r="C20" i="158" s="1"/>
  <c r="C12" i="156"/>
  <c r="C20" i="156" s="1"/>
  <c r="C12" i="244"/>
  <c r="C20" i="244" s="1"/>
  <c r="C12" i="256"/>
  <c r="C20" i="256" s="1"/>
  <c r="C12" i="258"/>
  <c r="C20" i="258" s="1"/>
  <c r="C12" i="271"/>
  <c r="C20" i="271" s="1"/>
  <c r="C12" i="167"/>
  <c r="C20" i="167" s="1"/>
  <c r="C12" i="339"/>
  <c r="C20" i="339" s="1"/>
  <c r="C12" i="363"/>
  <c r="C20" i="363" s="1"/>
  <c r="C12" i="321"/>
  <c r="C20" i="321" s="1"/>
  <c r="C12" i="365"/>
  <c r="C20" i="365" s="1"/>
  <c r="C12" i="231"/>
  <c r="C20" i="231" s="1"/>
  <c r="C12" i="329"/>
  <c r="C20" i="329" s="1"/>
  <c r="C12" i="295"/>
  <c r="C20" i="295" s="1"/>
  <c r="C12" i="252"/>
  <c r="C20" i="252" s="1"/>
  <c r="C12" i="260"/>
  <c r="C20" i="260" s="1"/>
  <c r="C12" i="262"/>
  <c r="C20" i="262" s="1"/>
  <c r="C12" i="266"/>
  <c r="C20" i="266" s="1"/>
  <c r="C12" i="275"/>
  <c r="C20" i="275" s="1"/>
  <c r="C12" i="319"/>
  <c r="C20" i="319" s="1"/>
  <c r="C12" i="349"/>
  <c r="C20" i="349" s="1"/>
  <c r="C12" i="355"/>
  <c r="C20" i="355" s="1"/>
  <c r="C12" i="357"/>
  <c r="C20" i="357" s="1"/>
  <c r="C12" i="367"/>
  <c r="C20" i="367" s="1"/>
  <c r="C12" i="371"/>
  <c r="C20" i="371" s="1"/>
  <c r="C12" i="378"/>
  <c r="C20" i="378" s="1"/>
  <c r="C12" i="380"/>
  <c r="C20" i="380" s="1"/>
  <c r="C12" i="273"/>
  <c r="C20" i="273" s="1"/>
  <c r="C12" i="169"/>
  <c r="C20" i="169" s="1"/>
  <c r="C12" i="325"/>
  <c r="C20" i="325" s="1"/>
  <c r="C12" i="335"/>
  <c r="C20" i="335" s="1"/>
  <c r="C12" i="343"/>
  <c r="C20" i="343" s="1"/>
  <c r="C12" i="309"/>
  <c r="C20" i="309" s="1"/>
  <c r="C12" i="333"/>
  <c r="C20" i="333" s="1"/>
  <c r="C12" i="347"/>
  <c r="C20" i="347" s="1"/>
  <c r="C12" i="199"/>
  <c r="C20" i="199" s="1"/>
  <c r="C12" i="207"/>
  <c r="C20" i="207" s="1"/>
  <c r="C12" i="331"/>
  <c r="C20" i="331" s="1"/>
  <c r="C12" i="353"/>
  <c r="C20" i="353" s="1"/>
  <c r="C12" i="361"/>
  <c r="C20" i="361" s="1"/>
  <c r="C12" i="373"/>
  <c r="C20" i="373" s="1"/>
  <c r="C12" i="279"/>
  <c r="C20" i="279" s="1"/>
  <c r="C12" i="351"/>
  <c r="C20" i="351" s="1"/>
  <c r="C12" i="345"/>
  <c r="C20" i="345" s="1"/>
  <c r="C12" i="369"/>
  <c r="C20" i="369" s="1"/>
  <c r="C12" i="382"/>
  <c r="C20" i="382" s="1"/>
  <c r="C12" i="204"/>
  <c r="C20" i="204" s="1"/>
  <c r="C12" i="317"/>
  <c r="C20" i="317" s="1"/>
  <c r="C12" i="341"/>
  <c r="C20" i="341" s="1"/>
  <c r="C12" i="359"/>
  <c r="C20" i="359" s="1"/>
  <c r="C12" i="182"/>
  <c r="C20" i="182" s="1"/>
  <c r="C29" i="182" s="1"/>
  <c r="C12" i="376"/>
  <c r="C20" i="376" s="1"/>
  <c r="D30" i="182" l="1"/>
  <c r="C31" i="182"/>
  <c r="C32" i="182" l="1"/>
  <c r="D38" i="182" s="1"/>
  <c r="D33" i="182"/>
  <c r="G19" i="359"/>
  <c r="G20" i="359" s="1"/>
  <c r="G19" i="282"/>
  <c r="G20" i="282" s="1"/>
  <c r="G19" i="142"/>
  <c r="G20" i="142" s="1"/>
  <c r="G19" i="357"/>
  <c r="G20" i="357" s="1"/>
  <c r="G19" i="236"/>
  <c r="G20" i="236" s="1"/>
  <c r="G19" i="175"/>
  <c r="G20" i="175" s="1"/>
  <c r="G31" i="175" s="1"/>
  <c r="G19" i="157"/>
  <c r="G20" i="157" s="1"/>
  <c r="G19" i="367"/>
  <c r="G20" i="367" s="1"/>
  <c r="G20" i="182"/>
  <c r="G29" i="182" s="1"/>
  <c r="H30" i="182" s="1"/>
  <c r="G19" i="199"/>
  <c r="G20" i="199" s="1"/>
  <c r="G19" i="275"/>
  <c r="G20" i="275" s="1"/>
  <c r="G19" i="208"/>
  <c r="G20" i="208" s="1"/>
  <c r="G19" i="331"/>
  <c r="G20" i="331" s="1"/>
  <c r="G29" i="331" s="1"/>
  <c r="H30" i="331" s="1"/>
  <c r="G19" i="343"/>
  <c r="G20" i="343" s="1"/>
  <c r="G29" i="343" s="1"/>
  <c r="H30" i="343" s="1"/>
  <c r="H33" i="343" s="1"/>
  <c r="G19" i="349"/>
  <c r="G20" i="349" s="1"/>
  <c r="G29" i="349" s="1"/>
  <c r="H30" i="349" s="1"/>
  <c r="G19" i="361"/>
  <c r="G20" i="361" s="1"/>
  <c r="G19" i="373"/>
  <c r="G20" i="373" s="1"/>
  <c r="G19" i="177"/>
  <c r="G20" i="177" s="1"/>
  <c r="G19" i="173"/>
  <c r="G20" i="173" s="1"/>
  <c r="G19" i="172"/>
  <c r="G20" i="172" s="1"/>
  <c r="G19" i="180"/>
  <c r="G20" i="180" s="1"/>
  <c r="G29" i="180" s="1"/>
  <c r="H30" i="180" s="1"/>
  <c r="G19" i="339"/>
  <c r="G20" i="339" s="1"/>
  <c r="C33" i="182" l="1"/>
  <c r="C37" i="182" s="1"/>
  <c r="C43" i="182" s="1"/>
  <c r="C46" i="182" s="1"/>
  <c r="G31" i="349"/>
  <c r="G29" i="172"/>
  <c r="H30" i="172" s="1"/>
  <c r="G32" i="172" s="1"/>
  <c r="G31" i="172"/>
  <c r="G29" i="175"/>
  <c r="H30" i="175" s="1"/>
  <c r="G32" i="175" s="1"/>
  <c r="H38" i="175" s="1"/>
  <c r="G31" i="182"/>
  <c r="G31" i="331"/>
  <c r="G29" i="339"/>
  <c r="H30" i="339" s="1"/>
  <c r="G31" i="339"/>
  <c r="G29" i="177"/>
  <c r="H30" i="177" s="1"/>
  <c r="G31" i="177"/>
  <c r="H33" i="180"/>
  <c r="G32" i="180"/>
  <c r="H38" i="180" s="1"/>
  <c r="G29" i="361"/>
  <c r="H30" i="361" s="1"/>
  <c r="G31" i="361"/>
  <c r="G29" i="157"/>
  <c r="H30" i="157" s="1"/>
  <c r="G31" i="157"/>
  <c r="G29" i="208"/>
  <c r="H30" i="208" s="1"/>
  <c r="G31" i="208"/>
  <c r="G29" i="199"/>
  <c r="H30" i="199" s="1"/>
  <c r="G31" i="199"/>
  <c r="G29" i="275"/>
  <c r="H30" i="275" s="1"/>
  <c r="G31" i="275"/>
  <c r="G29" i="173"/>
  <c r="H30" i="173" s="1"/>
  <c r="G31" i="173"/>
  <c r="G19" i="369"/>
  <c r="G20" i="369" s="1"/>
  <c r="G19" i="376"/>
  <c r="G20" i="376" s="1"/>
  <c r="G19" i="201"/>
  <c r="G20" i="201" s="1"/>
  <c r="G19" i="264"/>
  <c r="G20" i="264" s="1"/>
  <c r="G19" i="277"/>
  <c r="G20" i="277" s="1"/>
  <c r="G19" i="317"/>
  <c r="G20" i="317" s="1"/>
  <c r="G19" i="311"/>
  <c r="G20" i="311" s="1"/>
  <c r="G19" i="303"/>
  <c r="G20" i="303" s="1"/>
  <c r="G32" i="331"/>
  <c r="H38" i="331" s="1"/>
  <c r="H33" i="331"/>
  <c r="G19" i="355"/>
  <c r="G20" i="355" s="1"/>
  <c r="G19" i="223"/>
  <c r="G20" i="223" s="1"/>
  <c r="G19" i="151"/>
  <c r="G20" i="151" s="1"/>
  <c r="G19" i="307"/>
  <c r="G20" i="307" s="1"/>
  <c r="G19" i="297"/>
  <c r="G20" i="297" s="1"/>
  <c r="G19" i="273"/>
  <c r="G20" i="273" s="1"/>
  <c r="G19" i="218"/>
  <c r="G20" i="218" s="1"/>
  <c r="G19" i="353"/>
  <c r="G20" i="353" s="1"/>
  <c r="G19" i="164"/>
  <c r="G20" i="164" s="1"/>
  <c r="G29" i="142"/>
  <c r="H30" i="142" s="1"/>
  <c r="G31" i="142"/>
  <c r="G29" i="359"/>
  <c r="H30" i="359" s="1"/>
  <c r="G31" i="359"/>
  <c r="G29" i="373"/>
  <c r="H30" i="373" s="1"/>
  <c r="G31" i="373"/>
  <c r="G19" i="174"/>
  <c r="G20" i="174" s="1"/>
  <c r="G19" i="181"/>
  <c r="G20" i="181" s="1"/>
  <c r="G19" i="179"/>
  <c r="G20" i="179" s="1"/>
  <c r="G19" i="321"/>
  <c r="G20" i="321" s="1"/>
  <c r="G19" i="325"/>
  <c r="G20" i="325" s="1"/>
  <c r="G19" i="203"/>
  <c r="G20" i="203" s="1"/>
  <c r="G19" i="371"/>
  <c r="G20" i="371" s="1"/>
  <c r="G29" i="367"/>
  <c r="H30" i="367" s="1"/>
  <c r="G31" i="367"/>
  <c r="H33" i="349"/>
  <c r="G32" i="349"/>
  <c r="H38" i="349" s="1"/>
  <c r="F25" i="132"/>
  <c r="F26" i="132" s="1"/>
  <c r="G19" i="141"/>
  <c r="G20" i="141" s="1"/>
  <c r="G19" i="145"/>
  <c r="G20" i="145" s="1"/>
  <c r="G19" i="146"/>
  <c r="G20" i="146" s="1"/>
  <c r="G19" i="139"/>
  <c r="G20" i="139" s="1"/>
  <c r="G19" i="137"/>
  <c r="G20" i="137" s="1"/>
  <c r="G19" i="212"/>
  <c r="G20" i="212" s="1"/>
  <c r="G19" i="144"/>
  <c r="G20" i="144" s="1"/>
  <c r="G19" i="140"/>
  <c r="G20" i="140" s="1"/>
  <c r="G19" i="150"/>
  <c r="G20" i="150" s="1"/>
  <c r="G19" i="313"/>
  <c r="G20" i="313" s="1"/>
  <c r="G19" i="152"/>
  <c r="G20" i="152" s="1"/>
  <c r="G19" i="162"/>
  <c r="G20" i="162" s="1"/>
  <c r="G19" i="159"/>
  <c r="G20" i="159" s="1"/>
  <c r="G19" i="165"/>
  <c r="G20" i="165" s="1"/>
  <c r="G19" i="187"/>
  <c r="G20" i="187" s="1"/>
  <c r="G19" i="148"/>
  <c r="G20" i="148" s="1"/>
  <c r="G19" i="191"/>
  <c r="G20" i="191" s="1"/>
  <c r="G19" i="170"/>
  <c r="G20" i="170" s="1"/>
  <c r="G19" i="183"/>
  <c r="G20" i="183" s="1"/>
  <c r="G19" i="149"/>
  <c r="G20" i="149" s="1"/>
  <c r="G19" i="386"/>
  <c r="G20" i="386" s="1"/>
  <c r="G19" i="185"/>
  <c r="G20" i="185" s="1"/>
  <c r="G19" i="240"/>
  <c r="G20" i="240" s="1"/>
  <c r="G19" i="188"/>
  <c r="G20" i="188" s="1"/>
  <c r="G19" i="166"/>
  <c r="G20" i="166" s="1"/>
  <c r="G19" i="205"/>
  <c r="G20" i="205" s="1"/>
  <c r="G19" i="190"/>
  <c r="G20" i="190" s="1"/>
  <c r="G19" i="184"/>
  <c r="G20" i="184" s="1"/>
  <c r="G19" i="206"/>
  <c r="G20" i="206" s="1"/>
  <c r="G19" i="256"/>
  <c r="G20" i="256" s="1"/>
  <c r="G19" i="153"/>
  <c r="G20" i="153" s="1"/>
  <c r="G19" i="196"/>
  <c r="G20" i="196" s="1"/>
  <c r="G19" i="154"/>
  <c r="G20" i="154" s="1"/>
  <c r="G19" i="246"/>
  <c r="G20" i="246" s="1"/>
  <c r="G19" i="163"/>
  <c r="G20" i="163" s="1"/>
  <c r="G19" i="254"/>
  <c r="G20" i="254" s="1"/>
  <c r="G19" i="193"/>
  <c r="G20" i="193" s="1"/>
  <c r="G19" i="155"/>
  <c r="G20" i="155" s="1"/>
  <c r="G19" i="319"/>
  <c r="G20" i="319" s="1"/>
  <c r="G19" i="204"/>
  <c r="G20" i="204" s="1"/>
  <c r="G19" i="158"/>
  <c r="G20" i="158" s="1"/>
  <c r="G19" i="189"/>
  <c r="G20" i="189" s="1"/>
  <c r="G19" i="160"/>
  <c r="G20" i="160" s="1"/>
  <c r="G19" i="299"/>
  <c r="G20" i="299" s="1"/>
  <c r="G19" i="238"/>
  <c r="G20" i="238" s="1"/>
  <c r="G19" i="192"/>
  <c r="G20" i="192" s="1"/>
  <c r="G19" i="161"/>
  <c r="G20" i="161" s="1"/>
  <c r="G19" i="156"/>
  <c r="G20" i="156" s="1"/>
  <c r="G19" i="266"/>
  <c r="G20" i="266" s="1"/>
  <c r="G19" i="186"/>
  <c r="G20" i="186" s="1"/>
  <c r="G19" i="225"/>
  <c r="G20" i="225" s="1"/>
  <c r="G19" i="351"/>
  <c r="G20" i="351" s="1"/>
  <c r="G19" i="207"/>
  <c r="G20" i="207" s="1"/>
  <c r="G19" i="380"/>
  <c r="G20" i="380" s="1"/>
  <c r="G19" i="345"/>
  <c r="G20" i="345" s="1"/>
  <c r="G19" i="284"/>
  <c r="G20" i="284" s="1"/>
  <c r="G19" i="231"/>
  <c r="G20" i="231" s="1"/>
  <c r="G19" i="323"/>
  <c r="G20" i="323" s="1"/>
  <c r="G19" i="221"/>
  <c r="G20" i="221" s="1"/>
  <c r="G19" i="384"/>
  <c r="G20" i="384" s="1"/>
  <c r="G19" i="347"/>
  <c r="G20" i="347" s="1"/>
  <c r="G19" i="244"/>
  <c r="G20" i="244" s="1"/>
  <c r="G19" i="227"/>
  <c r="G20" i="227" s="1"/>
  <c r="G19" i="147"/>
  <c r="G20" i="147" s="1"/>
  <c r="G19" i="167"/>
  <c r="G20" i="167" s="1"/>
  <c r="G19" i="176"/>
  <c r="G20" i="176" s="1"/>
  <c r="G19" i="262"/>
  <c r="G20" i="262" s="1"/>
  <c r="G19" i="195"/>
  <c r="G20" i="195" s="1"/>
  <c r="G19" i="315"/>
  <c r="G20" i="315" s="1"/>
  <c r="G19" i="258"/>
  <c r="G20" i="258" s="1"/>
  <c r="G19" i="295"/>
  <c r="G20" i="295" s="1"/>
  <c r="G19" i="250"/>
  <c r="G20" i="250" s="1"/>
  <c r="G19" i="169"/>
  <c r="G20" i="169" s="1"/>
  <c r="G19" i="333"/>
  <c r="G20" i="333" s="1"/>
  <c r="G19" i="249"/>
  <c r="G20" i="249" s="1"/>
  <c r="G19" i="309"/>
  <c r="G20" i="309" s="1"/>
  <c r="G19" i="198"/>
  <c r="G20" i="198" s="1"/>
  <c r="G19" i="260"/>
  <c r="G20" i="260" s="1"/>
  <c r="G19" i="229"/>
  <c r="G20" i="229" s="1"/>
  <c r="G19" i="329"/>
  <c r="G20" i="329" s="1"/>
  <c r="G19" i="305"/>
  <c r="G20" i="305" s="1"/>
  <c r="G19" i="271"/>
  <c r="G20" i="271" s="1"/>
  <c r="G19" i="341"/>
  <c r="G20" i="341" s="1"/>
  <c r="G19" i="233"/>
  <c r="G20" i="233" s="1"/>
  <c r="G19" i="365"/>
  <c r="G20" i="365" s="1"/>
  <c r="G19" i="268"/>
  <c r="G20" i="268" s="1"/>
  <c r="G19" i="202"/>
  <c r="G20" i="202" s="1"/>
  <c r="H33" i="182"/>
  <c r="G32" i="182"/>
  <c r="G19" i="337"/>
  <c r="G20" i="337" s="1"/>
  <c r="G19" i="168"/>
  <c r="G20" i="168" s="1"/>
  <c r="G19" i="242"/>
  <c r="G20" i="242" s="1"/>
  <c r="G19" i="335"/>
  <c r="G20" i="335" s="1"/>
  <c r="G19" i="194"/>
  <c r="G20" i="194" s="1"/>
  <c r="G19" i="252"/>
  <c r="G20" i="252" s="1"/>
  <c r="G29" i="236"/>
  <c r="H30" i="236" s="1"/>
  <c r="G31" i="236"/>
  <c r="G29" i="357"/>
  <c r="H30" i="357" s="1"/>
  <c r="G31" i="357"/>
  <c r="G32" i="343"/>
  <c r="H38" i="343" s="1"/>
  <c r="G31" i="180"/>
  <c r="G31" i="343"/>
  <c r="G19" i="279"/>
  <c r="G20" i="279" s="1"/>
  <c r="G19" i="197"/>
  <c r="G20" i="197" s="1"/>
  <c r="G19" i="378"/>
  <c r="G20" i="378" s="1"/>
  <c r="G19" i="301"/>
  <c r="G20" i="301" s="1"/>
  <c r="G19" i="171"/>
  <c r="G20" i="171" s="1"/>
  <c r="G19" i="327"/>
  <c r="G20" i="327" s="1"/>
  <c r="G19" i="382"/>
  <c r="G20" i="382" s="1"/>
  <c r="G19" i="363"/>
  <c r="G20" i="363" s="1"/>
  <c r="G19" i="138"/>
  <c r="G20" i="138" s="1"/>
  <c r="G29" i="282"/>
  <c r="H30" i="282" s="1"/>
  <c r="G31" i="282"/>
  <c r="G19" i="200"/>
  <c r="G20" i="200" s="1"/>
  <c r="F37" i="215"/>
  <c r="F38" i="215" s="1"/>
  <c r="G53" i="389" l="1"/>
  <c r="G54" i="389" s="1"/>
  <c r="G55" i="389" s="1"/>
  <c r="G53" i="400"/>
  <c r="G54" i="400" s="1"/>
  <c r="G55" i="400" s="1"/>
  <c r="G53" i="405"/>
  <c r="G54" i="405" s="1"/>
  <c r="G55" i="405" s="1"/>
  <c r="G53" i="404"/>
  <c r="G54" i="404" s="1"/>
  <c r="G55" i="404" s="1"/>
  <c r="G53" i="397"/>
  <c r="G54" i="397" s="1"/>
  <c r="G55" i="397" s="1"/>
  <c r="G53" i="395"/>
  <c r="G54" i="395" s="1"/>
  <c r="G55" i="395" s="1"/>
  <c r="G53" i="391"/>
  <c r="G54" i="391" s="1"/>
  <c r="G55" i="391" s="1"/>
  <c r="G53" i="402"/>
  <c r="G54" i="402" s="1"/>
  <c r="G55" i="402" s="1"/>
  <c r="G53" i="393"/>
  <c r="G54" i="393" s="1"/>
  <c r="G55" i="393" s="1"/>
  <c r="D47" i="182"/>
  <c r="H33" i="175"/>
  <c r="H33" i="172"/>
  <c r="G33" i="349"/>
  <c r="G37" i="349" s="1"/>
  <c r="G43" i="349" s="1"/>
  <c r="G46" i="349" s="1"/>
  <c r="H47" i="349" s="1"/>
  <c r="G48" i="349" s="1"/>
  <c r="G49" i="349" s="1"/>
  <c r="F146" i="209" s="1"/>
  <c r="G33" i="343"/>
  <c r="G37" i="343" s="1"/>
  <c r="G43" i="343" s="1"/>
  <c r="G46" i="343" s="1"/>
  <c r="H47" i="343" s="1"/>
  <c r="G48" i="343" s="1"/>
  <c r="G49" i="343" s="1"/>
  <c r="F143" i="209" s="1"/>
  <c r="G33" i="180"/>
  <c r="G37" i="180" s="1"/>
  <c r="G43" i="180" s="1"/>
  <c r="G46" i="180" s="1"/>
  <c r="H47" i="180" s="1"/>
  <c r="G48" i="180" s="1"/>
  <c r="G49" i="180" s="1"/>
  <c r="F89" i="209" s="1"/>
  <c r="G29" i="301"/>
  <c r="H30" i="301" s="1"/>
  <c r="G31" i="301"/>
  <c r="G29" i="309"/>
  <c r="H30" i="309" s="1"/>
  <c r="G31" i="309"/>
  <c r="G29" i="384"/>
  <c r="H30" i="384" s="1"/>
  <c r="G31" i="384"/>
  <c r="G29" i="351"/>
  <c r="H30" i="351" s="1"/>
  <c r="G31" i="351"/>
  <c r="G29" i="254"/>
  <c r="H30" i="254" s="1"/>
  <c r="G31" i="254"/>
  <c r="G29" i="184"/>
  <c r="H30" i="184" s="1"/>
  <c r="G31" i="184"/>
  <c r="G31" i="149"/>
  <c r="G29" i="149"/>
  <c r="H30" i="149" s="1"/>
  <c r="G29" i="162"/>
  <c r="H30" i="162" s="1"/>
  <c r="G31" i="162"/>
  <c r="G29" i="139"/>
  <c r="H30" i="139" s="1"/>
  <c r="G31" i="139"/>
  <c r="H33" i="367"/>
  <c r="G32" i="367"/>
  <c r="H38" i="367" s="1"/>
  <c r="G29" i="218"/>
  <c r="H30" i="218" s="1"/>
  <c r="G31" i="218"/>
  <c r="G29" i="369"/>
  <c r="H30" i="369" s="1"/>
  <c r="G31" i="369"/>
  <c r="G32" i="199"/>
  <c r="H38" i="199" s="1"/>
  <c r="H33" i="199"/>
  <c r="G29" i="233"/>
  <c r="H30" i="233" s="1"/>
  <c r="G31" i="233"/>
  <c r="G29" i="195"/>
  <c r="H30" i="195" s="1"/>
  <c r="G31" i="195"/>
  <c r="G29" i="299"/>
  <c r="H30" i="299" s="1"/>
  <c r="G31" i="299"/>
  <c r="G29" i="378"/>
  <c r="H30" i="378" s="1"/>
  <c r="G31" i="378"/>
  <c r="G29" i="168"/>
  <c r="H30" i="168" s="1"/>
  <c r="G31" i="168"/>
  <c r="G29" i="341"/>
  <c r="H30" i="341" s="1"/>
  <c r="G31" i="341"/>
  <c r="G29" i="249"/>
  <c r="H30" i="249" s="1"/>
  <c r="G31" i="249"/>
  <c r="G29" i="262"/>
  <c r="H30" i="262" s="1"/>
  <c r="G31" i="262"/>
  <c r="G29" i="221"/>
  <c r="H30" i="221" s="1"/>
  <c r="G31" i="221"/>
  <c r="G29" i="225"/>
  <c r="H30" i="225" s="1"/>
  <c r="G31" i="225"/>
  <c r="G29" i="160"/>
  <c r="H30" i="160" s="1"/>
  <c r="G31" i="160"/>
  <c r="G31" i="163"/>
  <c r="G29" i="163"/>
  <c r="H30" i="163" s="1"/>
  <c r="G29" i="190"/>
  <c r="H30" i="190" s="1"/>
  <c r="G31" i="190"/>
  <c r="G31" i="183"/>
  <c r="G29" i="183"/>
  <c r="H30" i="183" s="1"/>
  <c r="G29" i="152"/>
  <c r="H30" i="152" s="1"/>
  <c r="G31" i="152"/>
  <c r="G29" i="146"/>
  <c r="H30" i="146" s="1"/>
  <c r="G31" i="146"/>
  <c r="G29" i="371"/>
  <c r="H30" i="371" s="1"/>
  <c r="G31" i="371"/>
  <c r="G32" i="373"/>
  <c r="H38" i="373" s="1"/>
  <c r="H33" i="373"/>
  <c r="G29" i="273"/>
  <c r="H30" i="273" s="1"/>
  <c r="G31" i="273"/>
  <c r="G29" i="303"/>
  <c r="H30" i="303" s="1"/>
  <c r="G31" i="303"/>
  <c r="G33" i="175"/>
  <c r="G37" i="175" s="1"/>
  <c r="G43" i="175" s="1"/>
  <c r="G46" i="175" s="1"/>
  <c r="H33" i="357"/>
  <c r="G32" i="357"/>
  <c r="H38" i="357" s="1"/>
  <c r="G29" i="271"/>
  <c r="H30" i="271" s="1"/>
  <c r="G31" i="271"/>
  <c r="G29" i="205"/>
  <c r="H30" i="205" s="1"/>
  <c r="G31" i="205"/>
  <c r="H33" i="173"/>
  <c r="G32" i="173"/>
  <c r="H38" i="173" s="1"/>
  <c r="G29" i="138"/>
  <c r="H30" i="138" s="1"/>
  <c r="G31" i="138"/>
  <c r="G29" i="279"/>
  <c r="H30" i="279" s="1"/>
  <c r="G31" i="279"/>
  <c r="H38" i="182"/>
  <c r="G33" i="182"/>
  <c r="G29" i="305"/>
  <c r="H30" i="305" s="1"/>
  <c r="G31" i="305"/>
  <c r="G29" i="169"/>
  <c r="H30" i="169" s="1"/>
  <c r="G31" i="169"/>
  <c r="G29" i="167"/>
  <c r="H30" i="167" s="1"/>
  <c r="G31" i="167"/>
  <c r="G29" i="231"/>
  <c r="H30" i="231" s="1"/>
  <c r="G31" i="231"/>
  <c r="G31" i="266"/>
  <c r="G29" i="266"/>
  <c r="H30" i="266" s="1"/>
  <c r="G29" i="158"/>
  <c r="H30" i="158" s="1"/>
  <c r="G31" i="158"/>
  <c r="G29" i="154"/>
  <c r="H30" i="154" s="1"/>
  <c r="G31" i="154"/>
  <c r="G29" i="166"/>
  <c r="H30" i="166" s="1"/>
  <c r="G31" i="166"/>
  <c r="G31" i="191"/>
  <c r="G29" i="191"/>
  <c r="H30" i="191" s="1"/>
  <c r="G29" i="150"/>
  <c r="H30" i="150" s="1"/>
  <c r="G31" i="150"/>
  <c r="G29" i="141"/>
  <c r="H30" i="141" s="1"/>
  <c r="G31" i="141"/>
  <c r="G29" i="325"/>
  <c r="H30" i="325" s="1"/>
  <c r="G31" i="325"/>
  <c r="H33" i="359"/>
  <c r="G32" i="359"/>
  <c r="H38" i="359" s="1"/>
  <c r="G29" i="307"/>
  <c r="H30" i="307" s="1"/>
  <c r="G31" i="307"/>
  <c r="G29" i="317"/>
  <c r="H30" i="317" s="1"/>
  <c r="G31" i="317"/>
  <c r="G33" i="331"/>
  <c r="G37" i="331" s="1"/>
  <c r="G43" i="331" s="1"/>
  <c r="G46" i="331" s="1"/>
  <c r="H33" i="236"/>
  <c r="G32" i="236"/>
  <c r="H38" i="236" s="1"/>
  <c r="G29" i="186"/>
  <c r="H30" i="186" s="1"/>
  <c r="G31" i="186"/>
  <c r="G29" i="313"/>
  <c r="H30" i="313" s="1"/>
  <c r="G31" i="313"/>
  <c r="G29" i="297"/>
  <c r="H30" i="297" s="1"/>
  <c r="G31" i="297"/>
  <c r="G29" i="147"/>
  <c r="H30" i="147" s="1"/>
  <c r="G31" i="147"/>
  <c r="G29" i="284"/>
  <c r="H30" i="284" s="1"/>
  <c r="G31" i="284"/>
  <c r="G29" i="156"/>
  <c r="H30" i="156" s="1"/>
  <c r="G31" i="156"/>
  <c r="G29" i="204"/>
  <c r="H30" i="204" s="1"/>
  <c r="G31" i="204"/>
  <c r="G29" i="196"/>
  <c r="H30" i="196" s="1"/>
  <c r="G31" i="196"/>
  <c r="G29" i="188"/>
  <c r="H30" i="188" s="1"/>
  <c r="G31" i="188"/>
  <c r="G29" i="148"/>
  <c r="H30" i="148" s="1"/>
  <c r="G31" i="148"/>
  <c r="G29" i="140"/>
  <c r="H30" i="140" s="1"/>
  <c r="G31" i="140"/>
  <c r="F33" i="132"/>
  <c r="F34" i="132" s="1"/>
  <c r="G29" i="321"/>
  <c r="H30" i="321" s="1"/>
  <c r="G31" i="321"/>
  <c r="G29" i="151"/>
  <c r="H30" i="151" s="1"/>
  <c r="G31" i="151"/>
  <c r="G29" i="277"/>
  <c r="H30" i="277" s="1"/>
  <c r="G31" i="277"/>
  <c r="G32" i="275"/>
  <c r="H38" i="275" s="1"/>
  <c r="H33" i="275"/>
  <c r="H33" i="157"/>
  <c r="G32" i="157"/>
  <c r="H38" i="157" s="1"/>
  <c r="G29" i="200"/>
  <c r="H30" i="200" s="1"/>
  <c r="G31" i="200"/>
  <c r="G29" i="197"/>
  <c r="H30" i="197" s="1"/>
  <c r="G31" i="197"/>
  <c r="G29" i="176"/>
  <c r="H30" i="176" s="1"/>
  <c r="G31" i="176"/>
  <c r="G29" i="189"/>
  <c r="H30" i="189" s="1"/>
  <c r="G31" i="189"/>
  <c r="G29" i="145"/>
  <c r="H30" i="145" s="1"/>
  <c r="G31" i="145"/>
  <c r="G29" i="311"/>
  <c r="H30" i="311" s="1"/>
  <c r="G31" i="311"/>
  <c r="G29" i="250"/>
  <c r="H30" i="250" s="1"/>
  <c r="G31" i="250"/>
  <c r="G29" i="382"/>
  <c r="H30" i="382" s="1"/>
  <c r="G31" i="382"/>
  <c r="G29" i="252"/>
  <c r="H30" i="252" s="1"/>
  <c r="G31" i="252"/>
  <c r="G29" i="202"/>
  <c r="H30" i="202" s="1"/>
  <c r="G31" i="202"/>
  <c r="G29" i="229"/>
  <c r="H30" i="229" s="1"/>
  <c r="G31" i="229"/>
  <c r="G29" i="295"/>
  <c r="H30" i="295" s="1"/>
  <c r="G31" i="295"/>
  <c r="G29" i="227"/>
  <c r="H30" i="227" s="1"/>
  <c r="G31" i="227"/>
  <c r="G29" i="345"/>
  <c r="H30" i="345" s="1"/>
  <c r="G31" i="345"/>
  <c r="G29" i="161"/>
  <c r="H30" i="161" s="1"/>
  <c r="G31" i="161"/>
  <c r="G29" i="319"/>
  <c r="H30" i="319" s="1"/>
  <c r="G31" i="319"/>
  <c r="G29" i="153"/>
  <c r="H30" i="153" s="1"/>
  <c r="G31" i="153"/>
  <c r="G29" i="240"/>
  <c r="H30" i="240" s="1"/>
  <c r="G31" i="240"/>
  <c r="G31" i="187"/>
  <c r="G29" i="187"/>
  <c r="H30" i="187" s="1"/>
  <c r="G29" i="144"/>
  <c r="H30" i="144" s="1"/>
  <c r="G31" i="144"/>
  <c r="G29" i="179"/>
  <c r="H30" i="179" s="1"/>
  <c r="G31" i="179"/>
  <c r="G32" i="142"/>
  <c r="H38" i="142" s="1"/>
  <c r="H33" i="142"/>
  <c r="G29" i="223"/>
  <c r="H30" i="223" s="1"/>
  <c r="G31" i="223"/>
  <c r="G29" i="264"/>
  <c r="H30" i="264" s="1"/>
  <c r="G31" i="264"/>
  <c r="H38" i="172"/>
  <c r="G33" i="172"/>
  <c r="G37" i="172" s="1"/>
  <c r="G43" i="172" s="1"/>
  <c r="H33" i="177"/>
  <c r="G32" i="177"/>
  <c r="H38" i="177" s="1"/>
  <c r="G32" i="282"/>
  <c r="H38" i="282" s="1"/>
  <c r="H33" i="282"/>
  <c r="G29" i="333"/>
  <c r="H30" i="333" s="1"/>
  <c r="G31" i="333"/>
  <c r="G29" i="246"/>
  <c r="H30" i="246" s="1"/>
  <c r="G31" i="246"/>
  <c r="G32" i="208"/>
  <c r="H38" i="208" s="1"/>
  <c r="H33" i="208"/>
  <c r="G29" i="363"/>
  <c r="H30" i="363" s="1"/>
  <c r="G31" i="363"/>
  <c r="G29" i="327"/>
  <c r="H30" i="327" s="1"/>
  <c r="G31" i="327"/>
  <c r="G29" i="194"/>
  <c r="H30" i="194" s="1"/>
  <c r="G31" i="194"/>
  <c r="G29" i="268"/>
  <c r="H30" i="268" s="1"/>
  <c r="G31" i="268"/>
  <c r="G29" i="260"/>
  <c r="H30" i="260" s="1"/>
  <c r="G31" i="260"/>
  <c r="G29" i="258"/>
  <c r="H30" i="258" s="1"/>
  <c r="G31" i="258"/>
  <c r="G29" i="244"/>
  <c r="H30" i="244" s="1"/>
  <c r="G31" i="244"/>
  <c r="G29" i="380"/>
  <c r="H30" i="380" s="1"/>
  <c r="G31" i="380"/>
  <c r="G29" i="192"/>
  <c r="H30" i="192" s="1"/>
  <c r="G31" i="192"/>
  <c r="G29" i="155"/>
  <c r="H30" i="155" s="1"/>
  <c r="G31" i="155"/>
  <c r="G29" i="256"/>
  <c r="H30" i="256" s="1"/>
  <c r="G31" i="256"/>
  <c r="G29" i="185"/>
  <c r="H30" i="185" s="1"/>
  <c r="G31" i="185"/>
  <c r="G29" i="165"/>
  <c r="H30" i="165" s="1"/>
  <c r="G31" i="165"/>
  <c r="G31" i="212"/>
  <c r="G29" i="212"/>
  <c r="H30" i="212" s="1"/>
  <c r="G31" i="181"/>
  <c r="G29" i="181"/>
  <c r="H30" i="181" s="1"/>
  <c r="G29" i="164"/>
  <c r="H30" i="164" s="1"/>
  <c r="G31" i="164"/>
  <c r="G29" i="355"/>
  <c r="H30" i="355" s="1"/>
  <c r="G31" i="355"/>
  <c r="G31" i="201"/>
  <c r="G29" i="201"/>
  <c r="H30" i="201" s="1"/>
  <c r="G32" i="361"/>
  <c r="H38" i="361" s="1"/>
  <c r="H33" i="361"/>
  <c r="G29" i="242"/>
  <c r="H30" i="242" s="1"/>
  <c r="G31" i="242"/>
  <c r="G29" i="337"/>
  <c r="H30" i="337" s="1"/>
  <c r="G31" i="337"/>
  <c r="G29" i="323"/>
  <c r="H30" i="323" s="1"/>
  <c r="G31" i="323"/>
  <c r="G29" i="170"/>
  <c r="H30" i="170" s="1"/>
  <c r="G31" i="170"/>
  <c r="G29" i="203"/>
  <c r="H30" i="203" s="1"/>
  <c r="G31" i="203"/>
  <c r="G29" i="329"/>
  <c r="H30" i="329" s="1"/>
  <c r="G31" i="329"/>
  <c r="G29" i="171"/>
  <c r="H30" i="171" s="1"/>
  <c r="G31" i="171"/>
  <c r="G29" i="335"/>
  <c r="H30" i="335" s="1"/>
  <c r="G31" i="335"/>
  <c r="G29" i="365"/>
  <c r="H30" i="365" s="1"/>
  <c r="G31" i="365"/>
  <c r="G29" i="198"/>
  <c r="H30" i="198" s="1"/>
  <c r="G31" i="198"/>
  <c r="G29" i="315"/>
  <c r="H30" i="315" s="1"/>
  <c r="G31" i="315"/>
  <c r="G29" i="347"/>
  <c r="H30" i="347" s="1"/>
  <c r="G31" i="347"/>
  <c r="G29" i="207"/>
  <c r="H30" i="207" s="1"/>
  <c r="G31" i="207"/>
  <c r="G29" i="238"/>
  <c r="H30" i="238" s="1"/>
  <c r="G31" i="238"/>
  <c r="G31" i="193"/>
  <c r="G29" i="193"/>
  <c r="H30" i="193" s="1"/>
  <c r="G29" i="206"/>
  <c r="H30" i="206" s="1"/>
  <c r="G31" i="206"/>
  <c r="G29" i="386"/>
  <c r="H30" i="386" s="1"/>
  <c r="G31" i="386"/>
  <c r="G31" i="159"/>
  <c r="G29" i="159"/>
  <c r="H30" i="159" s="1"/>
  <c r="G29" i="137"/>
  <c r="H30" i="137" s="1"/>
  <c r="G31" i="137"/>
  <c r="G29" i="174"/>
  <c r="H30" i="174" s="1"/>
  <c r="G31" i="174"/>
  <c r="G29" i="353"/>
  <c r="H30" i="353" s="1"/>
  <c r="G31" i="353"/>
  <c r="G29" i="376"/>
  <c r="H30" i="376" s="1"/>
  <c r="G31" i="376"/>
  <c r="H33" i="339"/>
  <c r="G32" i="339"/>
  <c r="H38" i="339" s="1"/>
  <c r="J144" i="388" l="1"/>
  <c r="L144" i="388" s="1"/>
  <c r="W143" i="209"/>
  <c r="J147" i="388"/>
  <c r="L147" i="388" s="1"/>
  <c r="W146" i="209"/>
  <c r="J91" i="388"/>
  <c r="L91" i="388" s="1"/>
  <c r="W89" i="209"/>
  <c r="C48" i="182"/>
  <c r="D49" i="182"/>
  <c r="G33" i="199"/>
  <c r="G37" i="199" s="1"/>
  <c r="G43" i="199" s="1"/>
  <c r="G46" i="199" s="1"/>
  <c r="H47" i="199" s="1"/>
  <c r="G48" i="199" s="1"/>
  <c r="G49" i="199" s="1"/>
  <c r="F38" i="209" s="1"/>
  <c r="G33" i="357"/>
  <c r="G37" i="357" s="1"/>
  <c r="G43" i="357" s="1"/>
  <c r="G46" i="357" s="1"/>
  <c r="H47" i="357" s="1"/>
  <c r="G48" i="357" s="1"/>
  <c r="G49" i="357" s="1"/>
  <c r="F150" i="209" s="1"/>
  <c r="H49" i="343"/>
  <c r="G33" i="208"/>
  <c r="G37" i="208" s="1"/>
  <c r="G43" i="208" s="1"/>
  <c r="G46" i="208" s="1"/>
  <c r="H47" i="208" s="1"/>
  <c r="G48" i="208" s="1"/>
  <c r="G49" i="208" s="1"/>
  <c r="F58" i="209" s="1"/>
  <c r="G33" i="173"/>
  <c r="G37" i="173" s="1"/>
  <c r="G43" i="173" s="1"/>
  <c r="G46" i="173" s="1"/>
  <c r="H47" i="173" s="1"/>
  <c r="G33" i="359"/>
  <c r="G37" i="359" s="1"/>
  <c r="G43" i="359" s="1"/>
  <c r="G46" i="359" s="1"/>
  <c r="H47" i="359" s="1"/>
  <c r="G48" i="359" s="1"/>
  <c r="G49" i="359" s="1"/>
  <c r="F151" i="209" s="1"/>
  <c r="G33" i="157"/>
  <c r="G37" i="157" s="1"/>
  <c r="G43" i="157" s="1"/>
  <c r="G46" i="157" s="1"/>
  <c r="H47" i="157" s="1"/>
  <c r="G48" i="157" s="1"/>
  <c r="G49" i="157" s="1"/>
  <c r="F185" i="209" s="1"/>
  <c r="G33" i="367"/>
  <c r="G37" i="367" s="1"/>
  <c r="G43" i="367" s="1"/>
  <c r="G46" i="367" s="1"/>
  <c r="H47" i="367" s="1"/>
  <c r="G48" i="367" s="1"/>
  <c r="G49" i="367" s="1"/>
  <c r="F155" i="209" s="1"/>
  <c r="G33" i="275"/>
  <c r="G37" i="275" s="1"/>
  <c r="G43" i="275" s="1"/>
  <c r="G46" i="275" s="1"/>
  <c r="H47" i="275" s="1"/>
  <c r="H33" i="386"/>
  <c r="G32" i="386"/>
  <c r="H38" i="386" s="1"/>
  <c r="H33" i="258"/>
  <c r="G32" i="258"/>
  <c r="H38" i="258" s="1"/>
  <c r="H33" i="145"/>
  <c r="G32" i="145"/>
  <c r="H38" i="145" s="1"/>
  <c r="F7" i="291"/>
  <c r="E74" i="182"/>
  <c r="E76" i="182" s="1"/>
  <c r="G37" i="182"/>
  <c r="G43" i="182" s="1"/>
  <c r="G46" i="182" s="1"/>
  <c r="H47" i="182" s="1"/>
  <c r="G48" i="182" s="1"/>
  <c r="F31" i="215" s="1"/>
  <c r="G32" i="161"/>
  <c r="H38" i="161" s="1"/>
  <c r="H33" i="161"/>
  <c r="H33" i="250"/>
  <c r="G32" i="250"/>
  <c r="H38" i="250" s="1"/>
  <c r="G33" i="177"/>
  <c r="G37" i="177" s="1"/>
  <c r="G43" i="177" s="1"/>
  <c r="G46" i="177" s="1"/>
  <c r="H33" i="325"/>
  <c r="G32" i="325"/>
  <c r="H38" i="325" s="1"/>
  <c r="H33" i="371"/>
  <c r="G32" i="371"/>
  <c r="H38" i="371" s="1"/>
  <c r="H33" i="221"/>
  <c r="G32" i="221"/>
  <c r="H38" i="221" s="1"/>
  <c r="H33" i="168"/>
  <c r="G32" i="168"/>
  <c r="H38" i="168" s="1"/>
  <c r="H33" i="162"/>
  <c r="G32" i="162"/>
  <c r="H38" i="162" s="1"/>
  <c r="H33" i="351"/>
  <c r="G32" i="351"/>
  <c r="H38" i="351" s="1"/>
  <c r="H33" i="187"/>
  <c r="G32" i="187"/>
  <c r="H38" i="187" s="1"/>
  <c r="H33" i="204"/>
  <c r="G32" i="204"/>
  <c r="H38" i="204" s="1"/>
  <c r="H33" i="174"/>
  <c r="G32" i="174"/>
  <c r="H38" i="174" s="1"/>
  <c r="H33" i="337"/>
  <c r="G32" i="337"/>
  <c r="H38" i="337" s="1"/>
  <c r="H33" i="327"/>
  <c r="G32" i="327"/>
  <c r="H38" i="327" s="1"/>
  <c r="H33" i="229"/>
  <c r="G32" i="229"/>
  <c r="H38" i="229" s="1"/>
  <c r="H33" i="151"/>
  <c r="G32" i="151"/>
  <c r="H38" i="151" s="1"/>
  <c r="G32" i="166"/>
  <c r="H38" i="166" s="1"/>
  <c r="H33" i="166"/>
  <c r="H33" i="231"/>
  <c r="G32" i="231"/>
  <c r="H38" i="231" s="1"/>
  <c r="H33" i="190"/>
  <c r="G32" i="190"/>
  <c r="H38" i="190" s="1"/>
  <c r="H33" i="195"/>
  <c r="G32" i="195"/>
  <c r="H38" i="195" s="1"/>
  <c r="H49" i="180"/>
  <c r="H33" i="206"/>
  <c r="G32" i="206"/>
  <c r="H38" i="206" s="1"/>
  <c r="H33" i="347"/>
  <c r="G32" i="347"/>
  <c r="H38" i="347" s="1"/>
  <c r="H33" i="335"/>
  <c r="G32" i="335"/>
  <c r="H38" i="335" s="1"/>
  <c r="H33" i="355"/>
  <c r="G32" i="355"/>
  <c r="H38" i="355" s="1"/>
  <c r="G32" i="165"/>
  <c r="H38" i="165" s="1"/>
  <c r="H33" i="165"/>
  <c r="H33" i="192"/>
  <c r="G32" i="192"/>
  <c r="H38" i="192" s="1"/>
  <c r="H33" i="260"/>
  <c r="G32" i="260"/>
  <c r="H38" i="260" s="1"/>
  <c r="G33" i="361"/>
  <c r="G37" i="361" s="1"/>
  <c r="G43" i="361" s="1"/>
  <c r="G46" i="361" s="1"/>
  <c r="H33" i="189"/>
  <c r="G32" i="189"/>
  <c r="H38" i="189" s="1"/>
  <c r="G33" i="142"/>
  <c r="G37" i="142" s="1"/>
  <c r="G43" i="142" s="1"/>
  <c r="G46" i="142" s="1"/>
  <c r="H33" i="148"/>
  <c r="G32" i="148"/>
  <c r="H38" i="148" s="1"/>
  <c r="H33" i="156"/>
  <c r="G32" i="156"/>
  <c r="H38" i="156" s="1"/>
  <c r="H33" i="313"/>
  <c r="G32" i="313"/>
  <c r="H38" i="313" s="1"/>
  <c r="H33" i="205"/>
  <c r="G32" i="205"/>
  <c r="H38" i="205" s="1"/>
  <c r="H33" i="163"/>
  <c r="G32" i="163"/>
  <c r="H38" i="163" s="1"/>
  <c r="G33" i="236"/>
  <c r="G37" i="236" s="1"/>
  <c r="G43" i="236" s="1"/>
  <c r="G46" i="236" s="1"/>
  <c r="H33" i="218"/>
  <c r="G32" i="218"/>
  <c r="H38" i="218" s="1"/>
  <c r="H33" i="149"/>
  <c r="G32" i="149"/>
  <c r="H38" i="149" s="1"/>
  <c r="H33" i="140"/>
  <c r="G32" i="140"/>
  <c r="H38" i="140" s="1"/>
  <c r="H33" i="193"/>
  <c r="G32" i="193"/>
  <c r="H38" i="193" s="1"/>
  <c r="G32" i="203"/>
  <c r="H38" i="203" s="1"/>
  <c r="H33" i="203"/>
  <c r="H33" i="242"/>
  <c r="G32" i="242"/>
  <c r="H38" i="242" s="1"/>
  <c r="G32" i="246"/>
  <c r="H38" i="246" s="1"/>
  <c r="H33" i="246"/>
  <c r="G46" i="172"/>
  <c r="G32" i="240"/>
  <c r="H38" i="240" s="1"/>
  <c r="H33" i="240"/>
  <c r="G32" i="345"/>
  <c r="H38" i="345" s="1"/>
  <c r="H33" i="345"/>
  <c r="H33" i="202"/>
  <c r="G32" i="202"/>
  <c r="H38" i="202" s="1"/>
  <c r="H33" i="317"/>
  <c r="G32" i="317"/>
  <c r="H38" i="317" s="1"/>
  <c r="G32" i="141"/>
  <c r="H38" i="141" s="1"/>
  <c r="H33" i="141"/>
  <c r="G32" i="154"/>
  <c r="H38" i="154" s="1"/>
  <c r="H33" i="154"/>
  <c r="H33" i="167"/>
  <c r="G32" i="167"/>
  <c r="H38" i="167" s="1"/>
  <c r="G32" i="303"/>
  <c r="H38" i="303" s="1"/>
  <c r="H33" i="303"/>
  <c r="G32" i="146"/>
  <c r="H38" i="146" s="1"/>
  <c r="H33" i="146"/>
  <c r="G32" i="262"/>
  <c r="H38" i="262" s="1"/>
  <c r="H33" i="262"/>
  <c r="H33" i="233"/>
  <c r="G32" i="233"/>
  <c r="H38" i="233" s="1"/>
  <c r="G33" i="373"/>
  <c r="G37" i="373" s="1"/>
  <c r="G43" i="373" s="1"/>
  <c r="G46" i="373" s="1"/>
  <c r="H33" i="384"/>
  <c r="G32" i="384"/>
  <c r="H38" i="384" s="1"/>
  <c r="G32" i="279"/>
  <c r="H38" i="279" s="1"/>
  <c r="H33" i="279"/>
  <c r="G32" i="271"/>
  <c r="H38" i="271" s="1"/>
  <c r="H33" i="271"/>
  <c r="G32" i="378"/>
  <c r="H38" i="378" s="1"/>
  <c r="H33" i="378"/>
  <c r="H33" i="365"/>
  <c r="G32" i="365"/>
  <c r="H38" i="365" s="1"/>
  <c r="H33" i="200"/>
  <c r="G32" i="200"/>
  <c r="H38" i="200" s="1"/>
  <c r="G33" i="339"/>
  <c r="G37" i="339" s="1"/>
  <c r="G43" i="339" s="1"/>
  <c r="G46" i="339" s="1"/>
  <c r="H33" i="185"/>
  <c r="G32" i="185"/>
  <c r="H38" i="185" s="1"/>
  <c r="H33" i="268"/>
  <c r="G32" i="268"/>
  <c r="H38" i="268" s="1"/>
  <c r="H33" i="179"/>
  <c r="G32" i="179"/>
  <c r="H38" i="179" s="1"/>
  <c r="H33" i="321"/>
  <c r="G32" i="321"/>
  <c r="H38" i="321" s="1"/>
  <c r="G32" i="284"/>
  <c r="H38" i="284" s="1"/>
  <c r="H33" i="284"/>
  <c r="G32" i="376"/>
  <c r="H38" i="376" s="1"/>
  <c r="H33" i="376"/>
  <c r="H33" i="171"/>
  <c r="G32" i="171"/>
  <c r="H38" i="171" s="1"/>
  <c r="H33" i="153"/>
  <c r="G32" i="153"/>
  <c r="H38" i="153" s="1"/>
  <c r="H33" i="252"/>
  <c r="G32" i="252"/>
  <c r="H38" i="252" s="1"/>
  <c r="H33" i="150"/>
  <c r="G32" i="150"/>
  <c r="H38" i="150" s="1"/>
  <c r="H33" i="158"/>
  <c r="G32" i="158"/>
  <c r="H38" i="158" s="1"/>
  <c r="G32" i="169"/>
  <c r="H38" i="169" s="1"/>
  <c r="H33" i="169"/>
  <c r="G32" i="273"/>
  <c r="H38" i="273" s="1"/>
  <c r="H33" i="273"/>
  <c r="G32" i="152"/>
  <c r="H38" i="152" s="1"/>
  <c r="H33" i="152"/>
  <c r="H33" i="160"/>
  <c r="G32" i="160"/>
  <c r="H38" i="160" s="1"/>
  <c r="H33" i="249"/>
  <c r="G32" i="249"/>
  <c r="H38" i="249" s="1"/>
  <c r="G33" i="282"/>
  <c r="G37" i="282" s="1"/>
  <c r="G43" i="282" s="1"/>
  <c r="G46" i="282" s="1"/>
  <c r="H33" i="184"/>
  <c r="G32" i="184"/>
  <c r="H38" i="184" s="1"/>
  <c r="H33" i="309"/>
  <c r="G32" i="309"/>
  <c r="H38" i="309" s="1"/>
  <c r="H33" i="155"/>
  <c r="G32" i="155"/>
  <c r="H38" i="155" s="1"/>
  <c r="G32" i="315"/>
  <c r="H38" i="315" s="1"/>
  <c r="H33" i="315"/>
  <c r="H33" i="164"/>
  <c r="G32" i="164"/>
  <c r="H38" i="164" s="1"/>
  <c r="G32" i="380"/>
  <c r="H38" i="380" s="1"/>
  <c r="H33" i="380"/>
  <c r="H33" i="176"/>
  <c r="G32" i="176"/>
  <c r="H38" i="176" s="1"/>
  <c r="H33" i="188"/>
  <c r="G32" i="188"/>
  <c r="H38" i="188" s="1"/>
  <c r="H33" i="186"/>
  <c r="G32" i="186"/>
  <c r="H38" i="186" s="1"/>
  <c r="H33" i="159"/>
  <c r="G32" i="159"/>
  <c r="H38" i="159" s="1"/>
  <c r="G32" i="170"/>
  <c r="H38" i="170" s="1"/>
  <c r="H33" i="170"/>
  <c r="G32" i="181"/>
  <c r="H38" i="181" s="1"/>
  <c r="H33" i="181"/>
  <c r="G32" i="333"/>
  <c r="H38" i="333" s="1"/>
  <c r="H33" i="333"/>
  <c r="H49" i="349"/>
  <c r="H33" i="227"/>
  <c r="G32" i="227"/>
  <c r="H38" i="227" s="1"/>
  <c r="G32" i="311"/>
  <c r="H38" i="311" s="1"/>
  <c r="H33" i="311"/>
  <c r="H33" i="307"/>
  <c r="G32" i="307"/>
  <c r="H38" i="307" s="1"/>
  <c r="G32" i="238"/>
  <c r="H38" i="238" s="1"/>
  <c r="H33" i="238"/>
  <c r="H33" i="198"/>
  <c r="G32" i="198"/>
  <c r="H38" i="198" s="1"/>
  <c r="H33" i="256"/>
  <c r="G32" i="256"/>
  <c r="H38" i="256" s="1"/>
  <c r="H33" i="244"/>
  <c r="G32" i="244"/>
  <c r="H38" i="244" s="1"/>
  <c r="H33" i="194"/>
  <c r="G32" i="194"/>
  <c r="H38" i="194" s="1"/>
  <c r="H33" i="264"/>
  <c r="G32" i="264"/>
  <c r="H38" i="264" s="1"/>
  <c r="H33" i="197"/>
  <c r="G32" i="197"/>
  <c r="H38" i="197" s="1"/>
  <c r="G53" i="144"/>
  <c r="G53" i="145"/>
  <c r="G53" i="137"/>
  <c r="G53" i="212"/>
  <c r="G53" i="142"/>
  <c r="G53" i="146"/>
  <c r="G53" i="138"/>
  <c r="H33" i="196"/>
  <c r="G32" i="196"/>
  <c r="H38" i="196" s="1"/>
  <c r="G32" i="147"/>
  <c r="H38" i="147" s="1"/>
  <c r="H33" i="147"/>
  <c r="H33" i="191"/>
  <c r="G32" i="191"/>
  <c r="H38" i="191" s="1"/>
  <c r="H33" i="266"/>
  <c r="G32" i="266"/>
  <c r="H38" i="266" s="1"/>
  <c r="G32" i="138"/>
  <c r="H38" i="138" s="1"/>
  <c r="H33" i="138"/>
  <c r="H33" i="183"/>
  <c r="G32" i="183"/>
  <c r="H38" i="183" s="1"/>
  <c r="H33" i="207"/>
  <c r="G32" i="207"/>
  <c r="H38" i="207" s="1"/>
  <c r="H33" i="223"/>
  <c r="G32" i="223"/>
  <c r="H38" i="223" s="1"/>
  <c r="H33" i="297"/>
  <c r="G32" i="297"/>
  <c r="H38" i="297" s="1"/>
  <c r="G32" i="137"/>
  <c r="H38" i="137" s="1"/>
  <c r="H33" i="137"/>
  <c r="H33" i="353"/>
  <c r="G32" i="353"/>
  <c r="H38" i="353" s="1"/>
  <c r="H33" i="329"/>
  <c r="G32" i="329"/>
  <c r="H38" i="329" s="1"/>
  <c r="H33" i="323"/>
  <c r="G32" i="323"/>
  <c r="H38" i="323" s="1"/>
  <c r="H33" i="201"/>
  <c r="G32" i="201"/>
  <c r="H38" i="201" s="1"/>
  <c r="H33" i="212"/>
  <c r="G32" i="212"/>
  <c r="H38" i="212" s="1"/>
  <c r="H33" i="363"/>
  <c r="G32" i="363"/>
  <c r="H38" i="363" s="1"/>
  <c r="H33" i="144"/>
  <c r="G32" i="144"/>
  <c r="H38" i="144" s="1"/>
  <c r="G32" i="319"/>
  <c r="H38" i="319" s="1"/>
  <c r="H33" i="319"/>
  <c r="H33" i="295"/>
  <c r="G32" i="295"/>
  <c r="H38" i="295" s="1"/>
  <c r="H33" i="382"/>
  <c r="G32" i="382"/>
  <c r="H38" i="382" s="1"/>
  <c r="H33" i="277"/>
  <c r="G32" i="277"/>
  <c r="H38" i="277" s="1"/>
  <c r="H47" i="331"/>
  <c r="H33" i="305"/>
  <c r="G32" i="305"/>
  <c r="H38" i="305" s="1"/>
  <c r="H47" i="175"/>
  <c r="H33" i="225"/>
  <c r="G32" i="225"/>
  <c r="H38" i="225" s="1"/>
  <c r="H33" i="341"/>
  <c r="G32" i="341"/>
  <c r="H38" i="341" s="1"/>
  <c r="H33" i="299"/>
  <c r="G32" i="299"/>
  <c r="H38" i="299" s="1"/>
  <c r="H33" i="369"/>
  <c r="G32" i="369"/>
  <c r="H38" i="369" s="1"/>
  <c r="H33" i="139"/>
  <c r="G32" i="139"/>
  <c r="H38" i="139" s="1"/>
  <c r="G32" i="254"/>
  <c r="H38" i="254" s="1"/>
  <c r="H33" i="254"/>
  <c r="H33" i="301"/>
  <c r="G32" i="301"/>
  <c r="H38" i="301" s="1"/>
  <c r="J156" i="388" l="1"/>
  <c r="L156" i="388" s="1"/>
  <c r="W155" i="209"/>
  <c r="J152" i="388"/>
  <c r="L152" i="388" s="1"/>
  <c r="W151" i="209"/>
  <c r="J59" i="388"/>
  <c r="L59" i="388" s="1"/>
  <c r="W58" i="209"/>
  <c r="J186" i="388"/>
  <c r="L186" i="388" s="1"/>
  <c r="W185" i="209"/>
  <c r="J151" i="388"/>
  <c r="L151" i="388" s="1"/>
  <c r="W150" i="209"/>
  <c r="J39" i="388"/>
  <c r="L39" i="388" s="1"/>
  <c r="W38" i="209"/>
  <c r="J8" i="290"/>
  <c r="L8" i="290" s="1"/>
  <c r="D31" i="215"/>
  <c r="C49" i="182"/>
  <c r="H30" i="215" s="1"/>
  <c r="G33" i="231"/>
  <c r="G37" i="231" s="1"/>
  <c r="G43" i="231" s="1"/>
  <c r="G46" i="231" s="1"/>
  <c r="H47" i="231" s="1"/>
  <c r="G48" i="231" s="1"/>
  <c r="G49" i="231" s="1"/>
  <c r="F55" i="209" s="1"/>
  <c r="G33" i="155"/>
  <c r="G37" i="155" s="1"/>
  <c r="G43" i="155" s="1"/>
  <c r="G46" i="155" s="1"/>
  <c r="H47" i="155" s="1"/>
  <c r="G48" i="155" s="1"/>
  <c r="G49" i="155" s="1"/>
  <c r="F186" i="209" s="1"/>
  <c r="G33" i="327"/>
  <c r="G37" i="327" s="1"/>
  <c r="G43" i="327" s="1"/>
  <c r="G46" i="327" s="1"/>
  <c r="H47" i="327" s="1"/>
  <c r="G48" i="327" s="1"/>
  <c r="G49" i="327" s="1"/>
  <c r="F135" i="209" s="1"/>
  <c r="G33" i="183"/>
  <c r="G37" i="183" s="1"/>
  <c r="G43" i="183" s="1"/>
  <c r="G46" i="183" s="1"/>
  <c r="H47" i="183" s="1"/>
  <c r="G48" i="183" s="1"/>
  <c r="G49" i="183" s="1"/>
  <c r="F26" i="209" s="1"/>
  <c r="G48" i="173"/>
  <c r="G49" i="173" s="1"/>
  <c r="F80" i="209" s="1"/>
  <c r="H49" i="173"/>
  <c r="G33" i="335"/>
  <c r="G37" i="335" s="1"/>
  <c r="G43" i="335" s="1"/>
  <c r="G46" i="335" s="1"/>
  <c r="H47" i="335" s="1"/>
  <c r="G48" i="335" s="1"/>
  <c r="G49" i="335" s="1"/>
  <c r="F139" i="209" s="1"/>
  <c r="G33" i="297"/>
  <c r="G37" i="297" s="1"/>
  <c r="G43" i="297" s="1"/>
  <c r="G46" i="297" s="1"/>
  <c r="H47" i="297" s="1"/>
  <c r="G48" i="297" s="1"/>
  <c r="G49" i="297" s="1"/>
  <c r="F192" i="209" s="1"/>
  <c r="G48" i="275"/>
  <c r="G49" i="275" s="1"/>
  <c r="F124" i="209" s="1"/>
  <c r="H49" i="275"/>
  <c r="G33" i="181"/>
  <c r="G37" i="181" s="1"/>
  <c r="G43" i="181" s="1"/>
  <c r="G46" i="181" s="1"/>
  <c r="H47" i="181" s="1"/>
  <c r="G48" i="181" s="1"/>
  <c r="G49" i="181" s="1"/>
  <c r="F91" i="209" s="1"/>
  <c r="G33" i="145"/>
  <c r="G37" i="145" s="1"/>
  <c r="G43" i="145" s="1"/>
  <c r="G46" i="145" s="1"/>
  <c r="H47" i="145" s="1"/>
  <c r="G48" i="145" s="1"/>
  <c r="G49" i="145" s="1"/>
  <c r="G33" i="266"/>
  <c r="G37" i="266" s="1"/>
  <c r="G43" i="266" s="1"/>
  <c r="G46" i="266" s="1"/>
  <c r="H47" i="266" s="1"/>
  <c r="G48" i="266" s="1"/>
  <c r="G49" i="266" s="1"/>
  <c r="F120" i="209" s="1"/>
  <c r="G33" i="329"/>
  <c r="G37" i="329" s="1"/>
  <c r="G43" i="329" s="1"/>
  <c r="G46" i="329" s="1"/>
  <c r="H47" i="329" s="1"/>
  <c r="G33" i="371"/>
  <c r="G37" i="371" s="1"/>
  <c r="G43" i="371" s="1"/>
  <c r="G46" i="371" s="1"/>
  <c r="H47" i="371" s="1"/>
  <c r="G48" i="371" s="1"/>
  <c r="G49" i="371" s="1"/>
  <c r="F157" i="209" s="1"/>
  <c r="G33" i="169"/>
  <c r="G37" i="169" s="1"/>
  <c r="G43" i="169" s="1"/>
  <c r="G46" i="169" s="1"/>
  <c r="H47" i="169" s="1"/>
  <c r="G48" i="169" s="1"/>
  <c r="G49" i="169" s="1"/>
  <c r="F129" i="209" s="1"/>
  <c r="G33" i="309"/>
  <c r="G37" i="309" s="1"/>
  <c r="G43" i="309" s="1"/>
  <c r="G46" i="309" s="1"/>
  <c r="H47" i="309" s="1"/>
  <c r="G48" i="309" s="1"/>
  <c r="G49" i="309" s="1"/>
  <c r="F57" i="209" s="1"/>
  <c r="G33" i="345"/>
  <c r="G37" i="345" s="1"/>
  <c r="G43" i="345" s="1"/>
  <c r="G46" i="345" s="1"/>
  <c r="H47" i="345" s="1"/>
  <c r="G48" i="345" s="1"/>
  <c r="G49" i="345" s="1"/>
  <c r="F144" i="209" s="1"/>
  <c r="G33" i="376"/>
  <c r="G37" i="376" s="1"/>
  <c r="G43" i="376" s="1"/>
  <c r="G46" i="376" s="1"/>
  <c r="H47" i="376" s="1"/>
  <c r="G48" i="376" s="1"/>
  <c r="G49" i="376" s="1"/>
  <c r="F159" i="209" s="1"/>
  <c r="G33" i="305"/>
  <c r="G37" i="305" s="1"/>
  <c r="G43" i="305" s="1"/>
  <c r="G46" i="305" s="1"/>
  <c r="H47" i="305" s="1"/>
  <c r="G48" i="305" s="1"/>
  <c r="G49" i="305" s="1"/>
  <c r="F196" i="209" s="1"/>
  <c r="G33" i="279"/>
  <c r="G37" i="279" s="1"/>
  <c r="G43" i="279" s="1"/>
  <c r="G46" i="279" s="1"/>
  <c r="H47" i="279" s="1"/>
  <c r="G48" i="279" s="1"/>
  <c r="G49" i="279" s="1"/>
  <c r="F126" i="209" s="1"/>
  <c r="G33" i="154"/>
  <c r="G37" i="154" s="1"/>
  <c r="G43" i="154" s="1"/>
  <c r="G46" i="154" s="1"/>
  <c r="H47" i="154" s="1"/>
  <c r="G48" i="154" s="1"/>
  <c r="G49" i="154" s="1"/>
  <c r="F184" i="209" s="1"/>
  <c r="H49" i="157"/>
  <c r="G33" i="188"/>
  <c r="G37" i="188" s="1"/>
  <c r="G43" i="188" s="1"/>
  <c r="G46" i="188" s="1"/>
  <c r="H47" i="188" s="1"/>
  <c r="G48" i="188" s="1"/>
  <c r="G49" i="188" s="1"/>
  <c r="F32" i="209" s="1"/>
  <c r="G33" i="151"/>
  <c r="G37" i="151" s="1"/>
  <c r="G43" i="151" s="1"/>
  <c r="G46" i="151" s="1"/>
  <c r="H47" i="151" s="1"/>
  <c r="G48" i="151" s="1"/>
  <c r="G49" i="151" s="1"/>
  <c r="F183" i="209" s="1"/>
  <c r="G33" i="176"/>
  <c r="G37" i="176" s="1"/>
  <c r="G43" i="176" s="1"/>
  <c r="G46" i="176" s="1"/>
  <c r="H47" i="176" s="1"/>
  <c r="G48" i="176" s="1"/>
  <c r="G49" i="176" s="1"/>
  <c r="F81" i="209" s="1"/>
  <c r="G33" i="250"/>
  <c r="G37" i="250" s="1"/>
  <c r="G43" i="250" s="1"/>
  <c r="G46" i="250" s="1"/>
  <c r="H47" i="250" s="1"/>
  <c r="G48" i="250" s="1"/>
  <c r="G33" i="319"/>
  <c r="G37" i="319" s="1"/>
  <c r="G43" i="319" s="1"/>
  <c r="G46" i="319" s="1"/>
  <c r="H47" i="319" s="1"/>
  <c r="G48" i="319" s="1"/>
  <c r="G49" i="319" s="1"/>
  <c r="F131" i="209" s="1"/>
  <c r="G33" i="256"/>
  <c r="G37" i="256" s="1"/>
  <c r="G43" i="256" s="1"/>
  <c r="G46" i="256" s="1"/>
  <c r="H47" i="256" s="1"/>
  <c r="G48" i="256" s="1"/>
  <c r="G49" i="256" s="1"/>
  <c r="F115" i="209" s="1"/>
  <c r="H49" i="367"/>
  <c r="G33" i="221"/>
  <c r="G37" i="221" s="1"/>
  <c r="G43" i="221" s="1"/>
  <c r="G46" i="221" s="1"/>
  <c r="H47" i="221" s="1"/>
  <c r="G48" i="221" s="1"/>
  <c r="G49" i="221" s="1"/>
  <c r="F86" i="209" s="1"/>
  <c r="H49" i="359"/>
  <c r="G33" i="313"/>
  <c r="G37" i="313" s="1"/>
  <c r="G43" i="313" s="1"/>
  <c r="G46" i="313" s="1"/>
  <c r="H47" i="313" s="1"/>
  <c r="G48" i="313" s="1"/>
  <c r="G49" i="313" s="1"/>
  <c r="F97" i="209" s="1"/>
  <c r="G33" i="149"/>
  <c r="G37" i="149" s="1"/>
  <c r="G43" i="149" s="1"/>
  <c r="G46" i="149" s="1"/>
  <c r="H47" i="149" s="1"/>
  <c r="G48" i="149" s="1"/>
  <c r="G49" i="149" s="1"/>
  <c r="F181" i="209" s="1"/>
  <c r="G33" i="146"/>
  <c r="G37" i="146" s="1"/>
  <c r="G43" i="146" s="1"/>
  <c r="G46" i="146" s="1"/>
  <c r="H47" i="146" s="1"/>
  <c r="G48" i="146" s="1"/>
  <c r="G49" i="146" s="1"/>
  <c r="G33" i="137"/>
  <c r="F6" i="291" s="1"/>
  <c r="G33" i="333"/>
  <c r="G37" i="333" s="1"/>
  <c r="G43" i="333" s="1"/>
  <c r="G46" i="333" s="1"/>
  <c r="H47" i="333" s="1"/>
  <c r="G48" i="333" s="1"/>
  <c r="G33" i="223"/>
  <c r="G37" i="223" s="1"/>
  <c r="G43" i="223" s="1"/>
  <c r="G46" i="223" s="1"/>
  <c r="H47" i="223" s="1"/>
  <c r="G48" i="223" s="1"/>
  <c r="G49" i="223" s="1"/>
  <c r="F51" i="209" s="1"/>
  <c r="G33" i="194"/>
  <c r="G37" i="194" s="1"/>
  <c r="G43" i="194" s="1"/>
  <c r="G46" i="194" s="1"/>
  <c r="H47" i="194" s="1"/>
  <c r="G33" i="311"/>
  <c r="G37" i="311" s="1"/>
  <c r="G43" i="311" s="1"/>
  <c r="G46" i="311" s="1"/>
  <c r="H47" i="311" s="1"/>
  <c r="G48" i="311" s="1"/>
  <c r="G49" i="311" s="1"/>
  <c r="F95" i="209" s="1"/>
  <c r="G33" i="171"/>
  <c r="G37" i="171" s="1"/>
  <c r="G43" i="171" s="1"/>
  <c r="G46" i="171" s="1"/>
  <c r="H47" i="171" s="1"/>
  <c r="G33" i="186"/>
  <c r="G37" i="186" s="1"/>
  <c r="G43" i="186" s="1"/>
  <c r="G46" i="186" s="1"/>
  <c r="H47" i="186" s="1"/>
  <c r="G33" i="262"/>
  <c r="G37" i="262" s="1"/>
  <c r="G43" i="262" s="1"/>
  <c r="G46" i="262" s="1"/>
  <c r="H47" i="262" s="1"/>
  <c r="G48" i="262" s="1"/>
  <c r="G49" i="262" s="1"/>
  <c r="F118" i="209" s="1"/>
  <c r="G33" i="258"/>
  <c r="G37" i="258" s="1"/>
  <c r="G43" i="258" s="1"/>
  <c r="G46" i="258" s="1"/>
  <c r="H47" i="258" s="1"/>
  <c r="G48" i="258" s="1"/>
  <c r="G33" i="369"/>
  <c r="G37" i="369" s="1"/>
  <c r="G43" i="369" s="1"/>
  <c r="G46" i="369" s="1"/>
  <c r="G33" i="161"/>
  <c r="G37" i="161" s="1"/>
  <c r="G43" i="161" s="1"/>
  <c r="G46" i="161" s="1"/>
  <c r="H47" i="161" s="1"/>
  <c r="G48" i="161" s="1"/>
  <c r="G49" i="161" s="1"/>
  <c r="F189" i="209" s="1"/>
  <c r="G33" i="307"/>
  <c r="G37" i="307" s="1"/>
  <c r="G43" i="307" s="1"/>
  <c r="G46" i="307" s="1"/>
  <c r="H47" i="307" s="1"/>
  <c r="G48" i="307" s="1"/>
  <c r="G49" i="307" s="1"/>
  <c r="F197" i="209" s="1"/>
  <c r="G33" i="249"/>
  <c r="G37" i="249" s="1"/>
  <c r="G43" i="249" s="1"/>
  <c r="G46" i="249" s="1"/>
  <c r="H47" i="249" s="1"/>
  <c r="G48" i="249" s="1"/>
  <c r="G49" i="249" s="1"/>
  <c r="F111" i="209" s="1"/>
  <c r="G33" i="205"/>
  <c r="G37" i="205" s="1"/>
  <c r="G43" i="205" s="1"/>
  <c r="G46" i="205" s="1"/>
  <c r="H47" i="205" s="1"/>
  <c r="G48" i="205" s="1"/>
  <c r="G49" i="205" s="1"/>
  <c r="F48" i="209" s="1"/>
  <c r="H49" i="199"/>
  <c r="G33" i="341"/>
  <c r="G37" i="341" s="1"/>
  <c r="G43" i="341" s="1"/>
  <c r="G46" i="341" s="1"/>
  <c r="H47" i="341" s="1"/>
  <c r="G48" i="341" s="1"/>
  <c r="G49" i="341" s="1"/>
  <c r="F142" i="209" s="1"/>
  <c r="G33" i="273"/>
  <c r="G37" i="273" s="1"/>
  <c r="G43" i="273" s="1"/>
  <c r="G46" i="273" s="1"/>
  <c r="H47" i="273" s="1"/>
  <c r="G48" i="273" s="1"/>
  <c r="G49" i="273" s="1"/>
  <c r="F123" i="209" s="1"/>
  <c r="G33" i="268"/>
  <c r="G37" i="268" s="1"/>
  <c r="G43" i="268" s="1"/>
  <c r="G46" i="268" s="1"/>
  <c r="H47" i="268" s="1"/>
  <c r="G48" i="268" s="1"/>
  <c r="G49" i="268" s="1"/>
  <c r="F121" i="209" s="1"/>
  <c r="G33" i="303"/>
  <c r="G37" i="303" s="1"/>
  <c r="G43" i="303" s="1"/>
  <c r="G46" i="303" s="1"/>
  <c r="H47" i="303" s="1"/>
  <c r="G48" i="303" s="1"/>
  <c r="G49" i="303" s="1"/>
  <c r="F195" i="209" s="1"/>
  <c r="G33" i="242"/>
  <c r="G37" i="242" s="1"/>
  <c r="G43" i="242" s="1"/>
  <c r="G46" i="242" s="1"/>
  <c r="H47" i="242" s="1"/>
  <c r="G48" i="242" s="1"/>
  <c r="G49" i="242" s="1"/>
  <c r="F107" i="209" s="1"/>
  <c r="G33" i="163"/>
  <c r="G37" i="163" s="1"/>
  <c r="G43" i="163" s="1"/>
  <c r="G46" i="163" s="1"/>
  <c r="H47" i="163" s="1"/>
  <c r="G48" i="163" s="1"/>
  <c r="G49" i="163" s="1"/>
  <c r="F99" i="209" s="1"/>
  <c r="G33" i="207"/>
  <c r="G37" i="207" s="1"/>
  <c r="G43" i="207" s="1"/>
  <c r="G46" i="207" s="1"/>
  <c r="H47" i="207" s="1"/>
  <c r="G48" i="207" s="1"/>
  <c r="G49" i="207" s="1"/>
  <c r="F56" i="209" s="1"/>
  <c r="G33" i="225"/>
  <c r="G37" i="225" s="1"/>
  <c r="G43" i="225" s="1"/>
  <c r="G46" i="225" s="1"/>
  <c r="H47" i="225" s="1"/>
  <c r="G48" i="225" s="1"/>
  <c r="G49" i="225" s="1"/>
  <c r="F52" i="209" s="1"/>
  <c r="G33" i="164"/>
  <c r="G37" i="164" s="1"/>
  <c r="G43" i="164" s="1"/>
  <c r="G46" i="164" s="1"/>
  <c r="H47" i="164" s="1"/>
  <c r="G33" i="203"/>
  <c r="G37" i="203" s="1"/>
  <c r="G43" i="203" s="1"/>
  <c r="G46" i="203" s="1"/>
  <c r="H47" i="203" s="1"/>
  <c r="G33" i="187"/>
  <c r="G37" i="187" s="1"/>
  <c r="G43" i="187" s="1"/>
  <c r="G46" i="187" s="1"/>
  <c r="H47" i="187" s="1"/>
  <c r="G33" i="162"/>
  <c r="F9" i="291" s="1"/>
  <c r="G33" i="301"/>
  <c r="G37" i="301" s="1"/>
  <c r="G43" i="301" s="1"/>
  <c r="G46" i="301" s="1"/>
  <c r="H47" i="301" s="1"/>
  <c r="G48" i="301" s="1"/>
  <c r="G49" i="301" s="1"/>
  <c r="F194" i="209" s="1"/>
  <c r="G33" i="254"/>
  <c r="G37" i="254" s="1"/>
  <c r="G43" i="254" s="1"/>
  <c r="G46" i="254" s="1"/>
  <c r="H47" i="254" s="1"/>
  <c r="G48" i="254" s="1"/>
  <c r="G49" i="254" s="1"/>
  <c r="F114" i="209" s="1"/>
  <c r="G33" i="386"/>
  <c r="G37" i="386" s="1"/>
  <c r="G43" i="386" s="1"/>
  <c r="G46" i="386" s="1"/>
  <c r="H47" i="386" s="1"/>
  <c r="G48" i="386" s="1"/>
  <c r="G49" i="386" s="1"/>
  <c r="F179" i="209" s="1"/>
  <c r="G33" i="382"/>
  <c r="G37" i="382" s="1"/>
  <c r="G43" i="382" s="1"/>
  <c r="G46" i="382" s="1"/>
  <c r="H47" i="382" s="1"/>
  <c r="G48" i="382" s="1"/>
  <c r="G49" i="382" s="1"/>
  <c r="F162" i="209" s="1"/>
  <c r="G33" i="159"/>
  <c r="G37" i="159" s="1"/>
  <c r="G43" i="159" s="1"/>
  <c r="G46" i="159" s="1"/>
  <c r="H47" i="159" s="1"/>
  <c r="G48" i="159" s="1"/>
  <c r="G49" i="159" s="1"/>
  <c r="F188" i="209" s="1"/>
  <c r="G33" i="238"/>
  <c r="G37" i="238" s="1"/>
  <c r="G43" i="238" s="1"/>
  <c r="G46" i="238" s="1"/>
  <c r="H47" i="238" s="1"/>
  <c r="G48" i="238" s="1"/>
  <c r="G33" i="168"/>
  <c r="G37" i="168" s="1"/>
  <c r="G43" i="168" s="1"/>
  <c r="G46" i="168" s="1"/>
  <c r="H47" i="168" s="1"/>
  <c r="G48" i="168" s="1"/>
  <c r="G49" i="168" s="1"/>
  <c r="F128" i="209" s="1"/>
  <c r="G48" i="175"/>
  <c r="G49" i="175" s="1"/>
  <c r="F83" i="209" s="1"/>
  <c r="H49" i="175"/>
  <c r="G33" i="196"/>
  <c r="G37" i="196" s="1"/>
  <c r="G43" i="196" s="1"/>
  <c r="G46" i="196" s="1"/>
  <c r="G33" i="160"/>
  <c r="G37" i="160" s="1"/>
  <c r="G43" i="160" s="1"/>
  <c r="G46" i="160" s="1"/>
  <c r="G33" i="380"/>
  <c r="G37" i="380" s="1"/>
  <c r="G43" i="380" s="1"/>
  <c r="G46" i="380" s="1"/>
  <c r="G33" i="190"/>
  <c r="G37" i="190" s="1"/>
  <c r="G43" i="190" s="1"/>
  <c r="G46" i="190" s="1"/>
  <c r="G33" i="218"/>
  <c r="G37" i="218" s="1"/>
  <c r="G43" i="218" s="1"/>
  <c r="G46" i="218" s="1"/>
  <c r="G33" i="351"/>
  <c r="G37" i="351" s="1"/>
  <c r="G43" i="351" s="1"/>
  <c r="G46" i="351" s="1"/>
  <c r="G33" i="227"/>
  <c r="G37" i="227" s="1"/>
  <c r="G43" i="227" s="1"/>
  <c r="G46" i="227" s="1"/>
  <c r="G33" i="191"/>
  <c r="G37" i="191" s="1"/>
  <c r="G43" i="191" s="1"/>
  <c r="G46" i="191" s="1"/>
  <c r="G33" i="200"/>
  <c r="G37" i="200" s="1"/>
  <c r="G43" i="200" s="1"/>
  <c r="G46" i="200" s="1"/>
  <c r="G33" i="365"/>
  <c r="G37" i="365" s="1"/>
  <c r="G43" i="365" s="1"/>
  <c r="G46" i="365" s="1"/>
  <c r="G33" i="139"/>
  <c r="G37" i="139" s="1"/>
  <c r="G44" i="139" s="1"/>
  <c r="G47" i="139" s="1"/>
  <c r="G33" i="295"/>
  <c r="G37" i="295" s="1"/>
  <c r="G43" i="295" s="1"/>
  <c r="G46" i="295" s="1"/>
  <c r="G33" i="197"/>
  <c r="G37" i="197" s="1"/>
  <c r="G43" i="197" s="1"/>
  <c r="G46" i="197" s="1"/>
  <c r="G33" i="198"/>
  <c r="G37" i="198" s="1"/>
  <c r="G43" i="198" s="1"/>
  <c r="G46" i="198" s="1"/>
  <c r="G33" i="193"/>
  <c r="G37" i="193" s="1"/>
  <c r="G43" i="193" s="1"/>
  <c r="G46" i="193" s="1"/>
  <c r="G33" i="152"/>
  <c r="G37" i="152" s="1"/>
  <c r="G43" i="152" s="1"/>
  <c r="G46" i="152" s="1"/>
  <c r="G33" i="284"/>
  <c r="G37" i="284" s="1"/>
  <c r="G43" i="284" s="1"/>
  <c r="G46" i="284" s="1"/>
  <c r="G33" i="185"/>
  <c r="G37" i="185" s="1"/>
  <c r="G43" i="185" s="1"/>
  <c r="G46" i="185" s="1"/>
  <c r="G33" i="315"/>
  <c r="G37" i="315" s="1"/>
  <c r="G43" i="315" s="1"/>
  <c r="G46" i="315" s="1"/>
  <c r="G33" i="202"/>
  <c r="G37" i="202" s="1"/>
  <c r="G43" i="202" s="1"/>
  <c r="G46" i="202" s="1"/>
  <c r="G33" i="212"/>
  <c r="G37" i="212" s="1"/>
  <c r="G43" i="212" s="1"/>
  <c r="G46" i="212" s="1"/>
  <c r="G33" i="195"/>
  <c r="G37" i="195" s="1"/>
  <c r="G43" i="195" s="1"/>
  <c r="G46" i="195" s="1"/>
  <c r="G33" i="233"/>
  <c r="G37" i="233" s="1"/>
  <c r="G43" i="233" s="1"/>
  <c r="G46" i="233" s="1"/>
  <c r="H49" i="208"/>
  <c r="G48" i="331"/>
  <c r="G49" i="331" s="1"/>
  <c r="F137" i="209" s="1"/>
  <c r="H49" i="331"/>
  <c r="G33" i="299"/>
  <c r="G37" i="299" s="1"/>
  <c r="G43" i="299" s="1"/>
  <c r="G46" i="299" s="1"/>
  <c r="G33" i="277"/>
  <c r="G37" i="277" s="1"/>
  <c r="G43" i="277" s="1"/>
  <c r="G46" i="277" s="1"/>
  <c r="G33" i="144"/>
  <c r="G37" i="144" s="1"/>
  <c r="G43" i="144" s="1"/>
  <c r="G46" i="144" s="1"/>
  <c r="G33" i="244"/>
  <c r="G37" i="244" s="1"/>
  <c r="G43" i="244" s="1"/>
  <c r="G46" i="244" s="1"/>
  <c r="G33" i="325"/>
  <c r="G37" i="325" s="1"/>
  <c r="G43" i="325" s="1"/>
  <c r="G46" i="325" s="1"/>
  <c r="G33" i="184"/>
  <c r="G37" i="184" s="1"/>
  <c r="G43" i="184" s="1"/>
  <c r="G46" i="184" s="1"/>
  <c r="H47" i="373"/>
  <c r="G33" i="321"/>
  <c r="G37" i="321" s="1"/>
  <c r="G43" i="321" s="1"/>
  <c r="G46" i="321" s="1"/>
  <c r="G33" i="179"/>
  <c r="G37" i="179" s="1"/>
  <c r="G43" i="179" s="1"/>
  <c r="G46" i="179" s="1"/>
  <c r="G33" i="337"/>
  <c r="G37" i="337" s="1"/>
  <c r="G43" i="337" s="1"/>
  <c r="G46" i="337" s="1"/>
  <c r="H47" i="236"/>
  <c r="G33" i="167"/>
  <c r="G37" i="167" s="1"/>
  <c r="G43" i="167" s="1"/>
  <c r="G46" i="167" s="1"/>
  <c r="G33" i="240"/>
  <c r="G37" i="240" s="1"/>
  <c r="G43" i="240" s="1"/>
  <c r="G46" i="240" s="1"/>
  <c r="G33" i="347"/>
  <c r="G37" i="347" s="1"/>
  <c r="G43" i="347" s="1"/>
  <c r="G46" i="347" s="1"/>
  <c r="G33" i="166"/>
  <c r="G37" i="166" s="1"/>
  <c r="G43" i="166" s="1"/>
  <c r="G46" i="166" s="1"/>
  <c r="G33" i="148"/>
  <c r="G37" i="148" s="1"/>
  <c r="G43" i="148" s="1"/>
  <c r="G46" i="148" s="1"/>
  <c r="G33" i="260"/>
  <c r="G37" i="260" s="1"/>
  <c r="G43" i="260" s="1"/>
  <c r="G46" i="260" s="1"/>
  <c r="H47" i="177"/>
  <c r="G33" i="192"/>
  <c r="G37" i="192" s="1"/>
  <c r="G43" i="192" s="1"/>
  <c r="G46" i="192" s="1"/>
  <c r="G33" i="384"/>
  <c r="G37" i="384" s="1"/>
  <c r="G43" i="384" s="1"/>
  <c r="G46" i="384" s="1"/>
  <c r="G33" i="141"/>
  <c r="G37" i="141" s="1"/>
  <c r="G44" i="141" s="1"/>
  <c r="G47" i="141" s="1"/>
  <c r="H47" i="142"/>
  <c r="H47" i="361"/>
  <c r="G33" i="189"/>
  <c r="G37" i="189" s="1"/>
  <c r="G43" i="189" s="1"/>
  <c r="G46" i="189" s="1"/>
  <c r="G33" i="165"/>
  <c r="G37" i="165" s="1"/>
  <c r="G43" i="165" s="1"/>
  <c r="G46" i="165" s="1"/>
  <c r="H47" i="172"/>
  <c r="G33" i="204"/>
  <c r="G37" i="204" s="1"/>
  <c r="G43" i="204" s="1"/>
  <c r="G46" i="204" s="1"/>
  <c r="G33" i="158"/>
  <c r="G37" i="158" s="1"/>
  <c r="G43" i="158" s="1"/>
  <c r="G46" i="158" s="1"/>
  <c r="G33" i="252"/>
  <c r="G37" i="252" s="1"/>
  <c r="G43" i="252" s="1"/>
  <c r="G46" i="252" s="1"/>
  <c r="H47" i="282"/>
  <c r="G33" i="140"/>
  <c r="G37" i="140" s="1"/>
  <c r="G44" i="140" s="1"/>
  <c r="G47" i="140" s="1"/>
  <c r="G33" i="170"/>
  <c r="G33" i="363"/>
  <c r="G37" i="363" s="1"/>
  <c r="G43" i="363" s="1"/>
  <c r="G46" i="363" s="1"/>
  <c r="G33" i="353"/>
  <c r="G37" i="353" s="1"/>
  <c r="G43" i="353" s="1"/>
  <c r="G46" i="353" s="1"/>
  <c r="G33" i="150"/>
  <c r="G37" i="150" s="1"/>
  <c r="G43" i="150" s="1"/>
  <c r="G46" i="150" s="1"/>
  <c r="G33" i="153"/>
  <c r="G37" i="153" s="1"/>
  <c r="G43" i="153" s="1"/>
  <c r="G46" i="153" s="1"/>
  <c r="H49" i="357"/>
  <c r="G33" i="378"/>
  <c r="G37" i="378" s="1"/>
  <c r="G43" i="378" s="1"/>
  <c r="G46" i="378" s="1"/>
  <c r="G33" i="271"/>
  <c r="G37" i="271" s="1"/>
  <c r="G43" i="271" s="1"/>
  <c r="G46" i="271" s="1"/>
  <c r="G33" i="317"/>
  <c r="G37" i="317" s="1"/>
  <c r="G43" i="317" s="1"/>
  <c r="G46" i="317" s="1"/>
  <c r="G33" i="246"/>
  <c r="G37" i="246" s="1"/>
  <c r="G43" i="246" s="1"/>
  <c r="G46" i="246" s="1"/>
  <c r="G33" i="229"/>
  <c r="G37" i="229" s="1"/>
  <c r="G43" i="229" s="1"/>
  <c r="G46" i="229" s="1"/>
  <c r="G33" i="355"/>
  <c r="G37" i="355" s="1"/>
  <c r="G43" i="355" s="1"/>
  <c r="G46" i="355" s="1"/>
  <c r="G33" i="323"/>
  <c r="G37" i="323" s="1"/>
  <c r="G43" i="323" s="1"/>
  <c r="G46" i="323" s="1"/>
  <c r="G33" i="264"/>
  <c r="G37" i="264" s="1"/>
  <c r="G43" i="264" s="1"/>
  <c r="G46" i="264" s="1"/>
  <c r="G33" i="174"/>
  <c r="G37" i="174" s="1"/>
  <c r="G43" i="174" s="1"/>
  <c r="G46" i="174" s="1"/>
  <c r="G33" i="138"/>
  <c r="G37" i="138" s="1"/>
  <c r="G43" i="138" s="1"/>
  <c r="G46" i="138" s="1"/>
  <c r="G33" i="147"/>
  <c r="H47" i="339"/>
  <c r="G33" i="201"/>
  <c r="G37" i="201" s="1"/>
  <c r="G43" i="201" s="1"/>
  <c r="G46" i="201" s="1"/>
  <c r="G33" i="156"/>
  <c r="G37" i="156" s="1"/>
  <c r="G43" i="156" s="1"/>
  <c r="G46" i="156" s="1"/>
  <c r="G33" i="206"/>
  <c r="G37" i="206" s="1"/>
  <c r="G43" i="206" s="1"/>
  <c r="G46" i="206" s="1"/>
  <c r="J98" i="388" l="1"/>
  <c r="L98" i="388" s="1"/>
  <c r="W97" i="209"/>
  <c r="J125" i="388"/>
  <c r="L125" i="388" s="1"/>
  <c r="W124" i="209"/>
  <c r="J138" i="388"/>
  <c r="L138" i="388" s="1"/>
  <c r="W137" i="209"/>
  <c r="J115" i="388"/>
  <c r="L115" i="388" s="1"/>
  <c r="W114" i="209"/>
  <c r="J100" i="388"/>
  <c r="L100" i="388" s="1"/>
  <c r="W99" i="209"/>
  <c r="J112" i="388"/>
  <c r="L112" i="388" s="1"/>
  <c r="W111" i="209"/>
  <c r="J96" i="388"/>
  <c r="L96" i="388" s="1"/>
  <c r="W95" i="209"/>
  <c r="J33" i="388"/>
  <c r="L33" i="388" s="1"/>
  <c r="W32" i="209"/>
  <c r="J130" i="388"/>
  <c r="L130" i="388" s="1"/>
  <c r="W129" i="209"/>
  <c r="J193" i="388"/>
  <c r="L193" i="388" s="1"/>
  <c r="W192" i="209"/>
  <c r="J49" i="388"/>
  <c r="L49" i="388" s="1"/>
  <c r="W48" i="209"/>
  <c r="J56" i="388"/>
  <c r="L56" i="388" s="1"/>
  <c r="W55" i="209"/>
  <c r="J195" i="388"/>
  <c r="L195" i="388" s="1"/>
  <c r="W194" i="209"/>
  <c r="J108" i="388"/>
  <c r="L108" i="388" s="1"/>
  <c r="W107" i="209"/>
  <c r="J198" i="388"/>
  <c r="L198" i="388" s="1"/>
  <c r="W197" i="209"/>
  <c r="J88" i="388"/>
  <c r="L88" i="388" s="1"/>
  <c r="W86" i="209"/>
  <c r="J158" i="388"/>
  <c r="L158" i="388" s="1"/>
  <c r="W157" i="209"/>
  <c r="J140" i="388"/>
  <c r="L140" i="388" s="1"/>
  <c r="W139" i="209"/>
  <c r="J57" i="388"/>
  <c r="L57" i="388" s="1"/>
  <c r="W56" i="209"/>
  <c r="J58" i="388"/>
  <c r="L58" i="388" s="1"/>
  <c r="W57" i="209"/>
  <c r="J85" i="388"/>
  <c r="L85" i="388" s="1"/>
  <c r="W83" i="209"/>
  <c r="J196" i="388"/>
  <c r="L196" i="388" s="1"/>
  <c r="W195" i="209"/>
  <c r="J190" i="388"/>
  <c r="L190" i="388" s="1"/>
  <c r="W189" i="209"/>
  <c r="J52" i="388"/>
  <c r="L52" i="388" s="1"/>
  <c r="W51" i="209"/>
  <c r="J185" i="388"/>
  <c r="L185" i="388" s="1"/>
  <c r="W184" i="209"/>
  <c r="J184" i="388"/>
  <c r="L184" i="388" s="1"/>
  <c r="W183" i="209"/>
  <c r="J129" i="388"/>
  <c r="L129" i="388" s="1"/>
  <c r="W128" i="209"/>
  <c r="J122" i="388"/>
  <c r="L122" i="388" s="1"/>
  <c r="W121" i="209"/>
  <c r="J116" i="388"/>
  <c r="L116" i="388" s="1"/>
  <c r="W115" i="209"/>
  <c r="J127" i="388"/>
  <c r="L127" i="388" s="1"/>
  <c r="W126" i="209"/>
  <c r="J121" i="388"/>
  <c r="L121" i="388" s="1"/>
  <c r="W120" i="209"/>
  <c r="J82" i="388"/>
  <c r="L82" i="388" s="1"/>
  <c r="W80" i="209"/>
  <c r="J124" i="388"/>
  <c r="L124" i="388" s="1"/>
  <c r="W123" i="209"/>
  <c r="J132" i="388"/>
  <c r="L132" i="388" s="1"/>
  <c r="W131" i="209"/>
  <c r="J197" i="388"/>
  <c r="L197" i="388" s="1"/>
  <c r="W196" i="209"/>
  <c r="J27" i="388"/>
  <c r="L27" i="388" s="1"/>
  <c r="W26" i="209"/>
  <c r="J189" i="388"/>
  <c r="L189" i="388" s="1"/>
  <c r="W188" i="209"/>
  <c r="J143" i="388"/>
  <c r="L143" i="388" s="1"/>
  <c r="W142" i="209"/>
  <c r="J119" i="388"/>
  <c r="L119" i="388" s="1"/>
  <c r="W118" i="209"/>
  <c r="J160" i="388"/>
  <c r="L160" i="388" s="1"/>
  <c r="W159" i="209"/>
  <c r="J93" i="388"/>
  <c r="L93" i="388" s="1"/>
  <c r="W91" i="209"/>
  <c r="J136" i="388"/>
  <c r="L136" i="388" s="1"/>
  <c r="W135" i="209"/>
  <c r="J180" i="388"/>
  <c r="L180" i="388" s="1"/>
  <c r="W179" i="209"/>
  <c r="J163" i="388"/>
  <c r="L163" i="388" s="1"/>
  <c r="W162" i="209"/>
  <c r="J53" i="388"/>
  <c r="L53" i="388" s="1"/>
  <c r="W52" i="209"/>
  <c r="J182" i="388"/>
  <c r="L182" i="388" s="1"/>
  <c r="W181" i="209"/>
  <c r="J83" i="388"/>
  <c r="L83" i="388" s="1"/>
  <c r="W81" i="209"/>
  <c r="J145" i="388"/>
  <c r="L145" i="388" s="1"/>
  <c r="W144" i="209"/>
  <c r="J187" i="388"/>
  <c r="L187" i="388" s="1"/>
  <c r="W186" i="209"/>
  <c r="H36" i="215"/>
  <c r="H39" i="215" s="1"/>
  <c r="H34" i="215"/>
  <c r="H31" i="215"/>
  <c r="J7" i="290"/>
  <c r="L7" i="290" s="1"/>
  <c r="J10" i="290"/>
  <c r="L10" i="290" s="1"/>
  <c r="G37" i="162"/>
  <c r="G43" i="162" s="1"/>
  <c r="G46" i="162" s="1"/>
  <c r="H47" i="162" s="1"/>
  <c r="H49" i="183"/>
  <c r="G48" i="171"/>
  <c r="G49" i="171" s="1"/>
  <c r="F85" i="209" s="1"/>
  <c r="H49" i="171"/>
  <c r="H49" i="149"/>
  <c r="G37" i="137"/>
  <c r="G43" i="137" s="1"/>
  <c r="G46" i="137" s="1"/>
  <c r="H47" i="137" s="1"/>
  <c r="H49" i="266"/>
  <c r="G48" i="194"/>
  <c r="G49" i="194" s="1"/>
  <c r="F35" i="209" s="1"/>
  <c r="H49" i="194"/>
  <c r="G48" i="329"/>
  <c r="G49" i="329" s="1"/>
  <c r="F136" i="209" s="1"/>
  <c r="H49" i="329"/>
  <c r="H49" i="155"/>
  <c r="H49" i="303"/>
  <c r="H49" i="307"/>
  <c r="H49" i="327"/>
  <c r="G48" i="164"/>
  <c r="G49" i="164" s="1"/>
  <c r="F101" i="209" s="1"/>
  <c r="H49" i="164"/>
  <c r="H49" i="305"/>
  <c r="G49" i="250"/>
  <c r="F112" i="209" s="1"/>
  <c r="H49" i="279"/>
  <c r="G48" i="203"/>
  <c r="G49" i="203" s="1"/>
  <c r="F46" i="209" s="1"/>
  <c r="H49" i="203"/>
  <c r="G48" i="186"/>
  <c r="G49" i="186" s="1"/>
  <c r="F28" i="209" s="1"/>
  <c r="H49" i="186"/>
  <c r="G48" i="187"/>
  <c r="G49" i="187" s="1"/>
  <c r="F30" i="209" s="1"/>
  <c r="H49" i="187"/>
  <c r="H47" i="369"/>
  <c r="G48" i="369" s="1"/>
  <c r="G49" i="369" s="1"/>
  <c r="F156" i="209" s="1"/>
  <c r="H49" i="163"/>
  <c r="G49" i="238"/>
  <c r="F105" i="209" s="1"/>
  <c r="G49" i="258"/>
  <c r="F116" i="209" s="1"/>
  <c r="H49" i="254"/>
  <c r="H49" i="242"/>
  <c r="H49" i="205"/>
  <c r="H49" i="313"/>
  <c r="H49" i="311"/>
  <c r="H49" i="382"/>
  <c r="G49" i="333"/>
  <c r="F138" i="209" s="1"/>
  <c r="G54" i="146"/>
  <c r="G55" i="146" s="1"/>
  <c r="F14" i="209"/>
  <c r="G54" i="145"/>
  <c r="G55" i="145" s="1"/>
  <c r="F13" i="209"/>
  <c r="H47" i="323"/>
  <c r="G48" i="361"/>
  <c r="G49" i="361" s="1"/>
  <c r="F152" i="209" s="1"/>
  <c r="H49" i="361"/>
  <c r="G48" i="177"/>
  <c r="G49" i="177" s="1"/>
  <c r="F90" i="209" s="1"/>
  <c r="H49" i="177"/>
  <c r="H47" i="347"/>
  <c r="H47" i="325"/>
  <c r="H49" i="301"/>
  <c r="H47" i="212"/>
  <c r="H47" i="185"/>
  <c r="H49" i="169"/>
  <c r="H47" i="218"/>
  <c r="H49" i="225"/>
  <c r="F8" i="291"/>
  <c r="G37" i="170"/>
  <c r="G43" i="170" s="1"/>
  <c r="G46" i="170" s="1"/>
  <c r="G48" i="282"/>
  <c r="G49" i="282" s="1"/>
  <c r="F127" i="209" s="1"/>
  <c r="H49" i="282"/>
  <c r="G48" i="142"/>
  <c r="G49" i="142" s="1"/>
  <c r="H49" i="142"/>
  <c r="G56" i="142" s="1"/>
  <c r="H47" i="179"/>
  <c r="H49" i="268"/>
  <c r="H49" i="256"/>
  <c r="H49" i="258"/>
  <c r="H49" i="231"/>
  <c r="H47" i="284"/>
  <c r="H47" i="295"/>
  <c r="H47" i="200"/>
  <c r="H47" i="190"/>
  <c r="H49" i="262"/>
  <c r="F10" i="291"/>
  <c r="G37" i="147"/>
  <c r="G43" i="147" s="1"/>
  <c r="G46" i="147" s="1"/>
  <c r="H47" i="271"/>
  <c r="H49" i="249"/>
  <c r="H48" i="140"/>
  <c r="H47" i="165"/>
  <c r="H47" i="240"/>
  <c r="H47" i="321"/>
  <c r="H47" i="144"/>
  <c r="H49" i="335"/>
  <c r="H47" i="191"/>
  <c r="H49" i="151"/>
  <c r="H47" i="160"/>
  <c r="H49" i="238"/>
  <c r="H47" i="229"/>
  <c r="H47" i="252"/>
  <c r="H47" i="167"/>
  <c r="H47" i="380"/>
  <c r="H47" i="153"/>
  <c r="H47" i="277"/>
  <c r="H47" i="174"/>
  <c r="H47" i="150"/>
  <c r="H47" i="260"/>
  <c r="H49" i="146"/>
  <c r="G56" i="146" s="1"/>
  <c r="H48" i="139"/>
  <c r="H47" i="201"/>
  <c r="H47" i="355"/>
  <c r="H47" i="317"/>
  <c r="H49" i="181"/>
  <c r="H47" i="158"/>
  <c r="H49" i="341"/>
  <c r="H47" i="384"/>
  <c r="H49" i="386"/>
  <c r="H47" i="148"/>
  <c r="H49" i="176"/>
  <c r="H47" i="299"/>
  <c r="H47" i="233"/>
  <c r="H47" i="195"/>
  <c r="H47" i="193"/>
  <c r="H49" i="333"/>
  <c r="H49" i="297"/>
  <c r="H49" i="145"/>
  <c r="G56" i="145" s="1"/>
  <c r="H49" i="345"/>
  <c r="H47" i="378"/>
  <c r="H47" i="189"/>
  <c r="H49" i="182"/>
  <c r="H49" i="154"/>
  <c r="H49" i="188"/>
  <c r="H47" i="246"/>
  <c r="H47" i="152"/>
  <c r="H47" i="264"/>
  <c r="H49" i="250"/>
  <c r="H47" i="353"/>
  <c r="G48" i="172"/>
  <c r="G49" i="172" s="1"/>
  <c r="F88" i="209" s="1"/>
  <c r="H49" i="172"/>
  <c r="H47" i="192"/>
  <c r="H49" i="221"/>
  <c r="G48" i="236"/>
  <c r="G49" i="236" s="1"/>
  <c r="F104" i="209" s="1"/>
  <c r="H49" i="236"/>
  <c r="G48" i="373"/>
  <c r="G49" i="373" s="1"/>
  <c r="F158" i="209" s="1"/>
  <c r="H49" i="373"/>
  <c r="H49" i="159"/>
  <c r="H49" i="223"/>
  <c r="H49" i="161"/>
  <c r="H47" i="197"/>
  <c r="H47" i="365"/>
  <c r="H47" i="227"/>
  <c r="H47" i="351"/>
  <c r="H47" i="156"/>
  <c r="H47" i="138"/>
  <c r="H49" i="207"/>
  <c r="H48" i="141"/>
  <c r="H47" i="204"/>
  <c r="H49" i="371"/>
  <c r="H47" i="202"/>
  <c r="H47" i="198"/>
  <c r="H47" i="206"/>
  <c r="G48" i="339"/>
  <c r="G49" i="339" s="1"/>
  <c r="F141" i="209" s="1"/>
  <c r="H49" i="339"/>
  <c r="H47" i="363"/>
  <c r="H49" i="273"/>
  <c r="H47" i="166"/>
  <c r="H47" i="337"/>
  <c r="H47" i="184"/>
  <c r="H47" i="244"/>
  <c r="H49" i="168"/>
  <c r="H47" i="315"/>
  <c r="H49" i="376"/>
  <c r="H49" i="309"/>
  <c r="H49" i="319"/>
  <c r="H47" i="196"/>
  <c r="J128" i="388" l="1"/>
  <c r="L128" i="388" s="1"/>
  <c r="W127" i="209"/>
  <c r="J14" i="388"/>
  <c r="L14" i="388" s="1"/>
  <c r="W13" i="209"/>
  <c r="J105" i="388"/>
  <c r="L105" i="388" s="1"/>
  <c r="W104" i="209"/>
  <c r="J102" i="388"/>
  <c r="L102" i="388" s="1"/>
  <c r="W101" i="209"/>
  <c r="J36" i="388"/>
  <c r="L36" i="388" s="1"/>
  <c r="W35" i="209"/>
  <c r="J31" i="388"/>
  <c r="L31" i="388" s="1"/>
  <c r="W30" i="209"/>
  <c r="J15" i="388"/>
  <c r="L15" i="388" s="1"/>
  <c r="W14" i="209"/>
  <c r="J29" i="388"/>
  <c r="L29" i="388" s="1"/>
  <c r="W28" i="209"/>
  <c r="J117" i="388"/>
  <c r="L117" i="388" s="1"/>
  <c r="W116" i="209"/>
  <c r="J92" i="388"/>
  <c r="L92" i="388" s="1"/>
  <c r="W90" i="209"/>
  <c r="J139" i="388"/>
  <c r="L139" i="388" s="1"/>
  <c r="W138" i="209"/>
  <c r="J106" i="388"/>
  <c r="L106" i="388" s="1"/>
  <c r="W105" i="209"/>
  <c r="J47" i="388"/>
  <c r="L47" i="388" s="1"/>
  <c r="W46" i="209"/>
  <c r="J142" i="388"/>
  <c r="L142" i="388" s="1"/>
  <c r="W141" i="209"/>
  <c r="J90" i="388"/>
  <c r="L90" i="388" s="1"/>
  <c r="W88" i="209"/>
  <c r="J153" i="388"/>
  <c r="L153" i="388" s="1"/>
  <c r="W152" i="209"/>
  <c r="J157" i="388"/>
  <c r="L157" i="388" s="1"/>
  <c r="W156" i="209"/>
  <c r="J113" i="388"/>
  <c r="L113" i="388" s="1"/>
  <c r="W112" i="209"/>
  <c r="J87" i="388"/>
  <c r="L87" i="388" s="1"/>
  <c r="W85" i="209"/>
  <c r="J159" i="388"/>
  <c r="L159" i="388" s="1"/>
  <c r="W158" i="209"/>
  <c r="J137" i="388"/>
  <c r="L137" i="388" s="1"/>
  <c r="W136" i="209"/>
  <c r="J9" i="290"/>
  <c r="L9" i="290" s="1"/>
  <c r="J11" i="290"/>
  <c r="L11" i="290" s="1"/>
  <c r="G49" i="182"/>
  <c r="H49" i="369"/>
  <c r="G48" i="295"/>
  <c r="G49" i="295" s="1"/>
  <c r="F191" i="209" s="1"/>
  <c r="H49" i="295"/>
  <c r="G48" i="196"/>
  <c r="G49" i="196" s="1"/>
  <c r="F40" i="209" s="1"/>
  <c r="H49" i="196"/>
  <c r="G48" i="244"/>
  <c r="G49" i="244" s="1"/>
  <c r="F108" i="209" s="1"/>
  <c r="H49" i="244"/>
  <c r="G49" i="141"/>
  <c r="G50" i="141" s="1"/>
  <c r="F9" i="209" s="1"/>
  <c r="H50" i="141"/>
  <c r="G48" i="189"/>
  <c r="G49" i="189" s="1"/>
  <c r="F33" i="209" s="1"/>
  <c r="H49" i="189"/>
  <c r="G48" i="158"/>
  <c r="G49" i="158" s="1"/>
  <c r="F187" i="209" s="1"/>
  <c r="H49" i="158"/>
  <c r="G48" i="150"/>
  <c r="G49" i="150" s="1"/>
  <c r="F182" i="209" s="1"/>
  <c r="H49" i="150"/>
  <c r="G48" i="153"/>
  <c r="G49" i="153" s="1"/>
  <c r="F177" i="209" s="1"/>
  <c r="H49" i="153"/>
  <c r="G48" i="167"/>
  <c r="G49" i="167" s="1"/>
  <c r="F100" i="209" s="1"/>
  <c r="H49" i="167"/>
  <c r="G48" i="229"/>
  <c r="G49" i="229" s="1"/>
  <c r="F54" i="209" s="1"/>
  <c r="H49" i="229"/>
  <c r="G48" i="191"/>
  <c r="G49" i="191" s="1"/>
  <c r="F29" i="209" s="1"/>
  <c r="H49" i="191"/>
  <c r="G48" i="284"/>
  <c r="G49" i="284" s="1"/>
  <c r="F110" i="209" s="1"/>
  <c r="H49" i="284"/>
  <c r="G48" i="325"/>
  <c r="G49" i="325" s="1"/>
  <c r="F134" i="209" s="1"/>
  <c r="H49" i="325"/>
  <c r="G48" i="246"/>
  <c r="G49" i="246" s="1"/>
  <c r="F109" i="209" s="1"/>
  <c r="H49" i="246"/>
  <c r="G48" i="260"/>
  <c r="G49" i="260" s="1"/>
  <c r="F117" i="209" s="1"/>
  <c r="H49" i="260"/>
  <c r="G48" i="365"/>
  <c r="G49" i="365" s="1"/>
  <c r="F154" i="209" s="1"/>
  <c r="H49" i="365"/>
  <c r="G48" i="179"/>
  <c r="G49" i="179" s="1"/>
  <c r="F84" i="209" s="1"/>
  <c r="H49" i="179"/>
  <c r="G48" i="202"/>
  <c r="G49" i="202" s="1"/>
  <c r="F45" i="209" s="1"/>
  <c r="H49" i="202"/>
  <c r="G48" i="193"/>
  <c r="G49" i="193" s="1"/>
  <c r="F34" i="209" s="1"/>
  <c r="H49" i="193"/>
  <c r="G49" i="139"/>
  <c r="G50" i="139" s="1"/>
  <c r="F8" i="209" s="1"/>
  <c r="H50" i="139"/>
  <c r="G48" i="165"/>
  <c r="G49" i="165" s="1"/>
  <c r="F102" i="209" s="1"/>
  <c r="H49" i="165"/>
  <c r="G54" i="142"/>
  <c r="G55" i="142" s="1"/>
  <c r="F10" i="209"/>
  <c r="G48" i="184"/>
  <c r="G49" i="184" s="1"/>
  <c r="F27" i="209" s="1"/>
  <c r="H49" i="184"/>
  <c r="G48" i="264"/>
  <c r="G49" i="264" s="1"/>
  <c r="F119" i="209" s="1"/>
  <c r="H49" i="264"/>
  <c r="G48" i="148"/>
  <c r="G49" i="148" s="1"/>
  <c r="F178" i="209" s="1"/>
  <c r="H49" i="148"/>
  <c r="G48" i="174"/>
  <c r="G49" i="174" s="1"/>
  <c r="F82" i="209" s="1"/>
  <c r="H49" i="174"/>
  <c r="G48" i="252"/>
  <c r="G49" i="252" s="1"/>
  <c r="F113" i="209" s="1"/>
  <c r="H49" i="252"/>
  <c r="G48" i="323"/>
  <c r="G49" i="323" s="1"/>
  <c r="F133" i="209" s="1"/>
  <c r="H49" i="323"/>
  <c r="G48" i="138"/>
  <c r="G49" i="138" s="1"/>
  <c r="H49" i="138"/>
  <c r="G56" i="138" s="1"/>
  <c r="G48" i="351"/>
  <c r="G49" i="351" s="1"/>
  <c r="F147" i="209" s="1"/>
  <c r="H49" i="351"/>
  <c r="G48" i="353"/>
  <c r="G49" i="353" s="1"/>
  <c r="F148" i="209" s="1"/>
  <c r="H49" i="353"/>
  <c r="G48" i="195"/>
  <c r="G49" i="195" s="1"/>
  <c r="F39" i="209" s="1"/>
  <c r="H49" i="195"/>
  <c r="G48" i="317"/>
  <c r="G49" i="317" s="1"/>
  <c r="F130" i="209" s="1"/>
  <c r="H49" i="317"/>
  <c r="G48" i="160"/>
  <c r="G49" i="160" s="1"/>
  <c r="F180" i="209" s="1"/>
  <c r="H49" i="160"/>
  <c r="G48" i="144"/>
  <c r="G49" i="144" s="1"/>
  <c r="H49" i="144"/>
  <c r="G56" i="144" s="1"/>
  <c r="G49" i="140"/>
  <c r="G50" i="140" s="1"/>
  <c r="F11" i="209" s="1"/>
  <c r="H50" i="140"/>
  <c r="G48" i="190"/>
  <c r="G49" i="190" s="1"/>
  <c r="F37" i="209" s="1"/>
  <c r="H49" i="190"/>
  <c r="G48" i="185"/>
  <c r="G49" i="185" s="1"/>
  <c r="F36" i="209" s="1"/>
  <c r="H49" i="185"/>
  <c r="G48" i="198"/>
  <c r="G49" i="198" s="1"/>
  <c r="F43" i="209" s="1"/>
  <c r="H49" i="198"/>
  <c r="G48" i="192"/>
  <c r="G49" i="192" s="1"/>
  <c r="F31" i="209" s="1"/>
  <c r="H49" i="192"/>
  <c r="G48" i="201"/>
  <c r="G49" i="201" s="1"/>
  <c r="F44" i="209" s="1"/>
  <c r="H49" i="201"/>
  <c r="H47" i="147"/>
  <c r="G48" i="363"/>
  <c r="G49" i="363" s="1"/>
  <c r="F153" i="209" s="1"/>
  <c r="H49" i="363"/>
  <c r="G48" i="197"/>
  <c r="G49" i="197" s="1"/>
  <c r="F41" i="209" s="1"/>
  <c r="H49" i="197"/>
  <c r="G48" i="204"/>
  <c r="G49" i="204" s="1"/>
  <c r="F47" i="209" s="1"/>
  <c r="H49" i="204"/>
  <c r="G48" i="378"/>
  <c r="G49" i="378" s="1"/>
  <c r="F160" i="209" s="1"/>
  <c r="H49" i="378"/>
  <c r="G48" i="277"/>
  <c r="G49" i="277" s="1"/>
  <c r="F125" i="209" s="1"/>
  <c r="H49" i="277"/>
  <c r="H47" i="170"/>
  <c r="G48" i="218"/>
  <c r="G49" i="218" s="1"/>
  <c r="F50" i="209" s="1"/>
  <c r="H49" i="218"/>
  <c r="G48" i="347"/>
  <c r="G49" i="347" s="1"/>
  <c r="F145" i="209" s="1"/>
  <c r="H49" i="347"/>
  <c r="G48" i="166"/>
  <c r="G49" i="166" s="1"/>
  <c r="F103" i="209" s="1"/>
  <c r="H49" i="166"/>
  <c r="G48" i="380"/>
  <c r="G49" i="380" s="1"/>
  <c r="F161" i="209" s="1"/>
  <c r="H49" i="380"/>
  <c r="G48" i="299"/>
  <c r="G49" i="299" s="1"/>
  <c r="F193" i="209" s="1"/>
  <c r="H49" i="299"/>
  <c r="G48" i="240"/>
  <c r="G49" i="240" s="1"/>
  <c r="F106" i="209" s="1"/>
  <c r="H49" i="240"/>
  <c r="G48" i="337"/>
  <c r="G49" i="337" s="1"/>
  <c r="F140" i="209" s="1"/>
  <c r="H49" i="337"/>
  <c r="G48" i="152"/>
  <c r="G49" i="152" s="1"/>
  <c r="F176" i="209" s="1"/>
  <c r="H49" i="152"/>
  <c r="G48" i="233"/>
  <c r="G49" i="233" s="1"/>
  <c r="F87" i="209" s="1"/>
  <c r="H49" i="233"/>
  <c r="G48" i="315"/>
  <c r="G49" i="315" s="1"/>
  <c r="F98" i="209" s="1"/>
  <c r="H49" i="315"/>
  <c r="G48" i="206"/>
  <c r="G49" i="206" s="1"/>
  <c r="F49" i="209" s="1"/>
  <c r="H49" i="206"/>
  <c r="G48" i="156"/>
  <c r="G49" i="156" s="1"/>
  <c r="F190" i="209" s="1"/>
  <c r="H49" i="156"/>
  <c r="G48" i="227"/>
  <c r="G49" i="227" s="1"/>
  <c r="F53" i="209" s="1"/>
  <c r="H49" i="227"/>
  <c r="G48" i="384"/>
  <c r="G49" i="384" s="1"/>
  <c r="F96" i="209" s="1"/>
  <c r="H49" i="384"/>
  <c r="G48" i="355"/>
  <c r="G49" i="355" s="1"/>
  <c r="F149" i="209" s="1"/>
  <c r="H49" i="355"/>
  <c r="G48" i="137"/>
  <c r="G49" i="137" s="1"/>
  <c r="H49" i="137"/>
  <c r="G56" i="137" s="1"/>
  <c r="G48" i="321"/>
  <c r="G49" i="321" s="1"/>
  <c r="F132" i="209" s="1"/>
  <c r="H49" i="321"/>
  <c r="G48" i="200"/>
  <c r="G49" i="200" s="1"/>
  <c r="F42" i="209" s="1"/>
  <c r="H49" i="200"/>
  <c r="G48" i="212"/>
  <c r="G49" i="212" s="1"/>
  <c r="H49" i="212"/>
  <c r="G56" i="212" s="1"/>
  <c r="G48" i="271"/>
  <c r="G49" i="271" s="1"/>
  <c r="F122" i="209" s="1"/>
  <c r="H49" i="271"/>
  <c r="G48" i="162"/>
  <c r="G49" i="162" s="1"/>
  <c r="H49" i="162"/>
  <c r="J179" i="388" l="1"/>
  <c r="L179" i="388" s="1"/>
  <c r="W178" i="209"/>
  <c r="J103" i="388"/>
  <c r="L103" i="388" s="1"/>
  <c r="W102" i="209"/>
  <c r="J86" i="388"/>
  <c r="L86" i="388" s="1"/>
  <c r="W84" i="209"/>
  <c r="J135" i="388"/>
  <c r="L135" i="388" s="1"/>
  <c r="W134" i="209"/>
  <c r="J101" i="388"/>
  <c r="L101" i="388" s="1"/>
  <c r="W100" i="209"/>
  <c r="J34" i="388"/>
  <c r="L34" i="388" s="1"/>
  <c r="W33" i="209"/>
  <c r="J192" i="388"/>
  <c r="L192" i="388" s="1"/>
  <c r="W191" i="209"/>
  <c r="J161" i="388"/>
  <c r="L161" i="388" s="1"/>
  <c r="W160" i="209"/>
  <c r="J99" i="388"/>
  <c r="L99" i="388" s="1"/>
  <c r="W98" i="209"/>
  <c r="J45" i="388"/>
  <c r="L45" i="388" s="1"/>
  <c r="W44" i="209"/>
  <c r="J38" i="388"/>
  <c r="L38" i="388" s="1"/>
  <c r="W37" i="209"/>
  <c r="J131" i="388"/>
  <c r="L131" i="388" s="1"/>
  <c r="W130" i="209"/>
  <c r="J48" i="388"/>
  <c r="L48" i="388" s="1"/>
  <c r="W47" i="209"/>
  <c r="J97" i="388"/>
  <c r="L97" i="388" s="1"/>
  <c r="W96" i="209"/>
  <c r="J54" i="388"/>
  <c r="L54" i="388" s="1"/>
  <c r="W53" i="209"/>
  <c r="J194" i="388"/>
  <c r="L194" i="388" s="1"/>
  <c r="W193" i="209"/>
  <c r="J32" i="388"/>
  <c r="L32" i="388" s="1"/>
  <c r="W31" i="209"/>
  <c r="J12" i="388"/>
  <c r="L12" i="388" s="1"/>
  <c r="W11" i="209"/>
  <c r="J40" i="388"/>
  <c r="L40" i="388" s="1"/>
  <c r="W39" i="209"/>
  <c r="J134" i="388"/>
  <c r="L134" i="388" s="1"/>
  <c r="W133" i="209"/>
  <c r="J120" i="388"/>
  <c r="L120" i="388" s="1"/>
  <c r="W119" i="209"/>
  <c r="J9" i="388"/>
  <c r="L9" i="388" s="1"/>
  <c r="W8" i="209"/>
  <c r="J155" i="388"/>
  <c r="L155" i="388" s="1"/>
  <c r="W154" i="209"/>
  <c r="J111" i="388"/>
  <c r="L111" i="388" s="1"/>
  <c r="W110" i="209"/>
  <c r="J178" i="388"/>
  <c r="L178" i="388" s="1"/>
  <c r="W177" i="209"/>
  <c r="J10" i="388"/>
  <c r="L10" i="388" s="1"/>
  <c r="W9" i="209"/>
  <c r="J146" i="388"/>
  <c r="L146" i="388" s="1"/>
  <c r="W145" i="209"/>
  <c r="J133" i="388"/>
  <c r="L133" i="388" s="1"/>
  <c r="W132" i="209"/>
  <c r="J89" i="388"/>
  <c r="L89" i="388" s="1"/>
  <c r="W87" i="209"/>
  <c r="J51" i="388"/>
  <c r="L51" i="388" s="1"/>
  <c r="W50" i="209"/>
  <c r="J42" i="388"/>
  <c r="L42" i="388" s="1"/>
  <c r="W41" i="209"/>
  <c r="J107" i="388"/>
  <c r="L107" i="388" s="1"/>
  <c r="W106" i="209"/>
  <c r="J123" i="388"/>
  <c r="L123" i="388" s="1"/>
  <c r="W122" i="209"/>
  <c r="J177" i="388"/>
  <c r="L177" i="388" s="1"/>
  <c r="W176" i="209"/>
  <c r="J162" i="388"/>
  <c r="L162" i="388" s="1"/>
  <c r="W161" i="209"/>
  <c r="J44" i="388"/>
  <c r="L44" i="388" s="1"/>
  <c r="W43" i="209"/>
  <c r="J149" i="388"/>
  <c r="L149" i="388" s="1"/>
  <c r="W148" i="209"/>
  <c r="J114" i="388"/>
  <c r="L114" i="388" s="1"/>
  <c r="W113" i="209"/>
  <c r="J28" i="388"/>
  <c r="L28" i="388" s="1"/>
  <c r="W27" i="209"/>
  <c r="J35" i="388"/>
  <c r="L35" i="388" s="1"/>
  <c r="W34" i="209"/>
  <c r="J118" i="388"/>
  <c r="L118" i="388" s="1"/>
  <c r="W117" i="209"/>
  <c r="J30" i="388"/>
  <c r="L30" i="388" s="1"/>
  <c r="W29" i="209"/>
  <c r="J183" i="388"/>
  <c r="L183" i="388" s="1"/>
  <c r="W182" i="209"/>
  <c r="J109" i="388"/>
  <c r="L109" i="388" s="1"/>
  <c r="W108" i="209"/>
  <c r="J43" i="388"/>
  <c r="L43" i="388" s="1"/>
  <c r="W42" i="209"/>
  <c r="J191" i="388"/>
  <c r="L191" i="388" s="1"/>
  <c r="W190" i="209"/>
  <c r="J126" i="388"/>
  <c r="L126" i="388" s="1"/>
  <c r="W125" i="209"/>
  <c r="J154" i="388"/>
  <c r="L154" i="388" s="1"/>
  <c r="W153" i="209"/>
  <c r="J11" i="388"/>
  <c r="L11" i="388" s="1"/>
  <c r="W10" i="209"/>
  <c r="J150" i="388"/>
  <c r="L150" i="388" s="1"/>
  <c r="W149" i="209"/>
  <c r="J50" i="388"/>
  <c r="L50" i="388" s="1"/>
  <c r="W49" i="209"/>
  <c r="J141" i="388"/>
  <c r="L141" i="388" s="1"/>
  <c r="W140" i="209"/>
  <c r="J104" i="388"/>
  <c r="L104" i="388" s="1"/>
  <c r="W103" i="209"/>
  <c r="J37" i="388"/>
  <c r="L37" i="388" s="1"/>
  <c r="W36" i="209"/>
  <c r="J181" i="388"/>
  <c r="L181" i="388" s="1"/>
  <c r="W180" i="209"/>
  <c r="J148" i="388"/>
  <c r="L148" i="388" s="1"/>
  <c r="W147" i="209"/>
  <c r="J84" i="388"/>
  <c r="L84" i="388" s="1"/>
  <c r="W82" i="209"/>
  <c r="J46" i="388"/>
  <c r="L46" i="388" s="1"/>
  <c r="W45" i="209"/>
  <c r="J110" i="388"/>
  <c r="L110" i="388" s="1"/>
  <c r="W109" i="209"/>
  <c r="J55" i="388"/>
  <c r="L55" i="388" s="1"/>
  <c r="W54" i="209"/>
  <c r="J188" i="388"/>
  <c r="L188" i="388" s="1"/>
  <c r="W187" i="209"/>
  <c r="J41" i="388"/>
  <c r="L41" i="388" s="1"/>
  <c r="W40" i="209"/>
  <c r="J30" i="215"/>
  <c r="J34" i="215" s="1"/>
  <c r="F94" i="209"/>
  <c r="E54" i="162"/>
  <c r="E58" i="162" s="1"/>
  <c r="F25" i="209"/>
  <c r="E60" i="182"/>
  <c r="G54" i="137"/>
  <c r="G55" i="137" s="1"/>
  <c r="E60" i="137"/>
  <c r="F6" i="209"/>
  <c r="W6" i="209" s="1"/>
  <c r="G54" i="212"/>
  <c r="G55" i="212" s="1"/>
  <c r="F15" i="209"/>
  <c r="G48" i="147"/>
  <c r="G49" i="147" s="1"/>
  <c r="H49" i="147"/>
  <c r="G54" i="144"/>
  <c r="G55" i="144" s="1"/>
  <c r="F12" i="209"/>
  <c r="G48" i="170"/>
  <c r="G49" i="170" s="1"/>
  <c r="E63" i="170" s="1"/>
  <c r="E67" i="170" s="1"/>
  <c r="E69" i="170" s="1"/>
  <c r="H49" i="170"/>
  <c r="F7" i="209"/>
  <c r="G54" i="138"/>
  <c r="G55" i="138" s="1"/>
  <c r="J26" i="388" l="1"/>
  <c r="L26" i="388" s="1"/>
  <c r="W25" i="209"/>
  <c r="J16" i="388"/>
  <c r="L16" i="388" s="1"/>
  <c r="W15" i="209"/>
  <c r="J95" i="388"/>
  <c r="L95" i="388" s="1"/>
  <c r="W94" i="209"/>
  <c r="J8" i="388"/>
  <c r="L8" i="388" s="1"/>
  <c r="W7" i="209"/>
  <c r="J13" i="388"/>
  <c r="L13" i="388" s="1"/>
  <c r="W12" i="209"/>
  <c r="J36" i="215"/>
  <c r="J39" i="215" s="1"/>
  <c r="J41" i="215" s="1"/>
  <c r="J31" i="215"/>
  <c r="E64" i="182"/>
  <c r="E66" i="182" s="1"/>
  <c r="E64" i="137"/>
  <c r="E66" i="137" s="1"/>
  <c r="F175" i="209"/>
  <c r="E61" i="147"/>
  <c r="E65" i="147" s="1"/>
  <c r="E60" i="162"/>
  <c r="F79" i="209"/>
  <c r="E70" i="182"/>
  <c r="E72" i="182" s="1"/>
  <c r="J29" i="216"/>
  <c r="E68" i="182"/>
  <c r="J7" i="388"/>
  <c r="J176" i="388" l="1"/>
  <c r="L176" i="388" s="1"/>
  <c r="W175" i="209"/>
  <c r="J81" i="388"/>
  <c r="L81" i="388" s="1"/>
  <c r="W79" i="209"/>
  <c r="E67" i="147"/>
  <c r="Y8" i="388"/>
  <c r="L7" i="388"/>
  <c r="Q8" i="388"/>
  <c r="D42" i="293"/>
  <c r="D41" i="293" s="1"/>
  <c r="C7" i="305"/>
  <c r="C6" i="305" s="1"/>
  <c r="C9" i="305" s="1"/>
  <c r="D10" i="305" l="1"/>
  <c r="C29" i="305"/>
  <c r="D30" i="305" s="1"/>
  <c r="C32" i="305" s="1"/>
  <c r="D38" i="305" s="1"/>
  <c r="C31" i="305"/>
  <c r="C7" i="371"/>
  <c r="C6" i="371" s="1"/>
  <c r="C9" i="371" s="1"/>
  <c r="C7" i="221"/>
  <c r="C6" i="221" s="1"/>
  <c r="C9" i="221" s="1"/>
  <c r="C7" i="186"/>
  <c r="C6" i="186" s="1"/>
  <c r="C9" i="186" s="1"/>
  <c r="C7" i="386"/>
  <c r="C6" i="386" s="1"/>
  <c r="C9" i="386" s="1"/>
  <c r="C7" i="355"/>
  <c r="C6" i="355" s="1"/>
  <c r="C9" i="355" s="1"/>
  <c r="C7" i="266"/>
  <c r="C6" i="266" s="1"/>
  <c r="C9" i="266" s="1"/>
  <c r="C7" i="321"/>
  <c r="C6" i="321" s="1"/>
  <c r="C9" i="321" s="1"/>
  <c r="C7" i="258"/>
  <c r="C6" i="258" s="1"/>
  <c r="C9" i="258" s="1"/>
  <c r="C7" i="273"/>
  <c r="C6" i="273" s="1"/>
  <c r="C9" i="273" s="1"/>
  <c r="C7" i="242"/>
  <c r="C6" i="242" s="1"/>
  <c r="C9" i="242" s="1"/>
  <c r="C7" i="183"/>
  <c r="C6" i="183" s="1"/>
  <c r="C9" i="183" s="1"/>
  <c r="C7" i="138"/>
  <c r="C6" i="138" s="1"/>
  <c r="C9" i="138" s="1"/>
  <c r="C7" i="353"/>
  <c r="C6" i="353" s="1"/>
  <c r="C9" i="353" s="1"/>
  <c r="C7" i="380"/>
  <c r="C6" i="380" s="1"/>
  <c r="C9" i="380" s="1"/>
  <c r="C7" i="202"/>
  <c r="C6" i="202" s="1"/>
  <c r="C9" i="202" s="1"/>
  <c r="C7" i="218"/>
  <c r="C6" i="218" s="1"/>
  <c r="C9" i="218" s="1"/>
  <c r="C7" i="256"/>
  <c r="C6" i="256" s="1"/>
  <c r="C9" i="256" s="1"/>
  <c r="C7" i="254"/>
  <c r="C6" i="254" s="1"/>
  <c r="C9" i="254" s="1"/>
  <c r="C7" i="157"/>
  <c r="C6" i="157" s="1"/>
  <c r="C9" i="157" s="1"/>
  <c r="C7" i="301"/>
  <c r="C6" i="301" s="1"/>
  <c r="C9" i="301" s="1"/>
  <c r="C7" i="262"/>
  <c r="C6" i="262" s="1"/>
  <c r="C9" i="262" s="1"/>
  <c r="C7" i="152"/>
  <c r="C6" i="152" s="1"/>
  <c r="C9" i="152" s="1"/>
  <c r="C7" i="351"/>
  <c r="C6" i="351" s="1"/>
  <c r="C9" i="351" s="1"/>
  <c r="C7" i="174"/>
  <c r="C6" i="174" s="1"/>
  <c r="C9" i="174" s="1"/>
  <c r="C7" i="141"/>
  <c r="C6" i="141" s="1"/>
  <c r="C9" i="141" s="1"/>
  <c r="C7" i="166"/>
  <c r="C6" i="166" s="1"/>
  <c r="C9" i="166" s="1"/>
  <c r="C7" i="236"/>
  <c r="C6" i="236" s="1"/>
  <c r="C9" i="236" s="1"/>
  <c r="C7" i="295"/>
  <c r="C6" i="295" s="1"/>
  <c r="C9" i="295" s="1"/>
  <c r="C7" i="384"/>
  <c r="C6" i="384" s="1"/>
  <c r="C9" i="384" s="1"/>
  <c r="C7" i="361"/>
  <c r="C6" i="361" s="1"/>
  <c r="C9" i="361" s="1"/>
  <c r="C7" i="181"/>
  <c r="C6" i="181" s="1"/>
  <c r="C9" i="181" s="1"/>
  <c r="C7" i="246"/>
  <c r="C6" i="246" s="1"/>
  <c r="C9" i="246" s="1"/>
  <c r="C7" i="188"/>
  <c r="C6" i="188" s="1"/>
  <c r="C9" i="188" s="1"/>
  <c r="C7" i="149"/>
  <c r="C6" i="149" s="1"/>
  <c r="C9" i="149" s="1"/>
  <c r="C7" i="173"/>
  <c r="C6" i="173" s="1"/>
  <c r="C9" i="173" s="1"/>
  <c r="C7" i="190"/>
  <c r="C6" i="190" s="1"/>
  <c r="C9" i="190" s="1"/>
  <c r="C7" i="200"/>
  <c r="C6" i="200" s="1"/>
  <c r="C9" i="200" s="1"/>
  <c r="C7" i="337"/>
  <c r="C6" i="337" s="1"/>
  <c r="C9" i="337" s="1"/>
  <c r="C7" i="335"/>
  <c r="C6" i="335" s="1"/>
  <c r="C9" i="335" s="1"/>
  <c r="C7" i="233"/>
  <c r="C6" i="233" s="1"/>
  <c r="C9" i="233" s="1"/>
  <c r="C7" i="197"/>
  <c r="C6" i="197" s="1"/>
  <c r="C9" i="197" s="1"/>
  <c r="C7" i="357"/>
  <c r="C6" i="357" s="1"/>
  <c r="C9" i="357" s="1"/>
  <c r="C7" i="250"/>
  <c r="C6" i="250" s="1"/>
  <c r="C9" i="250" s="1"/>
  <c r="C7" i="205"/>
  <c r="C6" i="205" s="1"/>
  <c r="C9" i="205" s="1"/>
  <c r="C7" i="203"/>
  <c r="C6" i="203" s="1"/>
  <c r="C9" i="203" s="1"/>
  <c r="C7" i="297"/>
  <c r="C6" i="297" s="1"/>
  <c r="C9" i="297" s="1"/>
  <c r="C7" i="158"/>
  <c r="C6" i="158" s="1"/>
  <c r="C9" i="158" s="1"/>
  <c r="C7" i="282"/>
  <c r="C6" i="282" s="1"/>
  <c r="C9" i="282" s="1"/>
  <c r="C7" i="279"/>
  <c r="C6" i="279" s="1"/>
  <c r="C9" i="279" s="1"/>
  <c r="C7" i="167"/>
  <c r="C6" i="167" s="1"/>
  <c r="C9" i="167" s="1"/>
  <c r="C7" i="148"/>
  <c r="C6" i="148" s="1"/>
  <c r="C9" i="148" s="1"/>
  <c r="C7" i="176"/>
  <c r="C6" i="176" s="1"/>
  <c r="C9" i="176" s="1"/>
  <c r="C7" i="341"/>
  <c r="C6" i="341" s="1"/>
  <c r="C9" i="341" s="1"/>
  <c r="C7" i="139"/>
  <c r="C6" i="139" s="1"/>
  <c r="C9" i="139" s="1"/>
  <c r="C7" i="156"/>
  <c r="C6" i="156" s="1"/>
  <c r="C9" i="156" s="1"/>
  <c r="C7" i="244"/>
  <c r="C6" i="244" s="1"/>
  <c r="C9" i="244" s="1"/>
  <c r="C7" i="333"/>
  <c r="C6" i="333" s="1"/>
  <c r="C9" i="333" s="1"/>
  <c r="C7" i="329"/>
  <c r="C6" i="329" s="1"/>
  <c r="C9" i="329" s="1"/>
  <c r="C7" i="184"/>
  <c r="C6" i="184" s="1"/>
  <c r="C9" i="184" s="1"/>
  <c r="C7" i="185"/>
  <c r="C6" i="185" s="1"/>
  <c r="C9" i="185" s="1"/>
  <c r="C7" i="163"/>
  <c r="C6" i="163" s="1"/>
  <c r="C9" i="163" s="1"/>
  <c r="C7" i="153"/>
  <c r="C6" i="153" s="1"/>
  <c r="C9" i="153" s="1"/>
  <c r="C7" i="311"/>
  <c r="C6" i="311" s="1"/>
  <c r="C9" i="311" s="1"/>
  <c r="C7" i="150"/>
  <c r="C6" i="150" s="1"/>
  <c r="C9" i="150" s="1"/>
  <c r="C7" i="146"/>
  <c r="C6" i="146" s="1"/>
  <c r="C9" i="146" s="1"/>
  <c r="C7" i="191"/>
  <c r="C6" i="191" s="1"/>
  <c r="C9" i="191" s="1"/>
  <c r="C7" i="323"/>
  <c r="C6" i="323" s="1"/>
  <c r="C9" i="323" s="1"/>
  <c r="C7" i="373"/>
  <c r="C6" i="373" s="1"/>
  <c r="C9" i="373" s="1"/>
  <c r="C7" i="144"/>
  <c r="C6" i="144" s="1"/>
  <c r="C9" i="144" s="1"/>
  <c r="C7" i="223"/>
  <c r="C6" i="223" s="1"/>
  <c r="C9" i="223" s="1"/>
  <c r="C7" i="347"/>
  <c r="C6" i="347" s="1"/>
  <c r="C9" i="347" s="1"/>
  <c r="C7" i="161"/>
  <c r="C6" i="161" s="1"/>
  <c r="C9" i="161" s="1"/>
  <c r="C7" i="196"/>
  <c r="C6" i="196" s="1"/>
  <c r="C9" i="196" s="1"/>
  <c r="C7" i="187"/>
  <c r="C6" i="187" s="1"/>
  <c r="C9" i="187" s="1"/>
  <c r="C7" i="309"/>
  <c r="C6" i="309" s="1"/>
  <c r="C9" i="309" s="1"/>
  <c r="C7" i="229"/>
  <c r="C6" i="229" s="1"/>
  <c r="C9" i="229" s="1"/>
  <c r="C7" i="313"/>
  <c r="C6" i="313" s="1"/>
  <c r="C9" i="313" s="1"/>
  <c r="C7" i="162"/>
  <c r="C6" i="162" s="1"/>
  <c r="C9" i="162" s="1"/>
  <c r="C7" i="155"/>
  <c r="C6" i="155" s="1"/>
  <c r="C9" i="155" s="1"/>
  <c r="C7" i="240"/>
  <c r="C6" i="240" s="1"/>
  <c r="C9" i="240" s="1"/>
  <c r="C7" i="206"/>
  <c r="C6" i="206" s="1"/>
  <c r="C9" i="206" s="1"/>
  <c r="C7" i="365"/>
  <c r="C6" i="365" s="1"/>
  <c r="C9" i="365" s="1"/>
  <c r="C7" i="207"/>
  <c r="C6" i="207" s="1"/>
  <c r="C9" i="207" s="1"/>
  <c r="C7" i="175"/>
  <c r="C6" i="175" s="1"/>
  <c r="C9" i="175" s="1"/>
  <c r="C7" i="238"/>
  <c r="C6" i="238" s="1"/>
  <c r="C9" i="238" s="1"/>
  <c r="C7" i="319"/>
  <c r="C6" i="319" s="1"/>
  <c r="C9" i="319" s="1"/>
  <c r="C7" i="171"/>
  <c r="C6" i="171" s="1"/>
  <c r="C9" i="171" s="1"/>
  <c r="C7" i="165"/>
  <c r="C6" i="165" s="1"/>
  <c r="C9" i="165" s="1"/>
  <c r="C7" i="275"/>
  <c r="C6" i="275" s="1"/>
  <c r="C9" i="275" s="1"/>
  <c r="C7" i="201"/>
  <c r="C6" i="201" s="1"/>
  <c r="C9" i="201" s="1"/>
  <c r="C7" i="327"/>
  <c r="C6" i="327" s="1"/>
  <c r="C9" i="327" s="1"/>
  <c r="C7" i="180"/>
  <c r="C6" i="180" s="1"/>
  <c r="C9" i="180" s="1"/>
  <c r="C7" i="192"/>
  <c r="C6" i="192" s="1"/>
  <c r="C9" i="192" s="1"/>
  <c r="C7" i="264"/>
  <c r="C6" i="264" s="1"/>
  <c r="C9" i="264" s="1"/>
  <c r="C7" i="249"/>
  <c r="C6" i="249" s="1"/>
  <c r="C9" i="249" s="1"/>
  <c r="C7" i="179"/>
  <c r="C6" i="179" s="1"/>
  <c r="C9" i="179" s="1"/>
  <c r="C7" i="164"/>
  <c r="C6" i="164" s="1"/>
  <c r="C9" i="164" s="1"/>
  <c r="C7" i="343"/>
  <c r="C6" i="343" s="1"/>
  <c r="C9" i="343" s="1"/>
  <c r="C7" i="142"/>
  <c r="C6" i="142" s="1"/>
  <c r="C9" i="142" s="1"/>
  <c r="C7" i="339"/>
  <c r="C6" i="339" s="1"/>
  <c r="C9" i="339" s="1"/>
  <c r="C7" i="151"/>
  <c r="C6" i="151" s="1"/>
  <c r="C9" i="151" s="1"/>
  <c r="C7" i="376"/>
  <c r="C6" i="376" s="1"/>
  <c r="C9" i="376" s="1"/>
  <c r="C7" i="198"/>
  <c r="C6" i="198" s="1"/>
  <c r="C9" i="198" s="1"/>
  <c r="C7" i="154"/>
  <c r="C6" i="154" s="1"/>
  <c r="C9" i="154" s="1"/>
  <c r="C7" i="160"/>
  <c r="C6" i="160" s="1"/>
  <c r="C9" i="160" s="1"/>
  <c r="C6" i="137"/>
  <c r="C9" i="137" s="1"/>
  <c r="C7" i="227"/>
  <c r="C6" i="227" s="1"/>
  <c r="C9" i="227" s="1"/>
  <c r="C7" i="307"/>
  <c r="C6" i="307" s="1"/>
  <c r="C9" i="307" s="1"/>
  <c r="C7" i="140"/>
  <c r="C6" i="140" s="1"/>
  <c r="C9" i="140" s="1"/>
  <c r="C7" i="169"/>
  <c r="C6" i="169" s="1"/>
  <c r="C9" i="169" s="1"/>
  <c r="C7" i="303"/>
  <c r="C6" i="303" s="1"/>
  <c r="C9" i="303" s="1"/>
  <c r="C7" i="284"/>
  <c r="C6" i="284" s="1"/>
  <c r="C9" i="284" s="1"/>
  <c r="C7" i="225"/>
  <c r="C6" i="225" s="1"/>
  <c r="C9" i="225" s="1"/>
  <c r="C7" i="159"/>
  <c r="C6" i="159" s="1"/>
  <c r="C9" i="159" s="1"/>
  <c r="C7" i="349"/>
  <c r="C6" i="349" s="1"/>
  <c r="C9" i="349" s="1"/>
  <c r="C7" i="189"/>
  <c r="C6" i="189" s="1"/>
  <c r="C9" i="189" s="1"/>
  <c r="C7" i="170"/>
  <c r="C6" i="170" s="1"/>
  <c r="C9" i="170" s="1"/>
  <c r="C7" i="168"/>
  <c r="C6" i="168" s="1"/>
  <c r="C9" i="168" s="1"/>
  <c r="C7" i="252"/>
  <c r="C6" i="252" s="1"/>
  <c r="C9" i="252" s="1"/>
  <c r="C7" i="359"/>
  <c r="C6" i="359" s="1"/>
  <c r="C9" i="359" s="1"/>
  <c r="C7" i="382"/>
  <c r="C6" i="382" s="1"/>
  <c r="C9" i="382" s="1"/>
  <c r="C7" i="367"/>
  <c r="C6" i="367" s="1"/>
  <c r="C9" i="367" s="1"/>
  <c r="C7" i="325"/>
  <c r="C6" i="325" s="1"/>
  <c r="C9" i="325" s="1"/>
  <c r="C7" i="317"/>
  <c r="C6" i="317" s="1"/>
  <c r="C9" i="317" s="1"/>
  <c r="C7" i="194"/>
  <c r="C6" i="194" s="1"/>
  <c r="C9" i="194" s="1"/>
  <c r="C7" i="193"/>
  <c r="C6" i="193" s="1"/>
  <c r="C9" i="193" s="1"/>
  <c r="C7" i="299"/>
  <c r="C6" i="299" s="1"/>
  <c r="C9" i="299" s="1"/>
  <c r="C7" i="277"/>
  <c r="C6" i="277" s="1"/>
  <c r="C9" i="277" s="1"/>
  <c r="C7" i="147"/>
  <c r="C6" i="147" s="1"/>
  <c r="C9" i="147" s="1"/>
  <c r="C7" i="331"/>
  <c r="C6" i="331" s="1"/>
  <c r="C9" i="331" s="1"/>
  <c r="C7" i="208"/>
  <c r="C6" i="208" s="1"/>
  <c r="C9" i="208" s="1"/>
  <c r="C7" i="363"/>
  <c r="C6" i="363" s="1"/>
  <c r="C9" i="363" s="1"/>
  <c r="C7" i="271"/>
  <c r="C6" i="271" s="1"/>
  <c r="C9" i="271" s="1"/>
  <c r="C7" i="172"/>
  <c r="C6" i="172" s="1"/>
  <c r="C9" i="172" s="1"/>
  <c r="C7" i="212"/>
  <c r="C6" i="212" s="1"/>
  <c r="C9" i="212" s="1"/>
  <c r="C7" i="369"/>
  <c r="C6" i="369" s="1"/>
  <c r="C9" i="369" s="1"/>
  <c r="C7" i="345"/>
  <c r="C6" i="345" s="1"/>
  <c r="C9" i="345" s="1"/>
  <c r="C7" i="204"/>
  <c r="C6" i="204" s="1"/>
  <c r="C9" i="204" s="1"/>
  <c r="C7" i="199"/>
  <c r="C6" i="199" s="1"/>
  <c r="C9" i="199" s="1"/>
  <c r="C7" i="315"/>
  <c r="C6" i="315" s="1"/>
  <c r="C9" i="315" s="1"/>
  <c r="C7" i="177"/>
  <c r="C6" i="177" s="1"/>
  <c r="C9" i="177" s="1"/>
  <c r="C7" i="268"/>
  <c r="C6" i="268" s="1"/>
  <c r="C9" i="268" s="1"/>
  <c r="C7" i="231"/>
  <c r="C6" i="231" s="1"/>
  <c r="C9" i="231" s="1"/>
  <c r="C7" i="145"/>
  <c r="C6" i="145" s="1"/>
  <c r="C9" i="145" s="1"/>
  <c r="C7" i="260"/>
  <c r="C6" i="260" s="1"/>
  <c r="C9" i="260" s="1"/>
  <c r="C7" i="195"/>
  <c r="C6" i="195" s="1"/>
  <c r="C9" i="195" s="1"/>
  <c r="C7" i="378"/>
  <c r="C6" i="378" s="1"/>
  <c r="C9" i="378" s="1"/>
  <c r="D10" i="170" l="1"/>
  <c r="C29" i="170"/>
  <c r="D30" i="170" s="1"/>
  <c r="C32" i="170" s="1"/>
  <c r="D38" i="170" s="1"/>
  <c r="C31" i="170"/>
  <c r="D10" i="238"/>
  <c r="C29" i="238"/>
  <c r="D30" i="238" s="1"/>
  <c r="C32" i="238" s="1"/>
  <c r="D38" i="238" s="1"/>
  <c r="C31" i="238"/>
  <c r="D10" i="163"/>
  <c r="C29" i="163"/>
  <c r="D30" i="163" s="1"/>
  <c r="C32" i="163" s="1"/>
  <c r="D38" i="163" s="1"/>
  <c r="C31" i="163"/>
  <c r="C29" i="355"/>
  <c r="D30" i="355" s="1"/>
  <c r="C32" i="355" s="1"/>
  <c r="D38" i="355" s="1"/>
  <c r="D10" i="355"/>
  <c r="C31" i="355"/>
  <c r="D10" i="199"/>
  <c r="C29" i="199"/>
  <c r="D30" i="199" s="1"/>
  <c r="C32" i="199" s="1"/>
  <c r="D38" i="199" s="1"/>
  <c r="C31" i="199"/>
  <c r="D10" i="317"/>
  <c r="C29" i="317"/>
  <c r="D30" i="317" s="1"/>
  <c r="C32" i="317" s="1"/>
  <c r="D38" i="317" s="1"/>
  <c r="C31" i="317"/>
  <c r="D10" i="189"/>
  <c r="C29" i="189"/>
  <c r="D30" i="189" s="1"/>
  <c r="C32" i="189" s="1"/>
  <c r="D38" i="189" s="1"/>
  <c r="C31" i="189"/>
  <c r="D10" i="307"/>
  <c r="C29" i="307"/>
  <c r="D30" i="307" s="1"/>
  <c r="C32" i="307" s="1"/>
  <c r="D38" i="307" s="1"/>
  <c r="C31" i="307"/>
  <c r="D10" i="339"/>
  <c r="C29" i="339"/>
  <c r="D30" i="339" s="1"/>
  <c r="C32" i="339" s="1"/>
  <c r="D38" i="339" s="1"/>
  <c r="C31" i="339"/>
  <c r="D10" i="180"/>
  <c r="C29" i="180"/>
  <c r="D30" i="180" s="1"/>
  <c r="C32" i="180" s="1"/>
  <c r="D38" i="180" s="1"/>
  <c r="C31" i="180"/>
  <c r="D10" i="175"/>
  <c r="C29" i="175"/>
  <c r="D30" i="175" s="1"/>
  <c r="C32" i="175" s="1"/>
  <c r="D38" i="175" s="1"/>
  <c r="C31" i="175"/>
  <c r="D10" i="229"/>
  <c r="C29" i="229"/>
  <c r="D30" i="229" s="1"/>
  <c r="C32" i="229" s="1"/>
  <c r="D38" i="229" s="1"/>
  <c r="C31" i="229"/>
  <c r="D10" i="373"/>
  <c r="C29" i="373"/>
  <c r="D30" i="373" s="1"/>
  <c r="C32" i="373" s="1"/>
  <c r="D38" i="373" s="1"/>
  <c r="C31" i="373"/>
  <c r="D10" i="185"/>
  <c r="C31" i="185"/>
  <c r="C29" i="185"/>
  <c r="D30" i="185" s="1"/>
  <c r="C32" i="185" s="1"/>
  <c r="D38" i="185" s="1"/>
  <c r="D10" i="176"/>
  <c r="C31" i="176"/>
  <c r="C29" i="176"/>
  <c r="D30" i="176" s="1"/>
  <c r="C32" i="176" s="1"/>
  <c r="D38" i="176" s="1"/>
  <c r="D10" i="205"/>
  <c r="C29" i="205"/>
  <c r="D30" i="205" s="1"/>
  <c r="C32" i="205" s="1"/>
  <c r="D38" i="205" s="1"/>
  <c r="C31" i="205"/>
  <c r="D10" i="190"/>
  <c r="C29" i="190"/>
  <c r="D30" i="190" s="1"/>
  <c r="C32" i="190" s="1"/>
  <c r="D38" i="190" s="1"/>
  <c r="C31" i="190"/>
  <c r="D10" i="295"/>
  <c r="C29" i="295"/>
  <c r="D30" i="295" s="1"/>
  <c r="C32" i="295" s="1"/>
  <c r="D38" i="295" s="1"/>
  <c r="C31" i="295"/>
  <c r="D10" i="301"/>
  <c r="C29" i="301"/>
  <c r="D30" i="301" s="1"/>
  <c r="C32" i="301" s="1"/>
  <c r="D38" i="301" s="1"/>
  <c r="C31" i="301"/>
  <c r="D10" i="138"/>
  <c r="D53" i="138"/>
  <c r="D54" i="138" s="1"/>
  <c r="C29" i="138"/>
  <c r="D30" i="138" s="1"/>
  <c r="C32" i="138" s="1"/>
  <c r="D38" i="138" s="1"/>
  <c r="C31" i="138"/>
  <c r="D10" i="386"/>
  <c r="C29" i="386"/>
  <c r="D30" i="386" s="1"/>
  <c r="C32" i="386" s="1"/>
  <c r="D38" i="386" s="1"/>
  <c r="C31" i="386"/>
  <c r="D10" i="363"/>
  <c r="C31" i="363"/>
  <c r="C29" i="363"/>
  <c r="D30" i="363" s="1"/>
  <c r="C32" i="363" s="1"/>
  <c r="D38" i="363" s="1"/>
  <c r="D10" i="151"/>
  <c r="C29" i="151"/>
  <c r="D30" i="151" s="1"/>
  <c r="C32" i="151" s="1"/>
  <c r="D38" i="151" s="1"/>
  <c r="C31" i="151"/>
  <c r="D53" i="144"/>
  <c r="D54" i="144" s="1"/>
  <c r="D10" i="144"/>
  <c r="C29" i="144"/>
  <c r="D30" i="144" s="1"/>
  <c r="C32" i="144" s="1"/>
  <c r="D38" i="144" s="1"/>
  <c r="C31" i="144"/>
  <c r="D10" i="341"/>
  <c r="C29" i="341"/>
  <c r="D30" i="341" s="1"/>
  <c r="C32" i="341" s="1"/>
  <c r="D38" i="341" s="1"/>
  <c r="C31" i="341"/>
  <c r="D10" i="262"/>
  <c r="C29" i="262"/>
  <c r="D30" i="262" s="1"/>
  <c r="C32" i="262" s="1"/>
  <c r="D38" i="262" s="1"/>
  <c r="C31" i="262"/>
  <c r="D10" i="378"/>
  <c r="C29" i="378"/>
  <c r="D30" i="378" s="1"/>
  <c r="C32" i="378" s="1"/>
  <c r="D38" i="378" s="1"/>
  <c r="C31" i="378"/>
  <c r="D10" i="204"/>
  <c r="C29" i="204"/>
  <c r="D30" i="204" s="1"/>
  <c r="C32" i="204" s="1"/>
  <c r="D38" i="204" s="1"/>
  <c r="C31" i="204"/>
  <c r="D10" i="325"/>
  <c r="C29" i="325"/>
  <c r="D30" i="325" s="1"/>
  <c r="C32" i="325" s="1"/>
  <c r="D38" i="325" s="1"/>
  <c r="C31" i="325"/>
  <c r="D10" i="349"/>
  <c r="C29" i="349"/>
  <c r="D30" i="349" s="1"/>
  <c r="C32" i="349" s="1"/>
  <c r="D38" i="349" s="1"/>
  <c r="C31" i="349"/>
  <c r="D10" i="227"/>
  <c r="C29" i="227"/>
  <c r="D30" i="227" s="1"/>
  <c r="C32" i="227" s="1"/>
  <c r="D38" i="227" s="1"/>
  <c r="C31" i="227"/>
  <c r="D53" i="142"/>
  <c r="D54" i="142" s="1"/>
  <c r="D10" i="142"/>
  <c r="C29" i="142"/>
  <c r="D30" i="142" s="1"/>
  <c r="C32" i="142" s="1"/>
  <c r="D38" i="142" s="1"/>
  <c r="C31" i="142"/>
  <c r="C29" i="327"/>
  <c r="D30" i="327" s="1"/>
  <c r="C32" i="327" s="1"/>
  <c r="D38" i="327" s="1"/>
  <c r="D10" i="327"/>
  <c r="C31" i="327"/>
  <c r="D10" i="207"/>
  <c r="C29" i="207"/>
  <c r="D30" i="207" s="1"/>
  <c r="C32" i="207" s="1"/>
  <c r="D38" i="207" s="1"/>
  <c r="C31" i="207"/>
  <c r="D10" i="309"/>
  <c r="C29" i="309"/>
  <c r="D30" i="309" s="1"/>
  <c r="C32" i="309" s="1"/>
  <c r="D38" i="309" s="1"/>
  <c r="C31" i="309"/>
  <c r="D10" i="323"/>
  <c r="C29" i="323"/>
  <c r="D30" i="323" s="1"/>
  <c r="C32" i="323" s="1"/>
  <c r="D38" i="323" s="1"/>
  <c r="C31" i="323"/>
  <c r="D10" i="184"/>
  <c r="C29" i="184"/>
  <c r="D30" i="184" s="1"/>
  <c r="C32" i="184" s="1"/>
  <c r="D38" i="184" s="1"/>
  <c r="C31" i="184"/>
  <c r="D10" i="148"/>
  <c r="C29" i="148"/>
  <c r="D30" i="148" s="1"/>
  <c r="C32" i="148" s="1"/>
  <c r="D38" i="148" s="1"/>
  <c r="C31" i="148"/>
  <c r="D10" i="250"/>
  <c r="C29" i="250"/>
  <c r="D30" i="250" s="1"/>
  <c r="C32" i="250" s="1"/>
  <c r="D38" i="250" s="1"/>
  <c r="C31" i="250"/>
  <c r="D10" i="173"/>
  <c r="C29" i="173"/>
  <c r="D30" i="173" s="1"/>
  <c r="C32" i="173" s="1"/>
  <c r="D38" i="173" s="1"/>
  <c r="C31" i="173"/>
  <c r="D10" i="236"/>
  <c r="C29" i="236"/>
  <c r="D30" i="236" s="1"/>
  <c r="C32" i="236" s="1"/>
  <c r="D38" i="236" s="1"/>
  <c r="C31" i="236"/>
  <c r="D10" i="157"/>
  <c r="C29" i="157"/>
  <c r="D30" i="157" s="1"/>
  <c r="C32" i="157" s="1"/>
  <c r="D38" i="157" s="1"/>
  <c r="C31" i="157"/>
  <c r="D10" i="183"/>
  <c r="C31" i="183"/>
  <c r="C29" i="183"/>
  <c r="D30" i="183" s="1"/>
  <c r="C32" i="183" s="1"/>
  <c r="D38" i="183" s="1"/>
  <c r="D10" i="186"/>
  <c r="C29" i="186"/>
  <c r="D30" i="186" s="1"/>
  <c r="C32" i="186" s="1"/>
  <c r="D38" i="186" s="1"/>
  <c r="C31" i="186"/>
  <c r="D10" i="195"/>
  <c r="C29" i="195"/>
  <c r="D30" i="195" s="1"/>
  <c r="C32" i="195" s="1"/>
  <c r="D38" i="195" s="1"/>
  <c r="C31" i="195"/>
  <c r="D10" i="208"/>
  <c r="C29" i="208"/>
  <c r="D30" i="208" s="1"/>
  <c r="C32" i="208" s="1"/>
  <c r="D38" i="208" s="1"/>
  <c r="C31" i="208"/>
  <c r="D10" i="260"/>
  <c r="C29" i="260"/>
  <c r="D30" i="260" s="1"/>
  <c r="C32" i="260" s="1"/>
  <c r="D38" i="260" s="1"/>
  <c r="C31" i="260"/>
  <c r="D10" i="345"/>
  <c r="C29" i="345"/>
  <c r="D30" i="345" s="1"/>
  <c r="C32" i="345" s="1"/>
  <c r="D38" i="345" s="1"/>
  <c r="C31" i="345"/>
  <c r="D10" i="331"/>
  <c r="C29" i="331"/>
  <c r="D30" i="331" s="1"/>
  <c r="C32" i="331" s="1"/>
  <c r="D38" i="331" s="1"/>
  <c r="C31" i="331"/>
  <c r="D10" i="367"/>
  <c r="C29" i="367"/>
  <c r="D30" i="367" s="1"/>
  <c r="C32" i="367" s="1"/>
  <c r="D38" i="367" s="1"/>
  <c r="C31" i="367"/>
  <c r="D10" i="159"/>
  <c r="C29" i="159"/>
  <c r="D30" i="159" s="1"/>
  <c r="C32" i="159" s="1"/>
  <c r="D38" i="159" s="1"/>
  <c r="C31" i="159"/>
  <c r="D53" i="137"/>
  <c r="D54" i="137" s="1"/>
  <c r="D10" i="137"/>
  <c r="C29" i="137"/>
  <c r="D30" i="137" s="1"/>
  <c r="C32" i="137" s="1"/>
  <c r="D38" i="137" s="1"/>
  <c r="C31" i="137"/>
  <c r="D10" i="343"/>
  <c r="C29" i="343"/>
  <c r="D30" i="343" s="1"/>
  <c r="C32" i="343" s="1"/>
  <c r="D38" i="343" s="1"/>
  <c r="C31" i="343"/>
  <c r="D10" i="201"/>
  <c r="C29" i="201"/>
  <c r="D30" i="201" s="1"/>
  <c r="C32" i="201" s="1"/>
  <c r="D38" i="201" s="1"/>
  <c r="C31" i="201"/>
  <c r="D10" i="365"/>
  <c r="C29" i="365"/>
  <c r="D30" i="365" s="1"/>
  <c r="C32" i="365" s="1"/>
  <c r="D38" i="365" s="1"/>
  <c r="C31" i="365"/>
  <c r="D10" i="187"/>
  <c r="C29" i="187"/>
  <c r="D30" i="187" s="1"/>
  <c r="C32" i="187" s="1"/>
  <c r="D38" i="187" s="1"/>
  <c r="C31" i="187"/>
  <c r="D10" i="191"/>
  <c r="C31" i="191"/>
  <c r="C29" i="191"/>
  <c r="D30" i="191" s="1"/>
  <c r="C32" i="191" s="1"/>
  <c r="D38" i="191" s="1"/>
  <c r="D10" i="329"/>
  <c r="C29" i="329"/>
  <c r="D30" i="329" s="1"/>
  <c r="C32" i="329" s="1"/>
  <c r="D38" i="329" s="1"/>
  <c r="C31" i="329"/>
  <c r="D10" i="167"/>
  <c r="C29" i="167"/>
  <c r="D30" i="167" s="1"/>
  <c r="C32" i="167" s="1"/>
  <c r="D38" i="167" s="1"/>
  <c r="C31" i="167"/>
  <c r="D10" i="357"/>
  <c r="C29" i="357"/>
  <c r="D30" i="357" s="1"/>
  <c r="C32" i="357" s="1"/>
  <c r="D38" i="357" s="1"/>
  <c r="C31" i="357"/>
  <c r="D10" i="149"/>
  <c r="C29" i="149"/>
  <c r="D30" i="149" s="1"/>
  <c r="C32" i="149" s="1"/>
  <c r="D38" i="149" s="1"/>
  <c r="C31" i="149"/>
  <c r="D10" i="166"/>
  <c r="C29" i="166"/>
  <c r="D30" i="166" s="1"/>
  <c r="C32" i="166" s="1"/>
  <c r="D38" i="166" s="1"/>
  <c r="C31" i="166"/>
  <c r="D10" i="254"/>
  <c r="C29" i="254"/>
  <c r="D30" i="254" s="1"/>
  <c r="C32" i="254" s="1"/>
  <c r="D38" i="254" s="1"/>
  <c r="C31" i="254"/>
  <c r="D10" i="242"/>
  <c r="C29" i="242"/>
  <c r="D30" i="242" s="1"/>
  <c r="C32" i="242" s="1"/>
  <c r="D38" i="242" s="1"/>
  <c r="C31" i="242"/>
  <c r="C29" i="221"/>
  <c r="D30" i="221" s="1"/>
  <c r="C32" i="221" s="1"/>
  <c r="D38" i="221" s="1"/>
  <c r="D10" i="221"/>
  <c r="C31" i="221"/>
  <c r="D10" i="315"/>
  <c r="C29" i="315"/>
  <c r="D30" i="315" s="1"/>
  <c r="C32" i="315" s="1"/>
  <c r="D38" i="315" s="1"/>
  <c r="C31" i="315"/>
  <c r="D10" i="192"/>
  <c r="C29" i="192"/>
  <c r="D30" i="192" s="1"/>
  <c r="C32" i="192" s="1"/>
  <c r="D38" i="192" s="1"/>
  <c r="C31" i="192"/>
  <c r="C29" i="203"/>
  <c r="D30" i="203" s="1"/>
  <c r="C32" i="203" s="1"/>
  <c r="D38" i="203" s="1"/>
  <c r="D10" i="203"/>
  <c r="C31" i="203"/>
  <c r="D10" i="382"/>
  <c r="C29" i="382"/>
  <c r="D30" i="382" s="1"/>
  <c r="C32" i="382" s="1"/>
  <c r="D38" i="382" s="1"/>
  <c r="C31" i="382"/>
  <c r="D10" i="225"/>
  <c r="C29" i="225"/>
  <c r="D30" i="225" s="1"/>
  <c r="C32" i="225" s="1"/>
  <c r="D38" i="225" s="1"/>
  <c r="C31" i="225"/>
  <c r="D10" i="160"/>
  <c r="C29" i="160"/>
  <c r="D30" i="160" s="1"/>
  <c r="C32" i="160" s="1"/>
  <c r="D38" i="160" s="1"/>
  <c r="C31" i="160"/>
  <c r="D10" i="164"/>
  <c r="C29" i="164"/>
  <c r="D30" i="164" s="1"/>
  <c r="C32" i="164" s="1"/>
  <c r="D38" i="164" s="1"/>
  <c r="C31" i="164"/>
  <c r="D10" i="275"/>
  <c r="C29" i="275"/>
  <c r="D30" i="275" s="1"/>
  <c r="C32" i="275" s="1"/>
  <c r="D38" i="275" s="1"/>
  <c r="C31" i="275"/>
  <c r="D10" i="206"/>
  <c r="C29" i="206"/>
  <c r="D30" i="206" s="1"/>
  <c r="C32" i="206" s="1"/>
  <c r="D38" i="206" s="1"/>
  <c r="C31" i="206"/>
  <c r="D10" i="196"/>
  <c r="C29" i="196"/>
  <c r="D30" i="196" s="1"/>
  <c r="C32" i="196" s="1"/>
  <c r="D38" i="196" s="1"/>
  <c r="C31" i="196"/>
  <c r="D53" i="146"/>
  <c r="D54" i="146" s="1"/>
  <c r="C29" i="146"/>
  <c r="D30" i="146" s="1"/>
  <c r="C32" i="146" s="1"/>
  <c r="D38" i="146" s="1"/>
  <c r="D10" i="146"/>
  <c r="C31" i="146"/>
  <c r="C29" i="333"/>
  <c r="D30" i="333" s="1"/>
  <c r="C32" i="333" s="1"/>
  <c r="D38" i="333" s="1"/>
  <c r="D10" i="333"/>
  <c r="C31" i="333"/>
  <c r="D10" i="279"/>
  <c r="C29" i="279"/>
  <c r="D30" i="279" s="1"/>
  <c r="C32" i="279" s="1"/>
  <c r="D38" i="279" s="1"/>
  <c r="C31" i="279"/>
  <c r="D10" i="197"/>
  <c r="C29" i="197"/>
  <c r="D30" i="197" s="1"/>
  <c r="C32" i="197" s="1"/>
  <c r="D38" i="197" s="1"/>
  <c r="C31" i="197"/>
  <c r="D10" i="188"/>
  <c r="C29" i="188"/>
  <c r="D30" i="188" s="1"/>
  <c r="C32" i="188" s="1"/>
  <c r="D38" i="188" s="1"/>
  <c r="C31" i="188"/>
  <c r="D10" i="141"/>
  <c r="C29" i="141"/>
  <c r="D30" i="141" s="1"/>
  <c r="C32" i="141" s="1"/>
  <c r="D38" i="141" s="1"/>
  <c r="C31" i="141"/>
  <c r="D10" i="256"/>
  <c r="C29" i="256"/>
  <c r="D30" i="256" s="1"/>
  <c r="C32" i="256" s="1"/>
  <c r="D38" i="256" s="1"/>
  <c r="C31" i="256"/>
  <c r="D10" i="273"/>
  <c r="C29" i="273"/>
  <c r="D30" i="273" s="1"/>
  <c r="C32" i="273" s="1"/>
  <c r="D38" i="273" s="1"/>
  <c r="C31" i="273"/>
  <c r="D10" i="371"/>
  <c r="C29" i="371"/>
  <c r="D30" i="371" s="1"/>
  <c r="C32" i="371" s="1"/>
  <c r="D38" i="371" s="1"/>
  <c r="C31" i="371"/>
  <c r="D10" i="194"/>
  <c r="C29" i="194"/>
  <c r="D30" i="194" s="1"/>
  <c r="C32" i="194" s="1"/>
  <c r="D38" i="194" s="1"/>
  <c r="C31" i="194"/>
  <c r="D10" i="313"/>
  <c r="C29" i="313"/>
  <c r="D30" i="313" s="1"/>
  <c r="C32" i="313" s="1"/>
  <c r="D38" i="313" s="1"/>
  <c r="C31" i="313"/>
  <c r="C29" i="200"/>
  <c r="D30" i="200" s="1"/>
  <c r="C32" i="200" s="1"/>
  <c r="D38" i="200" s="1"/>
  <c r="D10" i="200"/>
  <c r="C31" i="200"/>
  <c r="D10" i="369"/>
  <c r="C29" i="369"/>
  <c r="D30" i="369" s="1"/>
  <c r="C32" i="369" s="1"/>
  <c r="D38" i="369" s="1"/>
  <c r="C31" i="369"/>
  <c r="D53" i="212"/>
  <c r="D54" i="212" s="1"/>
  <c r="C29" i="212"/>
  <c r="D30" i="212" s="1"/>
  <c r="C32" i="212" s="1"/>
  <c r="D38" i="212" s="1"/>
  <c r="D10" i="212"/>
  <c r="C31" i="212"/>
  <c r="D10" i="277"/>
  <c r="C29" i="277"/>
  <c r="D30" i="277" s="1"/>
  <c r="C32" i="277" s="1"/>
  <c r="D38" i="277" s="1"/>
  <c r="C31" i="277"/>
  <c r="D10" i="359"/>
  <c r="C29" i="359"/>
  <c r="D30" i="359" s="1"/>
  <c r="C32" i="359" s="1"/>
  <c r="D38" i="359" s="1"/>
  <c r="C31" i="359"/>
  <c r="D10" i="284"/>
  <c r="C29" i="284"/>
  <c r="D30" i="284" s="1"/>
  <c r="C32" i="284" s="1"/>
  <c r="D38" i="284" s="1"/>
  <c r="C31" i="284"/>
  <c r="D10" i="154"/>
  <c r="C29" i="154"/>
  <c r="D30" i="154" s="1"/>
  <c r="C32" i="154" s="1"/>
  <c r="D38" i="154" s="1"/>
  <c r="C31" i="154"/>
  <c r="D10" i="179"/>
  <c r="C29" i="179"/>
  <c r="D30" i="179" s="1"/>
  <c r="C32" i="179" s="1"/>
  <c r="D38" i="179" s="1"/>
  <c r="C31" i="179"/>
  <c r="D10" i="165"/>
  <c r="C29" i="165"/>
  <c r="D30" i="165" s="1"/>
  <c r="C32" i="165" s="1"/>
  <c r="D38" i="165" s="1"/>
  <c r="C31" i="165"/>
  <c r="D10" i="240"/>
  <c r="C29" i="240"/>
  <c r="D30" i="240" s="1"/>
  <c r="C32" i="240" s="1"/>
  <c r="D38" i="240" s="1"/>
  <c r="C31" i="240"/>
  <c r="D10" i="161"/>
  <c r="C29" i="161"/>
  <c r="D30" i="161" s="1"/>
  <c r="C32" i="161" s="1"/>
  <c r="D38" i="161" s="1"/>
  <c r="C31" i="161"/>
  <c r="D10" i="150"/>
  <c r="C29" i="150"/>
  <c r="D30" i="150" s="1"/>
  <c r="C32" i="150" s="1"/>
  <c r="D38" i="150" s="1"/>
  <c r="C31" i="150"/>
  <c r="D10" i="244"/>
  <c r="C29" i="244"/>
  <c r="D30" i="244" s="1"/>
  <c r="C32" i="244" s="1"/>
  <c r="D38" i="244" s="1"/>
  <c r="C31" i="244"/>
  <c r="D10" i="282"/>
  <c r="C29" i="282"/>
  <c r="D30" i="282" s="1"/>
  <c r="C32" i="282" s="1"/>
  <c r="D38" i="282" s="1"/>
  <c r="C31" i="282"/>
  <c r="D10" i="233"/>
  <c r="C29" i="233"/>
  <c r="D30" i="233" s="1"/>
  <c r="C32" i="233" s="1"/>
  <c r="D38" i="233" s="1"/>
  <c r="C31" i="233"/>
  <c r="D10" i="246"/>
  <c r="C29" i="246"/>
  <c r="D30" i="246" s="1"/>
  <c r="C32" i="246" s="1"/>
  <c r="D38" i="246" s="1"/>
  <c r="C31" i="246"/>
  <c r="D10" i="174"/>
  <c r="C29" i="174"/>
  <c r="D30" i="174" s="1"/>
  <c r="C32" i="174" s="1"/>
  <c r="D38" i="174" s="1"/>
  <c r="C31" i="174"/>
  <c r="D10" i="218"/>
  <c r="C29" i="218"/>
  <c r="D30" i="218" s="1"/>
  <c r="C32" i="218" s="1"/>
  <c r="D38" i="218" s="1"/>
  <c r="C31" i="218"/>
  <c r="D10" i="258"/>
  <c r="C29" i="258"/>
  <c r="D30" i="258" s="1"/>
  <c r="C32" i="258" s="1"/>
  <c r="D38" i="258" s="1"/>
  <c r="C31" i="258"/>
  <c r="C33" i="305"/>
  <c r="C37" i="305" s="1"/>
  <c r="C43" i="305" s="1"/>
  <c r="C46" i="305" s="1"/>
  <c r="D10" i="140"/>
  <c r="C29" i="140"/>
  <c r="D30" i="140" s="1"/>
  <c r="C32" i="140" s="1"/>
  <c r="D38" i="140" s="1"/>
  <c r="C31" i="140"/>
  <c r="C29" i="384"/>
  <c r="D30" i="384" s="1"/>
  <c r="C32" i="384" s="1"/>
  <c r="D38" i="384" s="1"/>
  <c r="C31" i="384"/>
  <c r="D10" i="384"/>
  <c r="D53" i="145"/>
  <c r="D54" i="145" s="1"/>
  <c r="D10" i="145"/>
  <c r="C31" i="145"/>
  <c r="C29" i="145"/>
  <c r="D30" i="145" s="1"/>
  <c r="C32" i="145" s="1"/>
  <c r="D38" i="145" s="1"/>
  <c r="D10" i="231"/>
  <c r="C29" i="231"/>
  <c r="D30" i="231" s="1"/>
  <c r="C32" i="231" s="1"/>
  <c r="D38" i="231" s="1"/>
  <c r="C31" i="231"/>
  <c r="D10" i="172"/>
  <c r="C29" i="172"/>
  <c r="D30" i="172" s="1"/>
  <c r="C32" i="172" s="1"/>
  <c r="D38" i="172" s="1"/>
  <c r="C31" i="172"/>
  <c r="D10" i="252"/>
  <c r="C29" i="252"/>
  <c r="D30" i="252" s="1"/>
  <c r="C32" i="252" s="1"/>
  <c r="D38" i="252" s="1"/>
  <c r="C31" i="252"/>
  <c r="D10" i="303"/>
  <c r="C29" i="303"/>
  <c r="D30" i="303" s="1"/>
  <c r="C32" i="303" s="1"/>
  <c r="D38" i="303" s="1"/>
  <c r="C31" i="303"/>
  <c r="D10" i="198"/>
  <c r="C29" i="198"/>
  <c r="D30" i="198" s="1"/>
  <c r="C32" i="198" s="1"/>
  <c r="D38" i="198" s="1"/>
  <c r="C31" i="198"/>
  <c r="D10" i="249"/>
  <c r="C29" i="249"/>
  <c r="D30" i="249" s="1"/>
  <c r="C32" i="249" s="1"/>
  <c r="D38" i="249" s="1"/>
  <c r="C31" i="249"/>
  <c r="D10" i="171"/>
  <c r="C29" i="171"/>
  <c r="D30" i="171" s="1"/>
  <c r="C32" i="171" s="1"/>
  <c r="D38" i="171" s="1"/>
  <c r="C31" i="171"/>
  <c r="D10" i="155"/>
  <c r="C29" i="155"/>
  <c r="D30" i="155" s="1"/>
  <c r="C32" i="155" s="1"/>
  <c r="D38" i="155" s="1"/>
  <c r="C31" i="155"/>
  <c r="C29" i="347"/>
  <c r="D30" i="347" s="1"/>
  <c r="C32" i="347" s="1"/>
  <c r="D38" i="347" s="1"/>
  <c r="D10" i="347"/>
  <c r="C31" i="347"/>
  <c r="D10" i="311"/>
  <c r="C29" i="311"/>
  <c r="D30" i="311" s="1"/>
  <c r="C32" i="311" s="1"/>
  <c r="D38" i="311" s="1"/>
  <c r="C31" i="311"/>
  <c r="D10" i="156"/>
  <c r="C29" i="156"/>
  <c r="D30" i="156" s="1"/>
  <c r="C32" i="156" s="1"/>
  <c r="D38" i="156" s="1"/>
  <c r="C31" i="156"/>
  <c r="D10" i="158"/>
  <c r="C29" i="158"/>
  <c r="D30" i="158" s="1"/>
  <c r="C32" i="158" s="1"/>
  <c r="D38" i="158" s="1"/>
  <c r="C31" i="158"/>
  <c r="C29" i="335"/>
  <c r="D30" i="335" s="1"/>
  <c r="C32" i="335" s="1"/>
  <c r="D38" i="335" s="1"/>
  <c r="D10" i="335"/>
  <c r="C31" i="335"/>
  <c r="D10" i="181"/>
  <c r="C29" i="181"/>
  <c r="D30" i="181" s="1"/>
  <c r="C32" i="181" s="1"/>
  <c r="D38" i="181" s="1"/>
  <c r="C31" i="181"/>
  <c r="C29" i="351"/>
  <c r="D30" i="351" s="1"/>
  <c r="C32" i="351" s="1"/>
  <c r="D38" i="351" s="1"/>
  <c r="D10" i="351"/>
  <c r="C31" i="351"/>
  <c r="D10" i="202"/>
  <c r="C29" i="202"/>
  <c r="D30" i="202" s="1"/>
  <c r="C32" i="202" s="1"/>
  <c r="D38" i="202" s="1"/>
  <c r="C31" i="202"/>
  <c r="C29" i="321"/>
  <c r="D30" i="321" s="1"/>
  <c r="C32" i="321" s="1"/>
  <c r="D38" i="321" s="1"/>
  <c r="D10" i="321"/>
  <c r="C31" i="321"/>
  <c r="D10" i="353"/>
  <c r="C31" i="353"/>
  <c r="C29" i="353"/>
  <c r="D30" i="353" s="1"/>
  <c r="C32" i="353" s="1"/>
  <c r="D38" i="353" s="1"/>
  <c r="D10" i="147"/>
  <c r="C29" i="147"/>
  <c r="D30" i="147" s="1"/>
  <c r="C32" i="147" s="1"/>
  <c r="D38" i="147" s="1"/>
  <c r="C31" i="147"/>
  <c r="D10" i="268"/>
  <c r="C29" i="268"/>
  <c r="D30" i="268" s="1"/>
  <c r="C32" i="268" s="1"/>
  <c r="D38" i="268" s="1"/>
  <c r="C31" i="268"/>
  <c r="D10" i="299"/>
  <c r="C29" i="299"/>
  <c r="D30" i="299" s="1"/>
  <c r="C32" i="299" s="1"/>
  <c r="D38" i="299" s="1"/>
  <c r="C31" i="299"/>
  <c r="D10" i="177"/>
  <c r="C29" i="177"/>
  <c r="D30" i="177" s="1"/>
  <c r="C32" i="177" s="1"/>
  <c r="D38" i="177" s="1"/>
  <c r="C31" i="177"/>
  <c r="D10" i="271"/>
  <c r="C29" i="271"/>
  <c r="D30" i="271" s="1"/>
  <c r="C32" i="271" s="1"/>
  <c r="D38" i="271" s="1"/>
  <c r="C31" i="271"/>
  <c r="D10" i="193"/>
  <c r="C29" i="193"/>
  <c r="D30" i="193" s="1"/>
  <c r="C32" i="193" s="1"/>
  <c r="D38" i="193" s="1"/>
  <c r="C31" i="193"/>
  <c r="D10" i="168"/>
  <c r="C29" i="168"/>
  <c r="D30" i="168" s="1"/>
  <c r="C32" i="168" s="1"/>
  <c r="D38" i="168" s="1"/>
  <c r="C31" i="168"/>
  <c r="C29" i="169"/>
  <c r="D30" i="169" s="1"/>
  <c r="C32" i="169" s="1"/>
  <c r="D38" i="169" s="1"/>
  <c r="D10" i="169"/>
  <c r="C31" i="169"/>
  <c r="D10" i="376"/>
  <c r="C29" i="376"/>
  <c r="D30" i="376" s="1"/>
  <c r="C32" i="376" s="1"/>
  <c r="D38" i="376" s="1"/>
  <c r="C31" i="376"/>
  <c r="D10" i="264"/>
  <c r="C29" i="264"/>
  <c r="D30" i="264" s="1"/>
  <c r="C32" i="264" s="1"/>
  <c r="D38" i="264" s="1"/>
  <c r="C31" i="264"/>
  <c r="D10" i="319"/>
  <c r="C29" i="319"/>
  <c r="D30" i="319" s="1"/>
  <c r="C32" i="319" s="1"/>
  <c r="D38" i="319" s="1"/>
  <c r="C31" i="319"/>
  <c r="D10" i="162"/>
  <c r="C29" i="162"/>
  <c r="D30" i="162" s="1"/>
  <c r="C32" i="162" s="1"/>
  <c r="D38" i="162" s="1"/>
  <c r="C31" i="162"/>
  <c r="D10" i="223"/>
  <c r="C31" i="223"/>
  <c r="C29" i="223"/>
  <c r="D30" i="223" s="1"/>
  <c r="C32" i="223" s="1"/>
  <c r="D38" i="223" s="1"/>
  <c r="D10" i="153"/>
  <c r="C29" i="153"/>
  <c r="D30" i="153" s="1"/>
  <c r="C32" i="153" s="1"/>
  <c r="D38" i="153" s="1"/>
  <c r="C31" i="153"/>
  <c r="C29" i="139"/>
  <c r="D30" i="139" s="1"/>
  <c r="C32" i="139" s="1"/>
  <c r="D38" i="139" s="1"/>
  <c r="D10" i="139"/>
  <c r="C31" i="139"/>
  <c r="D10" i="297"/>
  <c r="C31" i="297"/>
  <c r="C29" i="297"/>
  <c r="D30" i="297" s="1"/>
  <c r="C32" i="297" s="1"/>
  <c r="D38" i="297" s="1"/>
  <c r="D10" i="337"/>
  <c r="C29" i="337"/>
  <c r="D30" i="337" s="1"/>
  <c r="C32" i="337" s="1"/>
  <c r="D38" i="337" s="1"/>
  <c r="C31" i="337"/>
  <c r="D10" i="361"/>
  <c r="C29" i="361"/>
  <c r="D30" i="361" s="1"/>
  <c r="C32" i="361" s="1"/>
  <c r="D38" i="361" s="1"/>
  <c r="C31" i="361"/>
  <c r="D10" i="152"/>
  <c r="C29" i="152"/>
  <c r="D30" i="152" s="1"/>
  <c r="C32" i="152" s="1"/>
  <c r="D38" i="152" s="1"/>
  <c r="C31" i="152"/>
  <c r="C29" i="380"/>
  <c r="D30" i="380" s="1"/>
  <c r="C32" i="380" s="1"/>
  <c r="D38" i="380" s="1"/>
  <c r="D10" i="380"/>
  <c r="C31" i="380"/>
  <c r="D10" i="266"/>
  <c r="C29" i="266"/>
  <c r="D30" i="266" s="1"/>
  <c r="C32" i="266" s="1"/>
  <c r="D38" i="266" s="1"/>
  <c r="C31" i="266"/>
  <c r="D33" i="305"/>
  <c r="C33" i="357" l="1"/>
  <c r="C37" i="357" s="1"/>
  <c r="C43" i="357" s="1"/>
  <c r="C46" i="357" s="1"/>
  <c r="D47" i="357" s="1"/>
  <c r="C48" i="357" s="1"/>
  <c r="C49" i="357" s="1"/>
  <c r="D150" i="209" s="1"/>
  <c r="C33" i="137"/>
  <c r="C37" i="137" s="1"/>
  <c r="C43" i="137" s="1"/>
  <c r="C46" i="137" s="1"/>
  <c r="C33" i="260"/>
  <c r="C37" i="260" s="1"/>
  <c r="C43" i="260" s="1"/>
  <c r="C46" i="260" s="1"/>
  <c r="D47" i="260" s="1"/>
  <c r="C48" i="260" s="1"/>
  <c r="C49" i="260" s="1"/>
  <c r="D117" i="209" s="1"/>
  <c r="C33" i="250"/>
  <c r="C37" i="250" s="1"/>
  <c r="C43" i="250" s="1"/>
  <c r="C46" i="250" s="1"/>
  <c r="D47" i="250" s="1"/>
  <c r="C48" i="250" s="1"/>
  <c r="C49" i="250" s="1"/>
  <c r="D112" i="209" s="1"/>
  <c r="C33" i="386"/>
  <c r="C37" i="386" s="1"/>
  <c r="C43" i="386" s="1"/>
  <c r="C46" i="386" s="1"/>
  <c r="D47" i="386" s="1"/>
  <c r="C48" i="386" s="1"/>
  <c r="C49" i="386" s="1"/>
  <c r="D179" i="209" s="1"/>
  <c r="C33" i="205"/>
  <c r="C37" i="205" s="1"/>
  <c r="C43" i="205" s="1"/>
  <c r="C46" i="205" s="1"/>
  <c r="D47" i="205" s="1"/>
  <c r="C48" i="205" s="1"/>
  <c r="C49" i="205" s="1"/>
  <c r="D48" i="209" s="1"/>
  <c r="C33" i="307"/>
  <c r="C37" i="307" s="1"/>
  <c r="C43" i="307" s="1"/>
  <c r="C46" i="307" s="1"/>
  <c r="D47" i="307" s="1"/>
  <c r="C48" i="307" s="1"/>
  <c r="C49" i="307" s="1"/>
  <c r="D197" i="209" s="1"/>
  <c r="D33" i="380"/>
  <c r="C33" i="337"/>
  <c r="C37" i="337" s="1"/>
  <c r="C43" i="337" s="1"/>
  <c r="C46" i="337" s="1"/>
  <c r="D47" i="337" s="1"/>
  <c r="C48" i="337" s="1"/>
  <c r="C49" i="337" s="1"/>
  <c r="D140" i="209" s="1"/>
  <c r="C33" i="262"/>
  <c r="C37" i="262" s="1"/>
  <c r="C43" i="262" s="1"/>
  <c r="C46" i="262" s="1"/>
  <c r="D47" i="262" s="1"/>
  <c r="C48" i="262" s="1"/>
  <c r="C49" i="262" s="1"/>
  <c r="D118" i="209" s="1"/>
  <c r="D33" i="158"/>
  <c r="D33" i="303"/>
  <c r="D33" i="246"/>
  <c r="D33" i="179"/>
  <c r="D33" i="141"/>
  <c r="D33" i="357"/>
  <c r="C33" i="191"/>
  <c r="C37" i="191" s="1"/>
  <c r="C43" i="191" s="1"/>
  <c r="C46" i="191" s="1"/>
  <c r="D47" i="191" s="1"/>
  <c r="C48" i="191" s="1"/>
  <c r="C49" i="191" s="1"/>
  <c r="D29" i="209" s="1"/>
  <c r="D33" i="137"/>
  <c r="D33" i="260"/>
  <c r="D33" i="250"/>
  <c r="C33" i="327"/>
  <c r="C37" i="327" s="1"/>
  <c r="C43" i="327" s="1"/>
  <c r="C46" i="327" s="1"/>
  <c r="D47" i="327" s="1"/>
  <c r="C48" i="327" s="1"/>
  <c r="C49" i="327" s="1"/>
  <c r="D135" i="209" s="1"/>
  <c r="D33" i="262"/>
  <c r="D33" i="386"/>
  <c r="D33" i="205"/>
  <c r="D33" i="307"/>
  <c r="C33" i="238"/>
  <c r="C37" i="238" s="1"/>
  <c r="C43" i="238" s="1"/>
  <c r="C46" i="238" s="1"/>
  <c r="D47" i="238" s="1"/>
  <c r="C48" i="238" s="1"/>
  <c r="C49" i="238" s="1"/>
  <c r="D105" i="209" s="1"/>
  <c r="D33" i="191"/>
  <c r="D33" i="335"/>
  <c r="C33" i="311"/>
  <c r="C37" i="311" s="1"/>
  <c r="C43" i="311" s="1"/>
  <c r="C46" i="311" s="1"/>
  <c r="D47" i="311" s="1"/>
  <c r="C48" i="311" s="1"/>
  <c r="C49" i="311" s="1"/>
  <c r="D95" i="209" s="1"/>
  <c r="C33" i="172"/>
  <c r="C37" i="172" s="1"/>
  <c r="C43" i="172" s="1"/>
  <c r="C46" i="172" s="1"/>
  <c r="D47" i="172" s="1"/>
  <c r="C48" i="172" s="1"/>
  <c r="C49" i="172" s="1"/>
  <c r="D88" i="209" s="1"/>
  <c r="C33" i="282"/>
  <c r="C37" i="282" s="1"/>
  <c r="C43" i="282" s="1"/>
  <c r="C46" i="282" s="1"/>
  <c r="D47" i="282" s="1"/>
  <c r="C48" i="282" s="1"/>
  <c r="C49" i="282" s="1"/>
  <c r="D127" i="209" s="1"/>
  <c r="C33" i="284"/>
  <c r="C37" i="284" s="1"/>
  <c r="C43" i="284" s="1"/>
  <c r="C46" i="284" s="1"/>
  <c r="D47" i="284" s="1"/>
  <c r="C48" i="284" s="1"/>
  <c r="C49" i="284" s="1"/>
  <c r="D110" i="209" s="1"/>
  <c r="C33" i="197"/>
  <c r="C37" i="197" s="1"/>
  <c r="C43" i="197" s="1"/>
  <c r="C46" i="197" s="1"/>
  <c r="D47" i="197" s="1"/>
  <c r="C48" i="197" s="1"/>
  <c r="C49" i="197" s="1"/>
  <c r="D41" i="209" s="1"/>
  <c r="C33" i="206"/>
  <c r="C37" i="206" s="1"/>
  <c r="C43" i="206" s="1"/>
  <c r="C46" i="206" s="1"/>
  <c r="D47" i="206" s="1"/>
  <c r="C48" i="206" s="1"/>
  <c r="C49" i="206" s="1"/>
  <c r="D49" i="209" s="1"/>
  <c r="C33" i="315"/>
  <c r="C37" i="315" s="1"/>
  <c r="C43" i="315" s="1"/>
  <c r="C46" i="315" s="1"/>
  <c r="D47" i="315" s="1"/>
  <c r="C48" i="315" s="1"/>
  <c r="C49" i="315" s="1"/>
  <c r="D98" i="209" s="1"/>
  <c r="C33" i="329"/>
  <c r="C37" i="329" s="1"/>
  <c r="C43" i="329" s="1"/>
  <c r="C46" i="329" s="1"/>
  <c r="D47" i="329" s="1"/>
  <c r="C48" i="329" s="1"/>
  <c r="C49" i="329" s="1"/>
  <c r="D136" i="209" s="1"/>
  <c r="C33" i="195"/>
  <c r="C37" i="195" s="1"/>
  <c r="C43" i="195" s="1"/>
  <c r="C46" i="195" s="1"/>
  <c r="D47" i="195" s="1"/>
  <c r="C48" i="195" s="1"/>
  <c r="C49" i="195" s="1"/>
  <c r="D39" i="209" s="1"/>
  <c r="C33" i="184"/>
  <c r="C37" i="184" s="1"/>
  <c r="C43" i="184" s="1"/>
  <c r="C46" i="184" s="1"/>
  <c r="D47" i="184" s="1"/>
  <c r="C48" i="184" s="1"/>
  <c r="C49" i="184" s="1"/>
  <c r="D27" i="209" s="1"/>
  <c r="C33" i="144"/>
  <c r="C37" i="144" s="1"/>
  <c r="C43" i="144" s="1"/>
  <c r="C46" i="144" s="1"/>
  <c r="D47" i="144" s="1"/>
  <c r="C48" i="144" s="1"/>
  <c r="C49" i="144" s="1"/>
  <c r="D33" i="172"/>
  <c r="D33" i="282"/>
  <c r="D33" i="284"/>
  <c r="D33" i="197"/>
  <c r="D33" i="206"/>
  <c r="D33" i="315"/>
  <c r="D33" i="329"/>
  <c r="D33" i="195"/>
  <c r="D33" i="184"/>
  <c r="D33" i="144"/>
  <c r="D33" i="317"/>
  <c r="D33" i="311"/>
  <c r="C33" i="376"/>
  <c r="C37" i="376" s="1"/>
  <c r="C43" i="376" s="1"/>
  <c r="C46" i="376" s="1"/>
  <c r="D47" i="376" s="1"/>
  <c r="C48" i="376" s="1"/>
  <c r="C49" i="376" s="1"/>
  <c r="D159" i="209" s="1"/>
  <c r="C33" i="147"/>
  <c r="D10" i="291" s="1"/>
  <c r="C33" i="156"/>
  <c r="C37" i="156" s="1"/>
  <c r="C43" i="156" s="1"/>
  <c r="C46" i="156" s="1"/>
  <c r="D47" i="156" s="1"/>
  <c r="C48" i="156" s="1"/>
  <c r="C49" i="156" s="1"/>
  <c r="D190" i="209" s="1"/>
  <c r="C33" i="140"/>
  <c r="C37" i="140" s="1"/>
  <c r="C44" i="140" s="1"/>
  <c r="C47" i="140" s="1"/>
  <c r="D48" i="140" s="1"/>
  <c r="C49" i="140" s="1"/>
  <c r="C50" i="140" s="1"/>
  <c r="D11" i="209" s="1"/>
  <c r="C33" i="369"/>
  <c r="C37" i="369" s="1"/>
  <c r="C43" i="369" s="1"/>
  <c r="C46" i="369" s="1"/>
  <c r="D47" i="369" s="1"/>
  <c r="C48" i="369" s="1"/>
  <c r="C49" i="369" s="1"/>
  <c r="D156" i="209" s="1"/>
  <c r="C33" i="188"/>
  <c r="C37" i="188" s="1"/>
  <c r="C43" i="188" s="1"/>
  <c r="C46" i="188" s="1"/>
  <c r="D47" i="188" s="1"/>
  <c r="C48" i="188" s="1"/>
  <c r="C49" i="188" s="1"/>
  <c r="D32" i="209" s="1"/>
  <c r="C33" i="196"/>
  <c r="C37" i="196" s="1"/>
  <c r="C43" i="196" s="1"/>
  <c r="C46" i="196" s="1"/>
  <c r="D47" i="196" s="1"/>
  <c r="C48" i="196" s="1"/>
  <c r="C49" i="196" s="1"/>
  <c r="D40" i="209" s="1"/>
  <c r="C33" i="192"/>
  <c r="C37" i="192" s="1"/>
  <c r="C43" i="192" s="1"/>
  <c r="C46" i="192" s="1"/>
  <c r="D47" i="192" s="1"/>
  <c r="C48" i="192" s="1"/>
  <c r="C49" i="192" s="1"/>
  <c r="D31" i="209" s="1"/>
  <c r="C33" i="167"/>
  <c r="C37" i="167" s="1"/>
  <c r="C43" i="167" s="1"/>
  <c r="C46" i="167" s="1"/>
  <c r="D47" i="167" s="1"/>
  <c r="C48" i="167" s="1"/>
  <c r="C49" i="167" s="1"/>
  <c r="D100" i="209" s="1"/>
  <c r="D33" i="327"/>
  <c r="C33" i="341"/>
  <c r="C37" i="341" s="1"/>
  <c r="C43" i="341" s="1"/>
  <c r="C46" i="341" s="1"/>
  <c r="D47" i="341" s="1"/>
  <c r="C48" i="341" s="1"/>
  <c r="C49" i="341" s="1"/>
  <c r="D142" i="209" s="1"/>
  <c r="C33" i="138"/>
  <c r="C37" i="138" s="1"/>
  <c r="C43" i="138" s="1"/>
  <c r="C46" i="138" s="1"/>
  <c r="D47" i="138" s="1"/>
  <c r="C48" i="138" s="1"/>
  <c r="C49" i="138" s="1"/>
  <c r="C33" i="200"/>
  <c r="C37" i="200" s="1"/>
  <c r="C43" i="200" s="1"/>
  <c r="C46" i="200" s="1"/>
  <c r="D47" i="200" s="1"/>
  <c r="C48" i="200" s="1"/>
  <c r="C49" i="200" s="1"/>
  <c r="D42" i="209" s="1"/>
  <c r="D33" i="168"/>
  <c r="C33" i="153"/>
  <c r="C37" i="153" s="1"/>
  <c r="C43" i="153" s="1"/>
  <c r="C46" i="153" s="1"/>
  <c r="D47" i="153" s="1"/>
  <c r="C48" i="153" s="1"/>
  <c r="C49" i="153" s="1"/>
  <c r="D177" i="209" s="1"/>
  <c r="C33" i="193"/>
  <c r="C37" i="193" s="1"/>
  <c r="C43" i="193" s="1"/>
  <c r="C46" i="193" s="1"/>
  <c r="D47" i="193" s="1"/>
  <c r="C48" i="193" s="1"/>
  <c r="C49" i="193" s="1"/>
  <c r="D34" i="209" s="1"/>
  <c r="C33" i="202"/>
  <c r="C37" i="202" s="1"/>
  <c r="C43" i="202" s="1"/>
  <c r="C46" i="202" s="1"/>
  <c r="D47" i="202" s="1"/>
  <c r="C48" i="202" s="1"/>
  <c r="C49" i="202" s="1"/>
  <c r="D45" i="209" s="1"/>
  <c r="C33" i="155"/>
  <c r="C37" i="155" s="1"/>
  <c r="C43" i="155" s="1"/>
  <c r="C46" i="155" s="1"/>
  <c r="D47" i="155" s="1"/>
  <c r="C48" i="155" s="1"/>
  <c r="C49" i="155" s="1"/>
  <c r="D186" i="209" s="1"/>
  <c r="C33" i="150"/>
  <c r="C37" i="150" s="1"/>
  <c r="C43" i="150" s="1"/>
  <c r="C46" i="150" s="1"/>
  <c r="D47" i="150" s="1"/>
  <c r="C48" i="150" s="1"/>
  <c r="C49" i="150" s="1"/>
  <c r="D182" i="209" s="1"/>
  <c r="C33" i="277"/>
  <c r="C37" i="277" s="1"/>
  <c r="C43" i="277" s="1"/>
  <c r="C46" i="277" s="1"/>
  <c r="D47" i="277" s="1"/>
  <c r="C48" i="277" s="1"/>
  <c r="C49" i="277" s="1"/>
  <c r="D125" i="209" s="1"/>
  <c r="C33" i="194"/>
  <c r="C37" i="194" s="1"/>
  <c r="C43" i="194" s="1"/>
  <c r="C46" i="194" s="1"/>
  <c r="D47" i="194" s="1"/>
  <c r="C48" i="194" s="1"/>
  <c r="C49" i="194" s="1"/>
  <c r="D35" i="209" s="1"/>
  <c r="C33" i="164"/>
  <c r="C37" i="164" s="1"/>
  <c r="C43" i="164" s="1"/>
  <c r="C46" i="164" s="1"/>
  <c r="D47" i="164" s="1"/>
  <c r="C33" i="242"/>
  <c r="C37" i="242" s="1"/>
  <c r="C43" i="242" s="1"/>
  <c r="C46" i="242" s="1"/>
  <c r="D47" i="242" s="1"/>
  <c r="C48" i="242" s="1"/>
  <c r="C49" i="242" s="1"/>
  <c r="D107" i="209" s="1"/>
  <c r="C33" i="187"/>
  <c r="C37" i="187" s="1"/>
  <c r="C43" i="187" s="1"/>
  <c r="C46" i="187" s="1"/>
  <c r="D47" i="187" s="1"/>
  <c r="C33" i="159"/>
  <c r="C37" i="159" s="1"/>
  <c r="C43" i="159" s="1"/>
  <c r="C46" i="159" s="1"/>
  <c r="D47" i="159" s="1"/>
  <c r="C48" i="159" s="1"/>
  <c r="C49" i="159" s="1"/>
  <c r="D188" i="209" s="1"/>
  <c r="C33" i="309"/>
  <c r="C37" i="309" s="1"/>
  <c r="C43" i="309" s="1"/>
  <c r="C46" i="309" s="1"/>
  <c r="D47" i="309" s="1"/>
  <c r="C48" i="309" s="1"/>
  <c r="C49" i="309" s="1"/>
  <c r="D57" i="209" s="1"/>
  <c r="C33" i="349"/>
  <c r="C37" i="349" s="1"/>
  <c r="C43" i="349" s="1"/>
  <c r="C46" i="349" s="1"/>
  <c r="D47" i="349" s="1"/>
  <c r="C48" i="349" s="1"/>
  <c r="C49" i="349" s="1"/>
  <c r="D146" i="209" s="1"/>
  <c r="C33" i="229"/>
  <c r="C37" i="229" s="1"/>
  <c r="C43" i="229" s="1"/>
  <c r="C46" i="229" s="1"/>
  <c r="D47" i="229" s="1"/>
  <c r="C48" i="229" s="1"/>
  <c r="C49" i="229" s="1"/>
  <c r="D54" i="209" s="1"/>
  <c r="D33" i="155"/>
  <c r="D33" i="150"/>
  <c r="D33" i="277"/>
  <c r="D33" i="194"/>
  <c r="D33" i="164"/>
  <c r="D33" i="242"/>
  <c r="D33" i="187"/>
  <c r="D33" i="159"/>
  <c r="D33" i="309"/>
  <c r="D33" i="349"/>
  <c r="C33" i="363"/>
  <c r="C37" i="363" s="1"/>
  <c r="C43" i="363" s="1"/>
  <c r="C46" i="363" s="1"/>
  <c r="D47" i="363" s="1"/>
  <c r="C48" i="363" s="1"/>
  <c r="C49" i="363" s="1"/>
  <c r="D153" i="209" s="1"/>
  <c r="D33" i="229"/>
  <c r="C33" i="317"/>
  <c r="C37" i="317" s="1"/>
  <c r="C43" i="317" s="1"/>
  <c r="C46" i="317" s="1"/>
  <c r="D47" i="317" s="1"/>
  <c r="C48" i="317" s="1"/>
  <c r="C49" i="317" s="1"/>
  <c r="D130" i="209" s="1"/>
  <c r="C33" i="355"/>
  <c r="C37" i="355" s="1"/>
  <c r="C43" i="355" s="1"/>
  <c r="C46" i="355" s="1"/>
  <c r="D47" i="355" s="1"/>
  <c r="C48" i="355" s="1"/>
  <c r="C49" i="355" s="1"/>
  <c r="D149" i="209" s="1"/>
  <c r="D33" i="202"/>
  <c r="C33" i="351"/>
  <c r="C37" i="351" s="1"/>
  <c r="C43" i="351" s="1"/>
  <c r="C46" i="351" s="1"/>
  <c r="D47" i="351" s="1"/>
  <c r="C48" i="351" s="1"/>
  <c r="C49" i="351" s="1"/>
  <c r="D147" i="209" s="1"/>
  <c r="C33" i="212"/>
  <c r="C37" i="212" s="1"/>
  <c r="C43" i="212" s="1"/>
  <c r="C46" i="212" s="1"/>
  <c r="D47" i="212" s="1"/>
  <c r="C48" i="212" s="1"/>
  <c r="C49" i="212" s="1"/>
  <c r="C33" i="146"/>
  <c r="C37" i="146" s="1"/>
  <c r="C43" i="146" s="1"/>
  <c r="C46" i="146" s="1"/>
  <c r="D47" i="146" s="1"/>
  <c r="C48" i="146" s="1"/>
  <c r="C49" i="146" s="1"/>
  <c r="C33" i="361"/>
  <c r="C37" i="361" s="1"/>
  <c r="C43" i="361" s="1"/>
  <c r="C46" i="361" s="1"/>
  <c r="D47" i="361" s="1"/>
  <c r="C48" i="361" s="1"/>
  <c r="C49" i="361" s="1"/>
  <c r="D152" i="209" s="1"/>
  <c r="C33" i="264"/>
  <c r="C37" i="264" s="1"/>
  <c r="C43" i="264" s="1"/>
  <c r="C46" i="264" s="1"/>
  <c r="D47" i="264" s="1"/>
  <c r="C48" i="264" s="1"/>
  <c r="C49" i="264" s="1"/>
  <c r="D119" i="209" s="1"/>
  <c r="D33" i="351"/>
  <c r="C33" i="158"/>
  <c r="C37" i="158" s="1"/>
  <c r="C43" i="158" s="1"/>
  <c r="C46" i="158" s="1"/>
  <c r="D47" i="158" s="1"/>
  <c r="C48" i="158" s="1"/>
  <c r="C49" i="158" s="1"/>
  <c r="D187" i="209" s="1"/>
  <c r="C33" i="303"/>
  <c r="C37" i="303" s="1"/>
  <c r="C43" i="303" s="1"/>
  <c r="C46" i="303" s="1"/>
  <c r="D47" i="303" s="1"/>
  <c r="C48" i="303" s="1"/>
  <c r="C49" i="303" s="1"/>
  <c r="D195" i="209" s="1"/>
  <c r="C33" i="246"/>
  <c r="C37" i="246" s="1"/>
  <c r="C43" i="246" s="1"/>
  <c r="C46" i="246" s="1"/>
  <c r="D47" i="246" s="1"/>
  <c r="C48" i="246" s="1"/>
  <c r="C49" i="246" s="1"/>
  <c r="D109" i="209" s="1"/>
  <c r="C33" i="179"/>
  <c r="C37" i="179" s="1"/>
  <c r="C43" i="179" s="1"/>
  <c r="C46" i="179" s="1"/>
  <c r="D47" i="179" s="1"/>
  <c r="C48" i="179" s="1"/>
  <c r="C49" i="179" s="1"/>
  <c r="D84" i="209" s="1"/>
  <c r="D33" i="212"/>
  <c r="C33" i="141"/>
  <c r="C37" i="141" s="1"/>
  <c r="C44" i="141" s="1"/>
  <c r="C47" i="141" s="1"/>
  <c r="D48" i="141" s="1"/>
  <c r="C49" i="141" s="1"/>
  <c r="C50" i="141" s="1"/>
  <c r="D9" i="209" s="1"/>
  <c r="D33" i="146"/>
  <c r="D33" i="321"/>
  <c r="C33" i="181"/>
  <c r="C37" i="181" s="1"/>
  <c r="C43" i="181" s="1"/>
  <c r="C46" i="181" s="1"/>
  <c r="D47" i="181" s="1"/>
  <c r="C48" i="181" s="1"/>
  <c r="C49" i="181" s="1"/>
  <c r="D91" i="209" s="1"/>
  <c r="D33" i="347"/>
  <c r="C33" i="249"/>
  <c r="C37" i="249" s="1"/>
  <c r="C43" i="249" s="1"/>
  <c r="C46" i="249" s="1"/>
  <c r="D47" i="249" s="1"/>
  <c r="C48" i="249" s="1"/>
  <c r="C49" i="249" s="1"/>
  <c r="D111" i="209" s="1"/>
  <c r="C33" i="218"/>
  <c r="C37" i="218" s="1"/>
  <c r="C43" i="218" s="1"/>
  <c r="C46" i="218" s="1"/>
  <c r="D47" i="218" s="1"/>
  <c r="C48" i="218" s="1"/>
  <c r="C49" i="218" s="1"/>
  <c r="D50" i="209" s="1"/>
  <c r="C33" i="240"/>
  <c r="C37" i="240" s="1"/>
  <c r="C43" i="240" s="1"/>
  <c r="C46" i="240" s="1"/>
  <c r="D47" i="240" s="1"/>
  <c r="C48" i="240" s="1"/>
  <c r="C49" i="240" s="1"/>
  <c r="D106" i="209" s="1"/>
  <c r="C33" i="273"/>
  <c r="C37" i="273" s="1"/>
  <c r="C43" i="273" s="1"/>
  <c r="C46" i="273" s="1"/>
  <c r="D47" i="273" s="1"/>
  <c r="C48" i="273" s="1"/>
  <c r="C49" i="273" s="1"/>
  <c r="D123" i="209" s="1"/>
  <c r="C33" i="225"/>
  <c r="C37" i="225" s="1"/>
  <c r="C43" i="225" s="1"/>
  <c r="C46" i="225" s="1"/>
  <c r="D47" i="225" s="1"/>
  <c r="C48" i="225" s="1"/>
  <c r="C49" i="225" s="1"/>
  <c r="D52" i="209" s="1"/>
  <c r="D33" i="221"/>
  <c r="C33" i="166"/>
  <c r="C37" i="166" s="1"/>
  <c r="C43" i="166" s="1"/>
  <c r="C46" i="166" s="1"/>
  <c r="D47" i="166" s="1"/>
  <c r="C48" i="166" s="1"/>
  <c r="C49" i="166" s="1"/>
  <c r="D103" i="209" s="1"/>
  <c r="C33" i="201"/>
  <c r="C37" i="201" s="1"/>
  <c r="C43" i="201" s="1"/>
  <c r="C46" i="201" s="1"/>
  <c r="D47" i="201" s="1"/>
  <c r="C48" i="201" s="1"/>
  <c r="C49" i="201" s="1"/>
  <c r="D44" i="209" s="1"/>
  <c r="C33" i="331"/>
  <c r="C37" i="331" s="1"/>
  <c r="C43" i="331" s="1"/>
  <c r="C46" i="331" s="1"/>
  <c r="D47" i="331" s="1"/>
  <c r="C48" i="331" s="1"/>
  <c r="C49" i="331" s="1"/>
  <c r="D137" i="209" s="1"/>
  <c r="C33" i="236"/>
  <c r="C37" i="236" s="1"/>
  <c r="C43" i="236" s="1"/>
  <c r="C46" i="236" s="1"/>
  <c r="D47" i="236" s="1"/>
  <c r="C48" i="236" s="1"/>
  <c r="C49" i="236" s="1"/>
  <c r="D104" i="209" s="1"/>
  <c r="C33" i="204"/>
  <c r="C37" i="204" s="1"/>
  <c r="C43" i="204" s="1"/>
  <c r="C46" i="204" s="1"/>
  <c r="D47" i="204" s="1"/>
  <c r="C48" i="204" s="1"/>
  <c r="C49" i="204" s="1"/>
  <c r="D47" i="209" s="1"/>
  <c r="C33" i="151"/>
  <c r="C37" i="151" s="1"/>
  <c r="C43" i="151" s="1"/>
  <c r="C46" i="151" s="1"/>
  <c r="D47" i="151" s="1"/>
  <c r="C33" i="295"/>
  <c r="C37" i="295" s="1"/>
  <c r="C43" i="295" s="1"/>
  <c r="C46" i="295" s="1"/>
  <c r="D47" i="295" s="1"/>
  <c r="C48" i="295" s="1"/>
  <c r="C49" i="295" s="1"/>
  <c r="D191" i="209" s="1"/>
  <c r="C33" i="180"/>
  <c r="C37" i="180" s="1"/>
  <c r="C43" i="180" s="1"/>
  <c r="C46" i="180" s="1"/>
  <c r="D47" i="180" s="1"/>
  <c r="C48" i="180" s="1"/>
  <c r="C49" i="180" s="1"/>
  <c r="D89" i="209" s="1"/>
  <c r="C33" i="252"/>
  <c r="C37" i="252" s="1"/>
  <c r="C43" i="252" s="1"/>
  <c r="C46" i="252" s="1"/>
  <c r="D47" i="252" s="1"/>
  <c r="C48" i="252" s="1"/>
  <c r="C49" i="252" s="1"/>
  <c r="D113" i="209" s="1"/>
  <c r="C33" i="233"/>
  <c r="C37" i="233" s="1"/>
  <c r="C43" i="233" s="1"/>
  <c r="C46" i="233" s="1"/>
  <c r="D47" i="233" s="1"/>
  <c r="C48" i="233" s="1"/>
  <c r="C49" i="233" s="1"/>
  <c r="D87" i="209" s="1"/>
  <c r="C33" i="154"/>
  <c r="C37" i="154" s="1"/>
  <c r="C43" i="154" s="1"/>
  <c r="C46" i="154" s="1"/>
  <c r="D47" i="154" s="1"/>
  <c r="C48" i="154" s="1"/>
  <c r="C49" i="154" s="1"/>
  <c r="D184" i="209" s="1"/>
  <c r="C33" i="208"/>
  <c r="C37" i="208" s="1"/>
  <c r="C43" i="208" s="1"/>
  <c r="C46" i="208" s="1"/>
  <c r="D47" i="208" s="1"/>
  <c r="C48" i="208" s="1"/>
  <c r="C49" i="208" s="1"/>
  <c r="D58" i="209" s="1"/>
  <c r="C33" i="148"/>
  <c r="C37" i="148" s="1"/>
  <c r="C43" i="148" s="1"/>
  <c r="C46" i="148" s="1"/>
  <c r="D47" i="148" s="1"/>
  <c r="C33" i="189"/>
  <c r="C37" i="189" s="1"/>
  <c r="C43" i="189" s="1"/>
  <c r="C46" i="189" s="1"/>
  <c r="D47" i="189" s="1"/>
  <c r="C48" i="189" s="1"/>
  <c r="C49" i="189" s="1"/>
  <c r="D33" i="209" s="1"/>
  <c r="C33" i="199"/>
  <c r="C37" i="199" s="1"/>
  <c r="C43" i="199" s="1"/>
  <c r="C46" i="199" s="1"/>
  <c r="D47" i="199" s="1"/>
  <c r="C33" i="333"/>
  <c r="C37" i="333" s="1"/>
  <c r="C43" i="333" s="1"/>
  <c r="C46" i="333" s="1"/>
  <c r="D47" i="333" s="1"/>
  <c r="C48" i="333" s="1"/>
  <c r="C49" i="333" s="1"/>
  <c r="D138" i="209" s="1"/>
  <c r="C33" i="152"/>
  <c r="C37" i="152" s="1"/>
  <c r="C43" i="152" s="1"/>
  <c r="C46" i="152" s="1"/>
  <c r="D47" i="152" s="1"/>
  <c r="C48" i="152" s="1"/>
  <c r="C49" i="152" s="1"/>
  <c r="D176" i="209" s="1"/>
  <c r="C33" i="299"/>
  <c r="C37" i="299" s="1"/>
  <c r="C43" i="299" s="1"/>
  <c r="C46" i="299" s="1"/>
  <c r="D47" i="299" s="1"/>
  <c r="C48" i="299" s="1"/>
  <c r="C49" i="299" s="1"/>
  <c r="D193" i="209" s="1"/>
  <c r="C33" i="266"/>
  <c r="C37" i="266" s="1"/>
  <c r="C43" i="266" s="1"/>
  <c r="C46" i="266" s="1"/>
  <c r="D47" i="266" s="1"/>
  <c r="C48" i="266" s="1"/>
  <c r="C49" i="266" s="1"/>
  <c r="D120" i="209" s="1"/>
  <c r="D33" i="169"/>
  <c r="C33" i="271"/>
  <c r="C37" i="271" s="1"/>
  <c r="C43" i="271" s="1"/>
  <c r="C46" i="271" s="1"/>
  <c r="D47" i="271" s="1"/>
  <c r="C48" i="271" s="1"/>
  <c r="C49" i="271" s="1"/>
  <c r="D122" i="209" s="1"/>
  <c r="D33" i="299"/>
  <c r="C33" i="353"/>
  <c r="C37" i="353" s="1"/>
  <c r="C43" i="353" s="1"/>
  <c r="C46" i="353" s="1"/>
  <c r="D47" i="353" s="1"/>
  <c r="C48" i="353" s="1"/>
  <c r="C49" i="353" s="1"/>
  <c r="D148" i="209" s="1"/>
  <c r="D33" i="353"/>
  <c r="C33" i="168"/>
  <c r="C37" i="168" s="1"/>
  <c r="C43" i="168" s="1"/>
  <c r="C46" i="168" s="1"/>
  <c r="D47" i="168" s="1"/>
  <c r="C48" i="168" s="1"/>
  <c r="C49" i="168" s="1"/>
  <c r="D128" i="209" s="1"/>
  <c r="D33" i="271"/>
  <c r="D33" i="275"/>
  <c r="D33" i="186"/>
  <c r="D33" i="323"/>
  <c r="D33" i="227"/>
  <c r="D33" i="373"/>
  <c r="D33" i="163"/>
  <c r="D33" i="359"/>
  <c r="D33" i="181"/>
  <c r="D33" i="249"/>
  <c r="D33" i="218"/>
  <c r="D33" i="240"/>
  <c r="D33" i="273"/>
  <c r="D33" i="225"/>
  <c r="D33" i="166"/>
  <c r="D33" i="201"/>
  <c r="D33" i="331"/>
  <c r="D33" i="236"/>
  <c r="D33" i="204"/>
  <c r="D33" i="151"/>
  <c r="D33" i="295"/>
  <c r="C33" i="176"/>
  <c r="C37" i="176" s="1"/>
  <c r="C43" i="176" s="1"/>
  <c r="C46" i="176" s="1"/>
  <c r="D33" i="180"/>
  <c r="C33" i="169"/>
  <c r="C37" i="169" s="1"/>
  <c r="C43" i="169" s="1"/>
  <c r="C46" i="169" s="1"/>
  <c r="D33" i="193"/>
  <c r="C33" i="335"/>
  <c r="C37" i="335" s="1"/>
  <c r="C43" i="335" s="1"/>
  <c r="C46" i="335" s="1"/>
  <c r="D33" i="156"/>
  <c r="C33" i="198"/>
  <c r="C37" i="198" s="1"/>
  <c r="C43" i="198" s="1"/>
  <c r="C46" i="198" s="1"/>
  <c r="D33" i="252"/>
  <c r="C33" i="145"/>
  <c r="C37" i="145" s="1"/>
  <c r="C43" i="145" s="1"/>
  <c r="C46" i="145" s="1"/>
  <c r="D33" i="140"/>
  <c r="C33" i="174"/>
  <c r="C37" i="174" s="1"/>
  <c r="C43" i="174" s="1"/>
  <c r="C46" i="174" s="1"/>
  <c r="D33" i="233"/>
  <c r="C33" i="165"/>
  <c r="C37" i="165" s="1"/>
  <c r="C43" i="165" s="1"/>
  <c r="C46" i="165" s="1"/>
  <c r="D33" i="154"/>
  <c r="D33" i="369"/>
  <c r="C33" i="256"/>
  <c r="C37" i="256" s="1"/>
  <c r="C43" i="256" s="1"/>
  <c r="C46" i="256" s="1"/>
  <c r="D33" i="188"/>
  <c r="D33" i="333"/>
  <c r="D33" i="196"/>
  <c r="C33" i="382"/>
  <c r="C37" i="382" s="1"/>
  <c r="C43" i="382" s="1"/>
  <c r="C46" i="382" s="1"/>
  <c r="D33" i="192"/>
  <c r="C33" i="149"/>
  <c r="C37" i="149" s="1"/>
  <c r="C43" i="149" s="1"/>
  <c r="C46" i="149" s="1"/>
  <c r="D33" i="167"/>
  <c r="C33" i="343"/>
  <c r="C37" i="343" s="1"/>
  <c r="C43" i="343" s="1"/>
  <c r="C46" i="343" s="1"/>
  <c r="C33" i="345"/>
  <c r="C37" i="345" s="1"/>
  <c r="C43" i="345" s="1"/>
  <c r="C46" i="345" s="1"/>
  <c r="D33" i="208"/>
  <c r="C33" i="183"/>
  <c r="C37" i="183" s="1"/>
  <c r="C43" i="183" s="1"/>
  <c r="C46" i="183" s="1"/>
  <c r="C33" i="173"/>
  <c r="C37" i="173" s="1"/>
  <c r="C43" i="173" s="1"/>
  <c r="C46" i="173" s="1"/>
  <c r="D33" i="148"/>
  <c r="C33" i="142"/>
  <c r="C37" i="142" s="1"/>
  <c r="C43" i="142" s="1"/>
  <c r="C46" i="142" s="1"/>
  <c r="C33" i="378"/>
  <c r="C37" i="378" s="1"/>
  <c r="C43" i="378" s="1"/>
  <c r="C46" i="378" s="1"/>
  <c r="D33" i="341"/>
  <c r="C33" i="190"/>
  <c r="C37" i="190" s="1"/>
  <c r="C43" i="190" s="1"/>
  <c r="C46" i="190" s="1"/>
  <c r="D33" i="176"/>
  <c r="C33" i="339"/>
  <c r="C37" i="339" s="1"/>
  <c r="C43" i="339" s="1"/>
  <c r="C46" i="339" s="1"/>
  <c r="D33" i="189"/>
  <c r="D33" i="199"/>
  <c r="D33" i="313"/>
  <c r="D33" i="145"/>
  <c r="D47" i="305"/>
  <c r="D33" i="183"/>
  <c r="D33" i="138"/>
  <c r="D33" i="238"/>
  <c r="D33" i="337"/>
  <c r="D33" i="376"/>
  <c r="D33" i="147"/>
  <c r="C33" i="297"/>
  <c r="C37" i="297" s="1"/>
  <c r="C43" i="297" s="1"/>
  <c r="C46" i="297" s="1"/>
  <c r="D33" i="297"/>
  <c r="C33" i="223"/>
  <c r="C37" i="223" s="1"/>
  <c r="C43" i="223" s="1"/>
  <c r="C46" i="223" s="1"/>
  <c r="C33" i="268"/>
  <c r="C37" i="268" s="1"/>
  <c r="C43" i="268" s="1"/>
  <c r="C46" i="268" s="1"/>
  <c r="C33" i="171"/>
  <c r="C37" i="171" s="1"/>
  <c r="C43" i="171" s="1"/>
  <c r="C46" i="171" s="1"/>
  <c r="D33" i="198"/>
  <c r="C33" i="258"/>
  <c r="C37" i="258" s="1"/>
  <c r="C43" i="258" s="1"/>
  <c r="C46" i="258" s="1"/>
  <c r="D33" i="174"/>
  <c r="C33" i="161"/>
  <c r="C37" i="161" s="1"/>
  <c r="C43" i="161" s="1"/>
  <c r="C46" i="161" s="1"/>
  <c r="D33" i="165"/>
  <c r="D33" i="200"/>
  <c r="C33" i="371"/>
  <c r="C37" i="371" s="1"/>
  <c r="C43" i="371" s="1"/>
  <c r="C46" i="371" s="1"/>
  <c r="D33" i="256"/>
  <c r="C33" i="160"/>
  <c r="C37" i="160" s="1"/>
  <c r="C43" i="160" s="1"/>
  <c r="C46" i="160" s="1"/>
  <c r="D33" i="382"/>
  <c r="C33" i="254"/>
  <c r="C37" i="254" s="1"/>
  <c r="C43" i="254" s="1"/>
  <c r="C46" i="254" s="1"/>
  <c r="D33" i="149"/>
  <c r="C33" i="365"/>
  <c r="C37" i="365" s="1"/>
  <c r="C43" i="365" s="1"/>
  <c r="C46" i="365" s="1"/>
  <c r="D33" i="343"/>
  <c r="C33" i="367"/>
  <c r="C37" i="367" s="1"/>
  <c r="C43" i="367" s="1"/>
  <c r="C46" i="367" s="1"/>
  <c r="D33" i="345"/>
  <c r="C33" i="157"/>
  <c r="C37" i="157" s="1"/>
  <c r="C43" i="157" s="1"/>
  <c r="C46" i="157" s="1"/>
  <c r="D33" i="173"/>
  <c r="C33" i="207"/>
  <c r="C37" i="207" s="1"/>
  <c r="C43" i="207" s="1"/>
  <c r="C46" i="207" s="1"/>
  <c r="D33" i="142"/>
  <c r="C33" i="325"/>
  <c r="C37" i="325" s="1"/>
  <c r="C43" i="325" s="1"/>
  <c r="C46" i="325" s="1"/>
  <c r="D33" i="378"/>
  <c r="D33" i="363"/>
  <c r="C33" i="301"/>
  <c r="C37" i="301" s="1"/>
  <c r="C43" i="301" s="1"/>
  <c r="C46" i="301" s="1"/>
  <c r="D33" i="190"/>
  <c r="C33" i="185"/>
  <c r="C37" i="185" s="1"/>
  <c r="C43" i="185" s="1"/>
  <c r="C46" i="185" s="1"/>
  <c r="C33" i="175"/>
  <c r="C37" i="175" s="1"/>
  <c r="C43" i="175" s="1"/>
  <c r="C46" i="175" s="1"/>
  <c r="D33" i="339"/>
  <c r="D33" i="355"/>
  <c r="C33" i="170"/>
  <c r="D33" i="162"/>
  <c r="D33" i="177"/>
  <c r="D33" i="231"/>
  <c r="D33" i="244"/>
  <c r="D33" i="152"/>
  <c r="D33" i="319"/>
  <c r="D33" i="223"/>
  <c r="D33" i="384"/>
  <c r="C33" i="203"/>
  <c r="C37" i="203" s="1"/>
  <c r="C43" i="203" s="1"/>
  <c r="C46" i="203" s="1"/>
  <c r="D33" i="185"/>
  <c r="D33" i="279"/>
  <c r="C33" i="319"/>
  <c r="C37" i="319" s="1"/>
  <c r="C43" i="319" s="1"/>
  <c r="C46" i="319" s="1"/>
  <c r="D33" i="153"/>
  <c r="D33" i="266"/>
  <c r="C33" i="139"/>
  <c r="C37" i="139" s="1"/>
  <c r="C44" i="139" s="1"/>
  <c r="C47" i="139" s="1"/>
  <c r="C33" i="380"/>
  <c r="C37" i="380" s="1"/>
  <c r="C43" i="380" s="1"/>
  <c r="C46" i="380" s="1"/>
  <c r="D33" i="361"/>
  <c r="D33" i="139"/>
  <c r="C33" i="162"/>
  <c r="D33" i="264"/>
  <c r="C33" i="177"/>
  <c r="C37" i="177" s="1"/>
  <c r="C43" i="177" s="1"/>
  <c r="C46" i="177" s="1"/>
  <c r="D33" i="268"/>
  <c r="C33" i="321"/>
  <c r="C37" i="321" s="1"/>
  <c r="C43" i="321" s="1"/>
  <c r="C46" i="321" s="1"/>
  <c r="C33" i="347"/>
  <c r="C37" i="347" s="1"/>
  <c r="C43" i="347" s="1"/>
  <c r="C46" i="347" s="1"/>
  <c r="D33" i="171"/>
  <c r="C33" i="231"/>
  <c r="C37" i="231" s="1"/>
  <c r="C43" i="231" s="1"/>
  <c r="C46" i="231" s="1"/>
  <c r="C33" i="384"/>
  <c r="C37" i="384" s="1"/>
  <c r="C43" i="384" s="1"/>
  <c r="C46" i="384" s="1"/>
  <c r="D33" i="258"/>
  <c r="C33" i="244"/>
  <c r="C37" i="244" s="1"/>
  <c r="C43" i="244" s="1"/>
  <c r="C46" i="244" s="1"/>
  <c r="D33" i="161"/>
  <c r="C33" i="359"/>
  <c r="C37" i="359" s="1"/>
  <c r="C43" i="359" s="1"/>
  <c r="C46" i="359" s="1"/>
  <c r="C33" i="313"/>
  <c r="C37" i="313" s="1"/>
  <c r="C43" i="313" s="1"/>
  <c r="C46" i="313" s="1"/>
  <c r="D33" i="371"/>
  <c r="C33" i="279"/>
  <c r="C37" i="279" s="1"/>
  <c r="C43" i="279" s="1"/>
  <c r="C46" i="279" s="1"/>
  <c r="C33" i="275"/>
  <c r="C37" i="275" s="1"/>
  <c r="C43" i="275" s="1"/>
  <c r="C46" i="275" s="1"/>
  <c r="D33" i="160"/>
  <c r="D33" i="203"/>
  <c r="C33" i="221"/>
  <c r="C37" i="221" s="1"/>
  <c r="C43" i="221" s="1"/>
  <c r="C46" i="221" s="1"/>
  <c r="D33" i="254"/>
  <c r="D33" i="365"/>
  <c r="D33" i="367"/>
  <c r="C33" i="186"/>
  <c r="C37" i="186" s="1"/>
  <c r="C43" i="186" s="1"/>
  <c r="C46" i="186" s="1"/>
  <c r="D33" i="157"/>
  <c r="C33" i="323"/>
  <c r="C37" i="323" s="1"/>
  <c r="C43" i="323" s="1"/>
  <c r="C46" i="323" s="1"/>
  <c r="D33" i="207"/>
  <c r="C33" i="227"/>
  <c r="C37" i="227" s="1"/>
  <c r="C43" i="227" s="1"/>
  <c r="C46" i="227" s="1"/>
  <c r="D33" i="325"/>
  <c r="D33" i="301"/>
  <c r="C33" i="373"/>
  <c r="C37" i="373" s="1"/>
  <c r="C43" i="373" s="1"/>
  <c r="C46" i="373" s="1"/>
  <c r="D33" i="175"/>
  <c r="C33" i="163"/>
  <c r="C37" i="163" s="1"/>
  <c r="C43" i="163" s="1"/>
  <c r="C46" i="163" s="1"/>
  <c r="D33" i="170"/>
  <c r="D121" i="388" l="1"/>
  <c r="F121" i="388" s="1"/>
  <c r="U120" i="209"/>
  <c r="D59" i="388"/>
  <c r="F59" i="388" s="1"/>
  <c r="U58" i="209"/>
  <c r="D105" i="388"/>
  <c r="F105" i="388" s="1"/>
  <c r="U104" i="209"/>
  <c r="D51" i="388"/>
  <c r="F51" i="388" s="1"/>
  <c r="U50" i="209"/>
  <c r="D86" i="388"/>
  <c r="F86" i="388" s="1"/>
  <c r="U84" i="209"/>
  <c r="D36" i="388"/>
  <c r="F36" i="388" s="1"/>
  <c r="U35" i="209"/>
  <c r="D43" i="388"/>
  <c r="F43" i="388" s="1"/>
  <c r="U42" i="209"/>
  <c r="D157" i="388"/>
  <c r="F157" i="388" s="1"/>
  <c r="U156" i="209"/>
  <c r="D111" i="388"/>
  <c r="F111" i="388" s="1"/>
  <c r="U110" i="209"/>
  <c r="D185" i="388"/>
  <c r="F185" i="388" s="1"/>
  <c r="U184" i="209"/>
  <c r="D126" i="388"/>
  <c r="F126" i="388" s="1"/>
  <c r="U125" i="209"/>
  <c r="D194" i="388"/>
  <c r="F194" i="388" s="1"/>
  <c r="U193" i="209"/>
  <c r="D89" i="388"/>
  <c r="F89" i="388" s="1"/>
  <c r="U87" i="209"/>
  <c r="D45" i="388"/>
  <c r="F45" i="388" s="1"/>
  <c r="U44" i="209"/>
  <c r="D196" i="388"/>
  <c r="F196" i="388" s="1"/>
  <c r="U195" i="209"/>
  <c r="D147" i="388"/>
  <c r="F147" i="388" s="1"/>
  <c r="U146" i="209"/>
  <c r="D183" i="388"/>
  <c r="F183" i="388" s="1"/>
  <c r="U182" i="209"/>
  <c r="D143" i="388"/>
  <c r="F143" i="388" s="1"/>
  <c r="U142" i="209"/>
  <c r="D191" i="388"/>
  <c r="F191" i="388" s="1"/>
  <c r="U190" i="209"/>
  <c r="D28" i="388"/>
  <c r="F28" i="388" s="1"/>
  <c r="U27" i="209"/>
  <c r="D90" i="388"/>
  <c r="F90" i="388" s="1"/>
  <c r="U88" i="209"/>
  <c r="D49" i="388"/>
  <c r="F49" i="388" s="1"/>
  <c r="U48" i="209"/>
  <c r="D138" i="388"/>
  <c r="F138" i="388" s="1"/>
  <c r="U137" i="209"/>
  <c r="D12" i="388"/>
  <c r="F12" i="388" s="1"/>
  <c r="U11" i="209"/>
  <c r="D129" i="388"/>
  <c r="F129" i="388" s="1"/>
  <c r="U128" i="209"/>
  <c r="D177" i="388"/>
  <c r="F177" i="388" s="1"/>
  <c r="U176" i="209"/>
  <c r="D114" i="388"/>
  <c r="F114" i="388" s="1"/>
  <c r="U113" i="209"/>
  <c r="D104" i="388"/>
  <c r="F104" i="388" s="1"/>
  <c r="U103" i="209"/>
  <c r="D93" i="388"/>
  <c r="F93" i="388" s="1"/>
  <c r="U91" i="209"/>
  <c r="D188" i="388"/>
  <c r="F188" i="388" s="1"/>
  <c r="U187" i="209"/>
  <c r="D150" i="388"/>
  <c r="F150" i="388" s="1"/>
  <c r="U149" i="209"/>
  <c r="D58" i="388"/>
  <c r="F58" i="388" s="1"/>
  <c r="U57" i="209"/>
  <c r="D187" i="388"/>
  <c r="F187" i="388" s="1"/>
  <c r="U186" i="209"/>
  <c r="D40" i="388"/>
  <c r="F40" i="388" s="1"/>
  <c r="U39" i="209"/>
  <c r="D96" i="388"/>
  <c r="F96" i="388" s="1"/>
  <c r="U95" i="209"/>
  <c r="D136" i="388"/>
  <c r="F136" i="388" s="1"/>
  <c r="U135" i="209"/>
  <c r="D180" i="388"/>
  <c r="F180" i="388" s="1"/>
  <c r="U179" i="209"/>
  <c r="D55" i="388"/>
  <c r="F55" i="388" s="1"/>
  <c r="U54" i="209"/>
  <c r="D139" i="388"/>
  <c r="F139" i="388" s="1"/>
  <c r="U138" i="209"/>
  <c r="D91" i="388"/>
  <c r="F91" i="388" s="1"/>
  <c r="U89" i="209"/>
  <c r="D131" i="388"/>
  <c r="F131" i="388" s="1"/>
  <c r="U130" i="209"/>
  <c r="D189" i="388"/>
  <c r="F189" i="388" s="1"/>
  <c r="U188" i="209"/>
  <c r="D46" i="388"/>
  <c r="F46" i="388" s="1"/>
  <c r="U45" i="209"/>
  <c r="D101" i="388"/>
  <c r="F101" i="388" s="1"/>
  <c r="U100" i="209"/>
  <c r="D160" i="388"/>
  <c r="F160" i="388" s="1"/>
  <c r="U159" i="209"/>
  <c r="D137" i="388"/>
  <c r="F137" i="388" s="1"/>
  <c r="U136" i="209"/>
  <c r="D113" i="388"/>
  <c r="F113" i="388" s="1"/>
  <c r="U112" i="209"/>
  <c r="D112" i="388"/>
  <c r="F112" i="388" s="1"/>
  <c r="U111" i="209"/>
  <c r="D149" i="388"/>
  <c r="F149" i="388" s="1"/>
  <c r="U148" i="209"/>
  <c r="D192" i="388"/>
  <c r="F192" i="388" s="1"/>
  <c r="U191" i="209"/>
  <c r="D53" i="388"/>
  <c r="F53" i="388" s="1"/>
  <c r="U52" i="209"/>
  <c r="D120" i="388"/>
  <c r="F120" i="388" s="1"/>
  <c r="U119" i="209"/>
  <c r="D35" i="388"/>
  <c r="F35" i="388" s="1"/>
  <c r="U34" i="209"/>
  <c r="D32" i="388"/>
  <c r="F32" i="388" s="1"/>
  <c r="U31" i="209"/>
  <c r="D99" i="388"/>
  <c r="F99" i="388" s="1"/>
  <c r="U98" i="209"/>
  <c r="D118" i="388"/>
  <c r="F118" i="388" s="1"/>
  <c r="U117" i="209"/>
  <c r="D110" i="388"/>
  <c r="F110" i="388" s="1"/>
  <c r="U109" i="209"/>
  <c r="D198" i="388"/>
  <c r="F198" i="388" s="1"/>
  <c r="U197" i="209"/>
  <c r="D34" i="388"/>
  <c r="F34" i="388" s="1"/>
  <c r="U33" i="209"/>
  <c r="D124" i="388"/>
  <c r="F124" i="388" s="1"/>
  <c r="U123" i="209"/>
  <c r="D10" i="388"/>
  <c r="F10" i="388" s="1"/>
  <c r="U9" i="209"/>
  <c r="D153" i="388"/>
  <c r="F153" i="388" s="1"/>
  <c r="U152" i="209"/>
  <c r="D154" i="388"/>
  <c r="F154" i="388" s="1"/>
  <c r="U153" i="209"/>
  <c r="D108" i="388"/>
  <c r="F108" i="388" s="1"/>
  <c r="U107" i="209"/>
  <c r="D178" i="388"/>
  <c r="F178" i="388" s="1"/>
  <c r="U177" i="209"/>
  <c r="D41" i="388"/>
  <c r="F41" i="388" s="1"/>
  <c r="U40" i="209"/>
  <c r="D50" i="388"/>
  <c r="F50" i="388" s="1"/>
  <c r="U49" i="209"/>
  <c r="D106" i="388"/>
  <c r="F106" i="388" s="1"/>
  <c r="U105" i="209"/>
  <c r="D119" i="388"/>
  <c r="F119" i="388" s="1"/>
  <c r="U118" i="209"/>
  <c r="D148" i="388"/>
  <c r="F148" i="388" s="1"/>
  <c r="U147" i="209"/>
  <c r="D128" i="388"/>
  <c r="F128" i="388" s="1"/>
  <c r="U127" i="209"/>
  <c r="D123" i="388"/>
  <c r="F123" i="388" s="1"/>
  <c r="U122" i="209"/>
  <c r="D48" i="388"/>
  <c r="F48" i="388" s="1"/>
  <c r="U47" i="209"/>
  <c r="D107" i="388"/>
  <c r="F107" i="388" s="1"/>
  <c r="U106" i="209"/>
  <c r="D33" i="388"/>
  <c r="F33" i="388" s="1"/>
  <c r="U32" i="209"/>
  <c r="D42" i="388"/>
  <c r="F42" i="388" s="1"/>
  <c r="U41" i="209"/>
  <c r="D30" i="388"/>
  <c r="F30" i="388" s="1"/>
  <c r="U29" i="209"/>
  <c r="D141" i="388"/>
  <c r="F141" i="388" s="1"/>
  <c r="U140" i="209"/>
  <c r="D151" i="388"/>
  <c r="F151" i="388" s="1"/>
  <c r="U150" i="209"/>
  <c r="D6" i="291"/>
  <c r="D7" i="290" s="1"/>
  <c r="F7" i="290" s="1"/>
  <c r="D11" i="290"/>
  <c r="F11" i="290" s="1"/>
  <c r="D49" i="150"/>
  <c r="C37" i="147"/>
  <c r="C43" i="147" s="1"/>
  <c r="C46" i="147" s="1"/>
  <c r="D47" i="147" s="1"/>
  <c r="D49" i="303"/>
  <c r="D49" i="184"/>
  <c r="D49" i="355"/>
  <c r="D49" i="333"/>
  <c r="D49" i="159"/>
  <c r="D49" i="369"/>
  <c r="D49" i="351"/>
  <c r="D49" i="337"/>
  <c r="D49" i="341"/>
  <c r="D49" i="260"/>
  <c r="C48" i="164"/>
  <c r="C49" i="164" s="1"/>
  <c r="D101" i="209" s="1"/>
  <c r="D49" i="164"/>
  <c r="D49" i="311"/>
  <c r="D49" i="229"/>
  <c r="D49" i="202"/>
  <c r="D49" i="282"/>
  <c r="D49" i="240"/>
  <c r="D49" i="262"/>
  <c r="D49" i="317"/>
  <c r="D49" i="152"/>
  <c r="D49" i="349"/>
  <c r="D49" i="153"/>
  <c r="D49" i="179"/>
  <c r="D49" i="307"/>
  <c r="C48" i="187"/>
  <c r="C49" i="187" s="1"/>
  <c r="D30" i="209" s="1"/>
  <c r="D49" i="187"/>
  <c r="C48" i="148"/>
  <c r="C49" i="148" s="1"/>
  <c r="D178" i="209" s="1"/>
  <c r="D49" i="148"/>
  <c r="D49" i="138"/>
  <c r="C56" i="138" s="1"/>
  <c r="D49" i="200"/>
  <c r="D49" i="189"/>
  <c r="D49" i="191"/>
  <c r="D49" i="357"/>
  <c r="D49" i="212"/>
  <c r="C56" i="212" s="1"/>
  <c r="D49" i="309"/>
  <c r="D49" i="205"/>
  <c r="D49" i="158"/>
  <c r="D49" i="242"/>
  <c r="D49" i="327"/>
  <c r="D49" i="197"/>
  <c r="D49" i="271"/>
  <c r="C48" i="199"/>
  <c r="C49" i="199" s="1"/>
  <c r="D38" i="209" s="1"/>
  <c r="D49" i="199"/>
  <c r="C48" i="151"/>
  <c r="C49" i="151" s="1"/>
  <c r="D183" i="209" s="1"/>
  <c r="D49" i="151"/>
  <c r="D49" i="168"/>
  <c r="D49" i="193"/>
  <c r="D49" i="249"/>
  <c r="D49" i="156"/>
  <c r="D49" i="204"/>
  <c r="D49" i="361"/>
  <c r="D49" i="329"/>
  <c r="C54" i="212"/>
  <c r="C55" i="212" s="1"/>
  <c r="D15" i="209"/>
  <c r="D12" i="209"/>
  <c r="C54" i="144"/>
  <c r="C55" i="144" s="1"/>
  <c r="C54" i="138"/>
  <c r="C55" i="138" s="1"/>
  <c r="D7" i="209"/>
  <c r="C54" i="146"/>
  <c r="C55" i="146" s="1"/>
  <c r="D14" i="209"/>
  <c r="D48" i="139"/>
  <c r="D47" i="301"/>
  <c r="D47" i="161"/>
  <c r="D47" i="223"/>
  <c r="D47" i="335"/>
  <c r="D49" i="233"/>
  <c r="D49" i="331"/>
  <c r="D49" i="225"/>
  <c r="D47" i="319"/>
  <c r="D47" i="275"/>
  <c r="D8" i="291"/>
  <c r="C37" i="170"/>
  <c r="C43" i="170" s="1"/>
  <c r="C46" i="170" s="1"/>
  <c r="D47" i="157"/>
  <c r="D47" i="190"/>
  <c r="D47" i="173"/>
  <c r="D47" i="149"/>
  <c r="D47" i="256"/>
  <c r="D47" i="174"/>
  <c r="D49" i="376"/>
  <c r="D49" i="295"/>
  <c r="D49" i="201"/>
  <c r="D47" i="359"/>
  <c r="D47" i="227"/>
  <c r="D47" i="254"/>
  <c r="D49" i="146"/>
  <c r="C56" i="146" s="1"/>
  <c r="D47" i="347"/>
  <c r="D9" i="291"/>
  <c r="C37" i="162"/>
  <c r="C43" i="162" s="1"/>
  <c r="C46" i="162" s="1"/>
  <c r="D49" i="273"/>
  <c r="D49" i="144"/>
  <c r="C56" i="144" s="1"/>
  <c r="D49" i="195"/>
  <c r="D49" i="315"/>
  <c r="D47" i="371"/>
  <c r="D49" i="266"/>
  <c r="D49" i="181"/>
  <c r="D49" i="363"/>
  <c r="D47" i="183"/>
  <c r="D49" i="194"/>
  <c r="D49" i="353"/>
  <c r="D49" i="167"/>
  <c r="D49" i="196"/>
  <c r="D50" i="140"/>
  <c r="D47" i="323"/>
  <c r="D47" i="258"/>
  <c r="D47" i="268"/>
  <c r="D49" i="238"/>
  <c r="D47" i="145"/>
  <c r="D49" i="299"/>
  <c r="D49" i="208"/>
  <c r="D47" i="177"/>
  <c r="D47" i="279"/>
  <c r="D49" i="250"/>
  <c r="D50" i="141"/>
  <c r="D49" i="246"/>
  <c r="D47" i="325"/>
  <c r="D47" i="367"/>
  <c r="D47" i="160"/>
  <c r="D49" i="172"/>
  <c r="D47" i="378"/>
  <c r="D47" i="345"/>
  <c r="D47" i="382"/>
  <c r="D49" i="277"/>
  <c r="D49" i="154"/>
  <c r="D49" i="252"/>
  <c r="D49" i="236"/>
  <c r="D49" i="166"/>
  <c r="D47" i="373"/>
  <c r="D47" i="321"/>
  <c r="D47" i="137"/>
  <c r="D47" i="175"/>
  <c r="D49" i="206"/>
  <c r="D47" i="297"/>
  <c r="C48" i="305"/>
  <c r="C49" i="305" s="1"/>
  <c r="D196" i="209" s="1"/>
  <c r="D49" i="305"/>
  <c r="D47" i="198"/>
  <c r="D47" i="169"/>
  <c r="D47" i="176"/>
  <c r="D49" i="188"/>
  <c r="D47" i="231"/>
  <c r="D47" i="244"/>
  <c r="D47" i="203"/>
  <c r="D47" i="380"/>
  <c r="D47" i="163"/>
  <c r="D49" i="386"/>
  <c r="D47" i="186"/>
  <c r="D47" i="221"/>
  <c r="D47" i="313"/>
  <c r="D47" i="384"/>
  <c r="D49" i="264"/>
  <c r="D47" i="185"/>
  <c r="D47" i="207"/>
  <c r="D47" i="365"/>
  <c r="D49" i="284"/>
  <c r="D47" i="171"/>
  <c r="D47" i="339"/>
  <c r="D47" i="142"/>
  <c r="D47" i="343"/>
  <c r="D47" i="165"/>
  <c r="D49" i="155"/>
  <c r="D49" i="192"/>
  <c r="D49" i="218"/>
  <c r="D49" i="180"/>
  <c r="D197" i="388" l="1"/>
  <c r="F197" i="388" s="1"/>
  <c r="U196" i="209"/>
  <c r="D15" i="388"/>
  <c r="F15" i="388" s="1"/>
  <c r="U14" i="209"/>
  <c r="D184" i="388"/>
  <c r="F184" i="388" s="1"/>
  <c r="U183" i="209"/>
  <c r="D179" i="388"/>
  <c r="F179" i="388" s="1"/>
  <c r="U178" i="209"/>
  <c r="D102" i="388"/>
  <c r="F102" i="388" s="1"/>
  <c r="U101" i="209"/>
  <c r="D8" i="388"/>
  <c r="F8" i="388" s="1"/>
  <c r="U7" i="209"/>
  <c r="D39" i="388"/>
  <c r="F39" i="388" s="1"/>
  <c r="U38" i="209"/>
  <c r="D31" i="388"/>
  <c r="F31" i="388" s="1"/>
  <c r="U30" i="209"/>
  <c r="D16" i="388"/>
  <c r="F16" i="388" s="1"/>
  <c r="U15" i="209"/>
  <c r="D13" i="388"/>
  <c r="F13" i="388" s="1"/>
  <c r="U12" i="209"/>
  <c r="D10" i="290"/>
  <c r="F10" i="290" s="1"/>
  <c r="D9" i="290"/>
  <c r="F9" i="290" s="1"/>
  <c r="C48" i="227"/>
  <c r="C49" i="227" s="1"/>
  <c r="D53" i="209" s="1"/>
  <c r="D49" i="227"/>
  <c r="C48" i="384"/>
  <c r="C49" i="384" s="1"/>
  <c r="D96" i="209" s="1"/>
  <c r="D49" i="384"/>
  <c r="C48" i="198"/>
  <c r="C49" i="198" s="1"/>
  <c r="D43" i="209" s="1"/>
  <c r="D49" i="198"/>
  <c r="C48" i="297"/>
  <c r="C49" i="297" s="1"/>
  <c r="D192" i="209" s="1"/>
  <c r="D49" i="297"/>
  <c r="C48" i="137"/>
  <c r="C49" i="137" s="1"/>
  <c r="D49" i="137"/>
  <c r="C56" i="137" s="1"/>
  <c r="C48" i="325"/>
  <c r="C49" i="325" s="1"/>
  <c r="D134" i="209" s="1"/>
  <c r="D49" i="325"/>
  <c r="C48" i="183"/>
  <c r="C49" i="183" s="1"/>
  <c r="D26" i="209" s="1"/>
  <c r="D49" i="183"/>
  <c r="C48" i="173"/>
  <c r="C49" i="173" s="1"/>
  <c r="D80" i="209" s="1"/>
  <c r="D49" i="173"/>
  <c r="C48" i="161"/>
  <c r="C49" i="161" s="1"/>
  <c r="D189" i="209" s="1"/>
  <c r="D49" i="161"/>
  <c r="C48" i="378"/>
  <c r="C49" i="378" s="1"/>
  <c r="D160" i="209" s="1"/>
  <c r="D49" i="378"/>
  <c r="C48" i="177"/>
  <c r="C49" i="177" s="1"/>
  <c r="D90" i="209" s="1"/>
  <c r="D49" i="177"/>
  <c r="C48" i="142"/>
  <c r="C49" i="142" s="1"/>
  <c r="D49" i="142"/>
  <c r="C56" i="142" s="1"/>
  <c r="C48" i="365"/>
  <c r="C49" i="365" s="1"/>
  <c r="D154" i="209" s="1"/>
  <c r="D49" i="365"/>
  <c r="C48" i="163"/>
  <c r="C49" i="163" s="1"/>
  <c r="D99" i="209" s="1"/>
  <c r="D49" i="163"/>
  <c r="C48" i="231"/>
  <c r="C49" i="231" s="1"/>
  <c r="D55" i="209" s="1"/>
  <c r="D49" i="231"/>
  <c r="D7" i="291"/>
  <c r="C74" i="182"/>
  <c r="C76" i="182" s="1"/>
  <c r="C48" i="147"/>
  <c r="C49" i="147" s="1"/>
  <c r="D49" i="147"/>
  <c r="C48" i="254"/>
  <c r="C49" i="254" s="1"/>
  <c r="D114" i="209" s="1"/>
  <c r="D49" i="254"/>
  <c r="C48" i="359"/>
  <c r="C49" i="359" s="1"/>
  <c r="D151" i="209" s="1"/>
  <c r="D49" i="359"/>
  <c r="C48" i="268"/>
  <c r="C49" i="268" s="1"/>
  <c r="D121" i="209" s="1"/>
  <c r="D49" i="268"/>
  <c r="C48" i="323"/>
  <c r="C49" i="323" s="1"/>
  <c r="D133" i="209" s="1"/>
  <c r="D49" i="323"/>
  <c r="C48" i="174"/>
  <c r="C49" i="174" s="1"/>
  <c r="D82" i="209" s="1"/>
  <c r="D49" i="174"/>
  <c r="C48" i="190"/>
  <c r="C49" i="190" s="1"/>
  <c r="D37" i="209" s="1"/>
  <c r="D49" i="190"/>
  <c r="C48" i="301"/>
  <c r="C49" i="301" s="1"/>
  <c r="D194" i="209" s="1"/>
  <c r="D49" i="301"/>
  <c r="C48" i="373"/>
  <c r="C49" i="373" s="1"/>
  <c r="D158" i="209" s="1"/>
  <c r="D49" i="373"/>
  <c r="C48" i="382"/>
  <c r="C49" i="382" s="1"/>
  <c r="D162" i="209" s="1"/>
  <c r="D49" i="382"/>
  <c r="C48" i="258"/>
  <c r="C49" i="258" s="1"/>
  <c r="D116" i="209" s="1"/>
  <c r="D49" i="258"/>
  <c r="D47" i="162"/>
  <c r="C48" i="319"/>
  <c r="C49" i="319" s="1"/>
  <c r="D131" i="209" s="1"/>
  <c r="D49" i="319"/>
  <c r="C48" i="244"/>
  <c r="C49" i="244" s="1"/>
  <c r="D108" i="209" s="1"/>
  <c r="D49" i="244"/>
  <c r="C48" i="313"/>
  <c r="C49" i="313" s="1"/>
  <c r="D97" i="209" s="1"/>
  <c r="D49" i="313"/>
  <c r="C48" i="339"/>
  <c r="C49" i="339" s="1"/>
  <c r="D141" i="209" s="1"/>
  <c r="D49" i="339"/>
  <c r="C48" i="380"/>
  <c r="C49" i="380" s="1"/>
  <c r="D161" i="209" s="1"/>
  <c r="D49" i="380"/>
  <c r="C48" i="221"/>
  <c r="C49" i="221" s="1"/>
  <c r="D86" i="209" s="1"/>
  <c r="D49" i="221"/>
  <c r="C48" i="176"/>
  <c r="C49" i="176" s="1"/>
  <c r="D81" i="209" s="1"/>
  <c r="D49" i="176"/>
  <c r="C48" i="175"/>
  <c r="C49" i="175" s="1"/>
  <c r="D83" i="209" s="1"/>
  <c r="D49" i="175"/>
  <c r="C48" i="160"/>
  <c r="C49" i="160" s="1"/>
  <c r="D180" i="209" s="1"/>
  <c r="D49" i="160"/>
  <c r="C48" i="256"/>
  <c r="C49" i="256" s="1"/>
  <c r="D115" i="209" s="1"/>
  <c r="D49" i="256"/>
  <c r="C48" i="335"/>
  <c r="C49" i="335" s="1"/>
  <c r="D139" i="209" s="1"/>
  <c r="D49" i="335"/>
  <c r="C49" i="139"/>
  <c r="C50" i="139" s="1"/>
  <c r="D8" i="209" s="1"/>
  <c r="D50" i="139"/>
  <c r="C48" i="145"/>
  <c r="C49" i="145" s="1"/>
  <c r="D49" i="145"/>
  <c r="C56" i="145" s="1"/>
  <c r="C48" i="207"/>
  <c r="C49" i="207" s="1"/>
  <c r="D56" i="209" s="1"/>
  <c r="D49" i="207"/>
  <c r="C48" i="165"/>
  <c r="C49" i="165" s="1"/>
  <c r="D102" i="209" s="1"/>
  <c r="D49" i="165"/>
  <c r="C48" i="185"/>
  <c r="C49" i="185" s="1"/>
  <c r="D36" i="209" s="1"/>
  <c r="D49" i="185"/>
  <c r="C48" i="203"/>
  <c r="C49" i="203" s="1"/>
  <c r="D46" i="209" s="1"/>
  <c r="D49" i="203"/>
  <c r="C48" i="345"/>
  <c r="C49" i="345" s="1"/>
  <c r="D144" i="209" s="1"/>
  <c r="D49" i="345"/>
  <c r="C48" i="157"/>
  <c r="C49" i="157" s="1"/>
  <c r="D185" i="209" s="1"/>
  <c r="D49" i="157"/>
  <c r="C48" i="275"/>
  <c r="C49" i="275" s="1"/>
  <c r="D124" i="209" s="1"/>
  <c r="D49" i="275"/>
  <c r="C48" i="343"/>
  <c r="C49" i="343" s="1"/>
  <c r="D143" i="209" s="1"/>
  <c r="D49" i="343"/>
  <c r="C48" i="279"/>
  <c r="C49" i="279" s="1"/>
  <c r="D126" i="209" s="1"/>
  <c r="D49" i="279"/>
  <c r="C48" i="171"/>
  <c r="C49" i="171" s="1"/>
  <c r="D85" i="209" s="1"/>
  <c r="D49" i="171"/>
  <c r="C48" i="186"/>
  <c r="C49" i="186" s="1"/>
  <c r="D28" i="209" s="1"/>
  <c r="D49" i="186"/>
  <c r="C48" i="169"/>
  <c r="C49" i="169" s="1"/>
  <c r="D129" i="209" s="1"/>
  <c r="D49" i="169"/>
  <c r="C48" i="321"/>
  <c r="C49" i="321" s="1"/>
  <c r="D132" i="209" s="1"/>
  <c r="D49" i="321"/>
  <c r="C48" i="367"/>
  <c r="C49" i="367" s="1"/>
  <c r="D155" i="209" s="1"/>
  <c r="D49" i="367"/>
  <c r="C48" i="371"/>
  <c r="C49" i="371" s="1"/>
  <c r="D157" i="209" s="1"/>
  <c r="D49" i="371"/>
  <c r="C48" i="347"/>
  <c r="C49" i="347" s="1"/>
  <c r="D145" i="209" s="1"/>
  <c r="D49" i="347"/>
  <c r="C48" i="149"/>
  <c r="C49" i="149" s="1"/>
  <c r="D181" i="209" s="1"/>
  <c r="D49" i="149"/>
  <c r="D47" i="170"/>
  <c r="C48" i="223"/>
  <c r="C49" i="223" s="1"/>
  <c r="D51" i="209" s="1"/>
  <c r="D49" i="223"/>
  <c r="D133" i="388" l="1"/>
  <c r="F133" i="388" s="1"/>
  <c r="U132" i="209"/>
  <c r="D159" i="388"/>
  <c r="F159" i="388" s="1"/>
  <c r="U158" i="209"/>
  <c r="D134" i="388"/>
  <c r="F134" i="388" s="1"/>
  <c r="U133" i="209"/>
  <c r="D155" i="388"/>
  <c r="F155" i="388" s="1"/>
  <c r="U154" i="209"/>
  <c r="D190" i="388"/>
  <c r="F190" i="388" s="1"/>
  <c r="U189" i="209"/>
  <c r="D54" i="388"/>
  <c r="F54" i="388" s="1"/>
  <c r="U53" i="209"/>
  <c r="D145" i="388"/>
  <c r="F145" i="388" s="1"/>
  <c r="U144" i="209"/>
  <c r="D144" i="388"/>
  <c r="F144" i="388" s="1"/>
  <c r="U143" i="209"/>
  <c r="D47" i="388"/>
  <c r="F47" i="388" s="1"/>
  <c r="U46" i="209"/>
  <c r="D181" i="388"/>
  <c r="F181" i="388" s="1"/>
  <c r="U180" i="209"/>
  <c r="D162" i="388"/>
  <c r="F162" i="388" s="1"/>
  <c r="U161" i="209"/>
  <c r="D132" i="388"/>
  <c r="F132" i="388" s="1"/>
  <c r="U131" i="209"/>
  <c r="D182" i="388"/>
  <c r="F182" i="388" s="1"/>
  <c r="U181" i="209"/>
  <c r="D109" i="388"/>
  <c r="F109" i="388" s="1"/>
  <c r="U108" i="209"/>
  <c r="D146" i="388"/>
  <c r="F146" i="388" s="1"/>
  <c r="U145" i="209"/>
  <c r="D195" i="388"/>
  <c r="F195" i="388" s="1"/>
  <c r="U194" i="209"/>
  <c r="D122" i="388"/>
  <c r="F122" i="388" s="1"/>
  <c r="U121" i="209"/>
  <c r="D82" i="388"/>
  <c r="F82" i="388" s="1"/>
  <c r="U80" i="209"/>
  <c r="D193" i="388"/>
  <c r="F193" i="388" s="1"/>
  <c r="U192" i="209"/>
  <c r="D116" i="388"/>
  <c r="F116" i="388" s="1"/>
  <c r="U115" i="209"/>
  <c r="D29" i="388"/>
  <c r="F29" i="388" s="1"/>
  <c r="U28" i="209"/>
  <c r="D125" i="388"/>
  <c r="F125" i="388" s="1"/>
  <c r="U124" i="209"/>
  <c r="D37" i="388"/>
  <c r="F37" i="388" s="1"/>
  <c r="U36" i="209"/>
  <c r="D9" i="388"/>
  <c r="F9" i="388" s="1"/>
  <c r="U8" i="209"/>
  <c r="D85" i="388"/>
  <c r="F85" i="388" s="1"/>
  <c r="U83" i="209"/>
  <c r="D142" i="388"/>
  <c r="F142" i="388" s="1"/>
  <c r="U141" i="209"/>
  <c r="D57" i="388"/>
  <c r="F57" i="388" s="1"/>
  <c r="U56" i="209"/>
  <c r="D130" i="388"/>
  <c r="F130" i="388" s="1"/>
  <c r="U129" i="209"/>
  <c r="D117" i="388"/>
  <c r="F117" i="388" s="1"/>
  <c r="U116" i="209"/>
  <c r="D38" i="388"/>
  <c r="F38" i="388" s="1"/>
  <c r="U37" i="209"/>
  <c r="D152" i="388"/>
  <c r="F152" i="388" s="1"/>
  <c r="U151" i="209"/>
  <c r="D56" i="388"/>
  <c r="F56" i="388" s="1"/>
  <c r="U55" i="209"/>
  <c r="D92" i="388"/>
  <c r="F92" i="388" s="1"/>
  <c r="U90" i="209"/>
  <c r="D27" i="388"/>
  <c r="F27" i="388" s="1"/>
  <c r="U26" i="209"/>
  <c r="D44" i="388"/>
  <c r="F44" i="388" s="1"/>
  <c r="U43" i="209"/>
  <c r="D127" i="388"/>
  <c r="F127" i="388" s="1"/>
  <c r="U126" i="209"/>
  <c r="D52" i="388"/>
  <c r="F52" i="388" s="1"/>
  <c r="U51" i="209"/>
  <c r="D87" i="388"/>
  <c r="F87" i="388" s="1"/>
  <c r="U85" i="209"/>
  <c r="D186" i="388"/>
  <c r="F186" i="388" s="1"/>
  <c r="U185" i="209"/>
  <c r="D103" i="388"/>
  <c r="F103" i="388" s="1"/>
  <c r="U102" i="209"/>
  <c r="D140" i="388"/>
  <c r="F140" i="388" s="1"/>
  <c r="U139" i="209"/>
  <c r="D83" i="388"/>
  <c r="F83" i="388" s="1"/>
  <c r="U81" i="209"/>
  <c r="D98" i="388"/>
  <c r="F98" i="388" s="1"/>
  <c r="U97" i="209"/>
  <c r="D88" i="388"/>
  <c r="F88" i="388" s="1"/>
  <c r="U86" i="209"/>
  <c r="D158" i="388"/>
  <c r="F158" i="388" s="1"/>
  <c r="U157" i="209"/>
  <c r="D156" i="388"/>
  <c r="F156" i="388" s="1"/>
  <c r="U155" i="209"/>
  <c r="D163" i="388"/>
  <c r="F163" i="388" s="1"/>
  <c r="U162" i="209"/>
  <c r="D84" i="388"/>
  <c r="F84" i="388" s="1"/>
  <c r="U82" i="209"/>
  <c r="D115" i="388"/>
  <c r="F115" i="388" s="1"/>
  <c r="U114" i="209"/>
  <c r="D100" i="388"/>
  <c r="F100" i="388" s="1"/>
  <c r="U99" i="209"/>
  <c r="D161" i="388"/>
  <c r="F161" i="388" s="1"/>
  <c r="U160" i="209"/>
  <c r="D135" i="388"/>
  <c r="F135" i="388" s="1"/>
  <c r="U134" i="209"/>
  <c r="D97" i="388"/>
  <c r="F97" i="388" s="1"/>
  <c r="U96" i="209"/>
  <c r="D8" i="290"/>
  <c r="F8" i="290" s="1"/>
  <c r="D175" i="209"/>
  <c r="C61" i="147"/>
  <c r="C65" i="147" s="1"/>
  <c r="C48" i="162"/>
  <c r="C49" i="162" s="1"/>
  <c r="D49" i="162"/>
  <c r="C60" i="137"/>
  <c r="C54" i="137"/>
  <c r="C55" i="137" s="1"/>
  <c r="D6" i="209"/>
  <c r="D13" i="209"/>
  <c r="C54" i="145"/>
  <c r="C55" i="145" s="1"/>
  <c r="C54" i="142"/>
  <c r="C55" i="142" s="1"/>
  <c r="D10" i="209"/>
  <c r="C48" i="170"/>
  <c r="C49" i="170" s="1"/>
  <c r="C63" i="170" s="1"/>
  <c r="C67" i="170" s="1"/>
  <c r="C69" i="170" s="1"/>
  <c r="D49" i="170"/>
  <c r="D176" i="388" l="1"/>
  <c r="F176" i="388" s="1"/>
  <c r="U175" i="209"/>
  <c r="D14" i="388"/>
  <c r="F14" i="388" s="1"/>
  <c r="U13" i="209"/>
  <c r="D7" i="388"/>
  <c r="U6" i="209"/>
  <c r="D11" i="388"/>
  <c r="F11" i="388" s="1"/>
  <c r="U10" i="209"/>
  <c r="C64" i="137"/>
  <c r="C66" i="137" s="1"/>
  <c r="C67" i="147"/>
  <c r="D94" i="209"/>
  <c r="C54" i="162"/>
  <c r="C58" i="162" s="1"/>
  <c r="D79" i="209"/>
  <c r="D81" i="388" l="1"/>
  <c r="F81" i="388" s="1"/>
  <c r="U79" i="209"/>
  <c r="D95" i="388"/>
  <c r="F95" i="388" s="1"/>
  <c r="U94" i="209"/>
  <c r="C60" i="162"/>
  <c r="F70" i="182"/>
  <c r="F7" i="388"/>
  <c r="O8" i="388"/>
  <c r="W8" i="388"/>
  <c r="D25" i="209" l="1"/>
  <c r="C60" i="182"/>
  <c r="D26" i="388" l="1"/>
  <c r="F26" i="388" s="1"/>
  <c r="U25" i="209"/>
  <c r="C70" i="182"/>
  <c r="C72" i="182" s="1"/>
  <c r="F72" i="182" s="1"/>
  <c r="H29" i="216"/>
  <c r="C68" i="182"/>
  <c r="C64" i="182"/>
  <c r="C66" i="182" s="1"/>
</calcChain>
</file>

<file path=xl/sharedStrings.xml><?xml version="1.0" encoding="utf-8"?>
<sst xmlns="http://schemas.openxmlformats.org/spreadsheetml/2006/main" count="22867" uniqueCount="911">
  <si>
    <t>PMS</t>
  </si>
  <si>
    <t>AGO</t>
  </si>
  <si>
    <t>RMS</t>
  </si>
  <si>
    <t>DPK</t>
  </si>
  <si>
    <t>A</t>
  </si>
  <si>
    <t>B</t>
  </si>
  <si>
    <t>C</t>
  </si>
  <si>
    <t>D</t>
  </si>
  <si>
    <t>E</t>
  </si>
  <si>
    <t>F</t>
  </si>
  <si>
    <t>G</t>
  </si>
  <si>
    <t>TOTAL COST (KES)</t>
  </si>
  <si>
    <t>IMPORTS</t>
  </si>
  <si>
    <t>COLUMN</t>
  </si>
  <si>
    <t>CARGO NAME</t>
  </si>
  <si>
    <t>Super Petrol (PMS)</t>
  </si>
  <si>
    <t>Automotive Diesel (AGO)</t>
  </si>
  <si>
    <t>Regular Petrol (RMS)</t>
  </si>
  <si>
    <t>KPRL</t>
  </si>
  <si>
    <t>Maximum retail pump price</t>
  </si>
  <si>
    <t>Kshs/lt</t>
  </si>
  <si>
    <t>40km radius-Delivery rate within town</t>
  </si>
  <si>
    <t>Allowed retail dealers gross margin</t>
  </si>
  <si>
    <t>Maximum Wholesale price</t>
  </si>
  <si>
    <t>Allowed oil marketing company's gross wholesale margin</t>
  </si>
  <si>
    <t>Allowed pipeline losses</t>
  </si>
  <si>
    <t>Weighted average cost (KPRL + KOSF)</t>
  </si>
  <si>
    <t xml:space="preserve">Petroleum Costing </t>
  </si>
  <si>
    <t>% transported through pipeline - Zero for Mombasa</t>
  </si>
  <si>
    <t>Allowed depot losses. 0.5% for PMS,RMS and 0.3% for AGO,DPK</t>
  </si>
  <si>
    <t xml:space="preserve">Pipeline Rate </t>
  </si>
  <si>
    <t>Mombasa</t>
  </si>
  <si>
    <t>Nairobi</t>
  </si>
  <si>
    <t>A*F</t>
  </si>
  <si>
    <t>TOTAL VOLUME (Litres)</t>
  </si>
  <si>
    <t>Distance from Source Depot</t>
  </si>
  <si>
    <t>TOWNS</t>
  </si>
  <si>
    <t>MAXIMUM PUMP PRICES</t>
  </si>
  <si>
    <t>Nakuru</t>
  </si>
  <si>
    <t>Eldoret</t>
  </si>
  <si>
    <t>Kisumu</t>
  </si>
  <si>
    <t>% transported through road</t>
  </si>
  <si>
    <t>16% VAT Inclusive</t>
  </si>
  <si>
    <t xml:space="preserve">% transported through pipeline </t>
  </si>
  <si>
    <t xml:space="preserve">Change </t>
  </si>
  <si>
    <t>Cargo No.</t>
  </si>
  <si>
    <t>Importer</t>
  </si>
  <si>
    <t>BL. Date</t>
  </si>
  <si>
    <t>Vessel</t>
  </si>
  <si>
    <t>ETA</t>
  </si>
  <si>
    <t>Qty Mt</t>
  </si>
  <si>
    <t>Vol. M3</t>
  </si>
  <si>
    <t>Cost</t>
  </si>
  <si>
    <t xml:space="preserve">Unit Cost </t>
  </si>
  <si>
    <t>USD a/c</t>
  </si>
  <si>
    <t>KES a/c</t>
  </si>
  <si>
    <t>Total KES</t>
  </si>
  <si>
    <t xml:space="preserve">KES/Lts </t>
  </si>
  <si>
    <t>USD</t>
  </si>
  <si>
    <t>Exc Rate</t>
  </si>
  <si>
    <t xml:space="preserve">Amount Kes </t>
  </si>
  <si>
    <t>NAKURU TOWN</t>
  </si>
  <si>
    <t>ELDORET TOWN</t>
  </si>
  <si>
    <t xml:space="preserve"> </t>
  </si>
  <si>
    <t>MERU TOWN</t>
  </si>
  <si>
    <t>MALINDI TOWN</t>
  </si>
  <si>
    <t>Malindi</t>
  </si>
  <si>
    <t>Meru</t>
  </si>
  <si>
    <t>Nyahururu</t>
  </si>
  <si>
    <t>Bungoma</t>
  </si>
  <si>
    <t>Kisii</t>
  </si>
  <si>
    <t>NYAHURURU TOWN</t>
  </si>
  <si>
    <t>BUNGOMA TOWN</t>
  </si>
  <si>
    <t>KISII TOWN</t>
  </si>
  <si>
    <t>VOI TOWN</t>
  </si>
  <si>
    <t>TAVETA TOWN</t>
  </si>
  <si>
    <t>LAMU TOWN</t>
  </si>
  <si>
    <t>EMBU TOWN</t>
  </si>
  <si>
    <t>KITUI TOWN</t>
  </si>
  <si>
    <t>NYERI TOWN</t>
  </si>
  <si>
    <t>NANYUKI TOWN</t>
  </si>
  <si>
    <t>ISIOLO TOWN</t>
  </si>
  <si>
    <t>MARSABIT TOWN</t>
  </si>
  <si>
    <t>WAJIR TOWN</t>
  </si>
  <si>
    <t>MANDERA TOWN</t>
  </si>
  <si>
    <t>NAIVASHA TOWN</t>
  </si>
  <si>
    <t>LOKICHOGIO TOWN</t>
  </si>
  <si>
    <t>KITALE TOWN</t>
  </si>
  <si>
    <t>BUSIA TOWN</t>
  </si>
  <si>
    <t>KERICHO TOWN</t>
  </si>
  <si>
    <t>KAKAMEGA TOWN</t>
  </si>
  <si>
    <t>HOMABAY TOWN</t>
  </si>
  <si>
    <t>MACHAKOS TOWN</t>
  </si>
  <si>
    <t>MURANGA TOWN</t>
  </si>
  <si>
    <t>KAPSABET TOWN</t>
  </si>
  <si>
    <t>KAJIADO TOWN</t>
  </si>
  <si>
    <t>SOTIK TOWN</t>
  </si>
  <si>
    <t>Voi</t>
  </si>
  <si>
    <t>Taveta</t>
  </si>
  <si>
    <t>Lamu</t>
  </si>
  <si>
    <t>Kwale</t>
  </si>
  <si>
    <t>Machakos</t>
  </si>
  <si>
    <t>Embu</t>
  </si>
  <si>
    <t>Kitui</t>
  </si>
  <si>
    <t>Muranga</t>
  </si>
  <si>
    <t>Nyeri</t>
  </si>
  <si>
    <t>Nanyuki</t>
  </si>
  <si>
    <t>Isiolo</t>
  </si>
  <si>
    <t>Kajiado</t>
  </si>
  <si>
    <t>Marsabit</t>
  </si>
  <si>
    <t>Wajir</t>
  </si>
  <si>
    <t>Mandera</t>
  </si>
  <si>
    <t>Naivasha</t>
  </si>
  <si>
    <t>Lokichogio</t>
  </si>
  <si>
    <t>Kapsabet</t>
  </si>
  <si>
    <t>Kitale</t>
  </si>
  <si>
    <t>Busia</t>
  </si>
  <si>
    <t>Kericho</t>
  </si>
  <si>
    <t>Sotik</t>
  </si>
  <si>
    <t>Kakamega</t>
  </si>
  <si>
    <t>Homabay</t>
  </si>
  <si>
    <t>MARALAL TOWN</t>
  </si>
  <si>
    <t>KILIFI TOWN</t>
  </si>
  <si>
    <t>KWALE TOWN</t>
  </si>
  <si>
    <t>Narok</t>
  </si>
  <si>
    <t>Siaya</t>
  </si>
  <si>
    <t>Road distance from Mombasa Depot</t>
  </si>
  <si>
    <t>Road distance from Nairobi Depot</t>
  </si>
  <si>
    <t>Road distance from Nakuru Depot</t>
  </si>
  <si>
    <t>Road distance from Eldoret Depot</t>
  </si>
  <si>
    <t>Road distance from Kisumu Depot</t>
  </si>
  <si>
    <t>NAROK TOWN</t>
  </si>
  <si>
    <t>SIAYA TOWN</t>
  </si>
  <si>
    <t>KES '000'</t>
  </si>
  <si>
    <t>Kes/lit</t>
  </si>
  <si>
    <t>NYAMIRA TOWN</t>
  </si>
  <si>
    <t>Nyamira</t>
  </si>
  <si>
    <t>Ferry Charges</t>
  </si>
  <si>
    <t>Likoni Mainland</t>
  </si>
  <si>
    <t>KAPENGURIA TOWN</t>
  </si>
  <si>
    <t>MIGORI TOWN</t>
  </si>
  <si>
    <t xml:space="preserve">Kapenguria </t>
  </si>
  <si>
    <t>Migori</t>
  </si>
  <si>
    <t>Maralal</t>
  </si>
  <si>
    <t>Garissa</t>
  </si>
  <si>
    <t>KABARNET TOWN</t>
  </si>
  <si>
    <t xml:space="preserve">Kabarnet </t>
  </si>
  <si>
    <t>THIKA TOWN</t>
  </si>
  <si>
    <t>GARISSA TOWN</t>
  </si>
  <si>
    <t>KISUMU CITY</t>
  </si>
  <si>
    <t>MOMBASA CITY</t>
  </si>
  <si>
    <t>NAIROBI CITY</t>
  </si>
  <si>
    <t>Thika</t>
  </si>
  <si>
    <t>Kilifi</t>
  </si>
  <si>
    <t>TKL</t>
  </si>
  <si>
    <t>IK</t>
  </si>
  <si>
    <t>Cost in USD</t>
  </si>
  <si>
    <t>KSL</t>
  </si>
  <si>
    <t>LOKL</t>
  </si>
  <si>
    <t>%</t>
  </si>
  <si>
    <t>Kerosene (DPK)</t>
  </si>
  <si>
    <t>LIKONI MAINLAND</t>
  </si>
  <si>
    <t>Change</t>
  </si>
  <si>
    <t>KES/L</t>
  </si>
  <si>
    <t>MTITO ANDEI</t>
  </si>
  <si>
    <t>Mtito Andei</t>
  </si>
  <si>
    <t>% transported through pipeline for AGO</t>
  </si>
  <si>
    <t>% transported through pipeline for PMS, DPK and RMS</t>
  </si>
  <si>
    <t>% transported through road for AGO</t>
  </si>
  <si>
    <t>Mwingi</t>
  </si>
  <si>
    <t>Kerugoya</t>
  </si>
  <si>
    <t>MALABA TOWN</t>
  </si>
  <si>
    <t>MAUA TOWN</t>
  </si>
  <si>
    <t>Maua</t>
  </si>
  <si>
    <t>Malaba</t>
  </si>
  <si>
    <t>MWINGI TOWN</t>
  </si>
  <si>
    <t>KERUGOYA TOWN</t>
  </si>
  <si>
    <t>Bridging Rate Kshs 0.0814 per litre x distance</t>
  </si>
  <si>
    <t>KIGANJO TOWN</t>
  </si>
  <si>
    <t>NAMANGA TOWN</t>
  </si>
  <si>
    <t>LUNGALUNGA TOWN</t>
  </si>
  <si>
    <t>MAKUYU TOWN</t>
  </si>
  <si>
    <t>SAGANA TOWN</t>
  </si>
  <si>
    <t>NKUBU TOWN</t>
  </si>
  <si>
    <t>CHUKA TOWN</t>
  </si>
  <si>
    <t>LIBOI TOWN</t>
  </si>
  <si>
    <t>GILGIL TOWN</t>
  </si>
  <si>
    <t>MOLO TOWN</t>
  </si>
  <si>
    <t>MOGOTIO TOWN</t>
  </si>
  <si>
    <t>MARIGAT TOWN</t>
  </si>
  <si>
    <t>LONDIANI TOWN</t>
  </si>
  <si>
    <t>WEBUYE TOWN</t>
  </si>
  <si>
    <t>ISEBANIA TOWN</t>
  </si>
  <si>
    <t>SONDU TOWN</t>
  </si>
  <si>
    <t>OYUGIS TOWN</t>
  </si>
  <si>
    <t>BONDO TOWN</t>
  </si>
  <si>
    <t>Lungalunga</t>
  </si>
  <si>
    <t>Namanga</t>
  </si>
  <si>
    <t>Kiganjo</t>
  </si>
  <si>
    <t>Makuyu</t>
  </si>
  <si>
    <t>Sagana</t>
  </si>
  <si>
    <t>Nkubu</t>
  </si>
  <si>
    <t>Chuka</t>
  </si>
  <si>
    <t>Liboi</t>
  </si>
  <si>
    <t>Molo</t>
  </si>
  <si>
    <t>Mogotio</t>
  </si>
  <si>
    <t>Marigat</t>
  </si>
  <si>
    <t>Bomet</t>
  </si>
  <si>
    <t>Londiani</t>
  </si>
  <si>
    <t>Webuye</t>
  </si>
  <si>
    <t>Isebania</t>
  </si>
  <si>
    <t>Sondu</t>
  </si>
  <si>
    <t>Bondo</t>
  </si>
  <si>
    <t>Oyugis</t>
  </si>
  <si>
    <t>Product</t>
  </si>
  <si>
    <t>Unit cost USD/Mt</t>
  </si>
  <si>
    <t>Vessel Name</t>
  </si>
  <si>
    <t>Average</t>
  </si>
  <si>
    <t>Keroka</t>
  </si>
  <si>
    <t>Gilgil</t>
  </si>
  <si>
    <t>RDL</t>
  </si>
  <si>
    <t>H</t>
  </si>
  <si>
    <t>(B+C+D+E+F)</t>
  </si>
  <si>
    <t>CIF</t>
  </si>
  <si>
    <t>Bridging Costs</t>
  </si>
  <si>
    <t>Ksh/km/m3</t>
  </si>
  <si>
    <t>Current Rate</t>
  </si>
  <si>
    <t>Fuel component</t>
  </si>
  <si>
    <t>escalable</t>
  </si>
  <si>
    <t>Other</t>
  </si>
  <si>
    <t>Ksh/litre</t>
  </si>
  <si>
    <t>AGO Pump Price</t>
  </si>
  <si>
    <t>Average 11/12'</t>
  </si>
  <si>
    <t>Average 12/13'</t>
  </si>
  <si>
    <t>% Change</t>
  </si>
  <si>
    <t>Inflation</t>
  </si>
  <si>
    <t>Labour costs</t>
  </si>
  <si>
    <t>Change in reduced capacity</t>
  </si>
  <si>
    <t>Fuel Component</t>
  </si>
  <si>
    <t>New Rate</t>
  </si>
  <si>
    <t>Mombasa - Nairobi (km)</t>
  </si>
  <si>
    <t>Summarry of Bridging Rate</t>
  </si>
  <si>
    <t>Impact</t>
  </si>
  <si>
    <t>Kshs/litre + VAT</t>
  </si>
  <si>
    <t>Current</t>
  </si>
  <si>
    <t>New</t>
  </si>
  <si>
    <t>Delivery within 40KM</t>
  </si>
  <si>
    <t>Other: Inflation</t>
  </si>
  <si>
    <t>Labour</t>
  </si>
  <si>
    <t>Within 40km radius</t>
  </si>
  <si>
    <t>Delivery beyond 40KM</t>
  </si>
  <si>
    <t>Change in capacity</t>
  </si>
  <si>
    <t>escalated</t>
  </si>
  <si>
    <t>Beyond  40km radius</t>
  </si>
  <si>
    <t>Distance (km)</t>
  </si>
  <si>
    <t>Sept 11 -Aug 12</t>
  </si>
  <si>
    <t>Sept 12 -Aug 13</t>
  </si>
  <si>
    <t>January</t>
  </si>
  <si>
    <t>September</t>
  </si>
  <si>
    <t>February</t>
  </si>
  <si>
    <t>October</t>
  </si>
  <si>
    <t>March</t>
  </si>
  <si>
    <t>November</t>
  </si>
  <si>
    <t>April</t>
  </si>
  <si>
    <t>December</t>
  </si>
  <si>
    <t>May</t>
  </si>
  <si>
    <t>June</t>
  </si>
  <si>
    <t>July</t>
  </si>
  <si>
    <t>August</t>
  </si>
  <si>
    <t>Month</t>
  </si>
  <si>
    <t>Overall Inflation Rate</t>
  </si>
  <si>
    <t>Source: KNBS</t>
  </si>
  <si>
    <t>Bridging Rate Kshs 0.00912 per litre x distance</t>
  </si>
  <si>
    <t>Bridging Rate Kshs 0.0912per litre x distance</t>
  </si>
  <si>
    <t>Last dates of discharge</t>
  </si>
  <si>
    <t>Product Volume in Litres</t>
  </si>
  <si>
    <t>KPRL hospitality Charges</t>
  </si>
  <si>
    <t>Direct Order charges</t>
  </si>
  <si>
    <t>Kipevu shore handling charges</t>
  </si>
  <si>
    <t>[USD 0.3/MT]</t>
  </si>
  <si>
    <t>Merchant Shipping Fee</t>
  </si>
  <si>
    <t>Analysis +Recertification Charges</t>
  </si>
  <si>
    <t>Inspection Charges</t>
  </si>
  <si>
    <t>[0.5% of CIF]</t>
  </si>
  <si>
    <t>Adminstration Fees</t>
  </si>
  <si>
    <t>[0.50%*CIFLW]</t>
  </si>
  <si>
    <t>Ocean Losses</t>
  </si>
  <si>
    <t>[USD 1.65/MT]</t>
  </si>
  <si>
    <t>Stevedoring Charges</t>
  </si>
  <si>
    <t>[USD 2.20/MT + 16% VAT]</t>
  </si>
  <si>
    <t>KPA Wharfage</t>
  </si>
  <si>
    <t>Import Declaration (IDF) Fees</t>
  </si>
  <si>
    <t>[1.003*C&amp;F*0.0275%]</t>
  </si>
  <si>
    <t>War Risk</t>
  </si>
  <si>
    <t>[1.003*C&amp;F*0.0770%]</t>
  </si>
  <si>
    <t>Insurance</t>
  </si>
  <si>
    <t>Costs paid in KShs</t>
  </si>
  <si>
    <t>Total USD based Cost</t>
  </si>
  <si>
    <t>[1.20%*C&amp;F]</t>
  </si>
  <si>
    <t>Letter of Credit Charges (LC)</t>
  </si>
  <si>
    <t>Varies as per Tender</t>
  </si>
  <si>
    <t>Freight &amp; Premium (F&amp;P)</t>
  </si>
  <si>
    <t>Platts based</t>
  </si>
  <si>
    <t>Free On Board (FOB)</t>
  </si>
  <si>
    <t>Costs paid in USD</t>
  </si>
  <si>
    <t>SUPER PETROL</t>
  </si>
  <si>
    <t>USD 0.3/MT</t>
  </si>
  <si>
    <t>0.5% of CIF</t>
  </si>
  <si>
    <t>Letter of Credit Charges</t>
  </si>
  <si>
    <t>DIESEL</t>
  </si>
  <si>
    <t>KEROSENE</t>
  </si>
  <si>
    <t>Retail Prices in Nairobi</t>
  </si>
  <si>
    <t>Taxes &amp; Levies (d)</t>
  </si>
  <si>
    <t xml:space="preserve">Distribution and storage Costs (b) </t>
  </si>
  <si>
    <t>Products Costs (a)</t>
  </si>
  <si>
    <t>Summary</t>
  </si>
  <si>
    <t>Retail Prices in Nairobi (a) + (b) + (c ) + (d)</t>
  </si>
  <si>
    <t>Taxes and levies (d)</t>
  </si>
  <si>
    <t>Levy</t>
  </si>
  <si>
    <t>Railway Development Levy</t>
  </si>
  <si>
    <t>Petroleum Regulatory Levy</t>
  </si>
  <si>
    <t>Petroleum Development Levy</t>
  </si>
  <si>
    <t>Road Maintenance Levy</t>
  </si>
  <si>
    <t>Tax</t>
  </si>
  <si>
    <t>Excise Duty</t>
  </si>
  <si>
    <t>Oil marketing companies margins (c )</t>
  </si>
  <si>
    <t>Retail</t>
  </si>
  <si>
    <t>Dealers Margin</t>
  </si>
  <si>
    <t>Wholesale</t>
  </si>
  <si>
    <t>Importers Margin</t>
  </si>
  <si>
    <t>Storage and distribution (b)</t>
  </si>
  <si>
    <t>Delivery within 40kms of Nrb</t>
  </si>
  <si>
    <t>Depot Losses</t>
  </si>
  <si>
    <t>Pipeline (0.25%)</t>
  </si>
  <si>
    <t>Pipeline Losses</t>
  </si>
  <si>
    <t>Road Transport (Msa-Nrb) - Bridging</t>
  </si>
  <si>
    <t>Pipeline Transport (Msa-Nrb)</t>
  </si>
  <si>
    <t>Kerosene</t>
  </si>
  <si>
    <t>Diesel</t>
  </si>
  <si>
    <t>Cost Item</t>
  </si>
  <si>
    <t>Weighted Average cost for all imports</t>
  </si>
  <si>
    <t>Delivery to petrol stations</t>
  </si>
  <si>
    <t>KShs/Litre</t>
  </si>
  <si>
    <t>Super Petrol</t>
  </si>
  <si>
    <t>Cost Description</t>
  </si>
  <si>
    <t>Margins (c )</t>
  </si>
  <si>
    <t>Landed Cost (a)</t>
  </si>
  <si>
    <t>Unit Cargo cost in KShs/Litre</t>
  </si>
  <si>
    <t>Landed Cost KShs/Litre</t>
  </si>
  <si>
    <t>Weighted Average cost for all cargoes in KShs/Litre</t>
  </si>
  <si>
    <t>Weighted Average cost for all cargoes  in KShs/Litre</t>
  </si>
  <si>
    <t>USD based Cost coverted to KShs/Litre</t>
  </si>
  <si>
    <t>Kshs based cost converted KShs/Litre</t>
  </si>
  <si>
    <t>Total Kshs based costs (KShs/MT)</t>
  </si>
  <si>
    <t>USD/MT</t>
  </si>
  <si>
    <t>KSHS/MT</t>
  </si>
  <si>
    <t>Conversion factor (M3/MT)</t>
  </si>
  <si>
    <t>Exchange rate (USD/KShs)</t>
  </si>
  <si>
    <t>Total Kshs based costs (KShs/Litre)</t>
  </si>
  <si>
    <t>IDF</t>
  </si>
  <si>
    <t>RDL &amp; IDF</t>
  </si>
  <si>
    <t>I</t>
  </si>
  <si>
    <t>(B+C+D+E+F+G)</t>
  </si>
  <si>
    <t>A*H</t>
  </si>
  <si>
    <t>Import Declaration Fees</t>
  </si>
  <si>
    <t>Demurrage</t>
  </si>
  <si>
    <t>KPC PIPELINE LOSSES</t>
  </si>
  <si>
    <t>PROVISIONAL</t>
  </si>
  <si>
    <t>ACTUAL</t>
  </si>
  <si>
    <t>Average for the Quarter 3 (2016/2017)</t>
  </si>
  <si>
    <t>Average for the Quarter 4 (2016/2017)</t>
  </si>
  <si>
    <t>Reconciliation Loss/Gain</t>
  </si>
  <si>
    <t>MONTH</t>
  </si>
  <si>
    <t>Terminal</t>
  </si>
  <si>
    <t>Deemed Exchange Rate Date</t>
  </si>
  <si>
    <t xml:space="preserve">KPRL hospitality Charges </t>
  </si>
  <si>
    <t>(USD/Mt)</t>
  </si>
  <si>
    <t>(KES/Lts )</t>
  </si>
  <si>
    <t xml:space="preserve">KOSF Charges Recovery </t>
  </si>
  <si>
    <t>[KShs 0.2974/ltr]</t>
  </si>
  <si>
    <t>Escalation</t>
  </si>
  <si>
    <t>RML</t>
  </si>
  <si>
    <t>KOSF Charges Recovery</t>
  </si>
  <si>
    <t>KShs. 0.2570/ Litre</t>
  </si>
  <si>
    <t>KShs. 0.2699/ Litre</t>
  </si>
  <si>
    <t>KShs. 0.2105/ Litre</t>
  </si>
  <si>
    <t>Average for the Quarter 1 (2017/2018)</t>
  </si>
  <si>
    <t>Average for the Quarter 2 (2017/2018)</t>
  </si>
  <si>
    <t>KShs. 0.0121/ Litre</t>
  </si>
  <si>
    <t>KShs. 0.3621/ Litre</t>
  </si>
  <si>
    <t>KShs. 0.1643/ Litre</t>
  </si>
  <si>
    <t>Excise</t>
  </si>
  <si>
    <t>TIME TAKEN</t>
  </si>
  <si>
    <t>TIME ALLOWED</t>
  </si>
  <si>
    <t>JETTY</t>
  </si>
  <si>
    <t>AMOUNT (USD)</t>
  </si>
  <si>
    <t>Olenguruone</t>
  </si>
  <si>
    <t>VAT charged costs (KShs/litre)</t>
  </si>
  <si>
    <t>Import Declaration Fee</t>
  </si>
  <si>
    <t>Super petrol</t>
  </si>
  <si>
    <t>(a) None VAT-charged costs (KShs/litre)</t>
  </si>
  <si>
    <t>I.</t>
  </si>
  <si>
    <t>II.</t>
  </si>
  <si>
    <t>III.</t>
  </si>
  <si>
    <t>IV.</t>
  </si>
  <si>
    <t>VAT factor</t>
  </si>
  <si>
    <t>Applicable exchange rate</t>
  </si>
  <si>
    <t>Conversion factor</t>
  </si>
  <si>
    <t>Sub-total (KShs/MT)</t>
  </si>
  <si>
    <t>Sub-total (KShs/Litre)</t>
  </si>
  <si>
    <t>Storage and vessel handling (KShs/litre)</t>
  </si>
  <si>
    <t>Non-VAT charged costs (KShs/litre)</t>
  </si>
  <si>
    <t>Product Volume</t>
  </si>
  <si>
    <t>Kipevu/SOT shore handling charges</t>
  </si>
  <si>
    <t>USD based costs</t>
  </si>
  <si>
    <t>KShs based Costs I</t>
  </si>
  <si>
    <t>KShs based Costs II</t>
  </si>
  <si>
    <t>RETAIL FUEL COST BREAK-DOWN  INCLUDING VAT</t>
  </si>
  <si>
    <t>Wholesale Price inxclusive of VAT</t>
  </si>
  <si>
    <t>Direct order charges</t>
  </si>
  <si>
    <t>(b) VAT-charged costs (KShs/litre)</t>
  </si>
  <si>
    <t>Storage and Distribution Costs (Variable/Litre)</t>
  </si>
  <si>
    <t>Wholesale price inclusive of VAT</t>
  </si>
  <si>
    <t>Levies</t>
  </si>
  <si>
    <t>INPUT VAT 2 (on I.)</t>
  </si>
  <si>
    <t>Input VAT on Product at retail</t>
  </si>
  <si>
    <t>Retailer's Margin</t>
  </si>
  <si>
    <t>Oil Marketers Margin</t>
  </si>
  <si>
    <t>V.</t>
  </si>
  <si>
    <t>VI.</t>
  </si>
  <si>
    <t>(INPUT)/ OUTPUT</t>
  </si>
  <si>
    <t>COST/ PRICE</t>
  </si>
  <si>
    <t>VATable value [(V)+(VI)-Input VAT]</t>
  </si>
  <si>
    <t>Import Declaration Fees (IDF)</t>
  </si>
  <si>
    <t>Import Declaration  Fees (IDF)</t>
  </si>
  <si>
    <t>OMC WHOLE-SALE FUEL PRICE BREAK-DOWN  INCLUDING VAT</t>
  </si>
  <si>
    <t>OMC Wholesale price exclusive of VAT</t>
  </si>
  <si>
    <t>Merchant Shipping Fees</t>
  </si>
  <si>
    <t>Landed cost, exclusive of VAT (KShs/Litre) [a+b+c]</t>
  </si>
  <si>
    <t>Item</t>
  </si>
  <si>
    <t>VATable price [(I)+(III)+(IV)]</t>
  </si>
  <si>
    <t>ERC PRICE UNDER NON-VAT REGIME</t>
  </si>
  <si>
    <t>PRICE DIFFERENCE</t>
  </si>
  <si>
    <t>PERCENTAGE INCREAMENT</t>
  </si>
  <si>
    <t>Output VAT</t>
  </si>
  <si>
    <t>Output VAT on product at retail level</t>
  </si>
  <si>
    <t>Sub-total</t>
  </si>
  <si>
    <t>Retail price</t>
  </si>
  <si>
    <t>ADD: VAT at wholesale</t>
  </si>
  <si>
    <t>ADD: VAT at retail</t>
  </si>
  <si>
    <t>EXPECTED IMPACT ON THE FINAL RETAIL PRICE COMPARED TO THE NON-VAT REGIME</t>
  </si>
  <si>
    <t>GOVERNMENT NET VAT COLLECTION (KSHS PER LITRE)</t>
  </si>
  <si>
    <t>Retail Pump-Price under VAT regime</t>
  </si>
  <si>
    <t>VATable amount (KShs/Litre)</t>
  </si>
  <si>
    <t>Excise duty</t>
  </si>
  <si>
    <t>Storage and Distribution Costs (with VAT)</t>
  </si>
  <si>
    <t>Storage and Distribution Costs (without VAT)</t>
  </si>
  <si>
    <t>Non-VATable storage and distribution costs</t>
  </si>
  <si>
    <t>LESS:  Levies</t>
  </si>
  <si>
    <t>Pipeline Transport (Msa)</t>
  </si>
  <si>
    <t>Road Transport (Msa) - Bridging</t>
  </si>
  <si>
    <t>Pipeline Transport (Msa-Likoni)</t>
  </si>
  <si>
    <t>Road Transport (Msa-Likoni) - Bridging</t>
  </si>
  <si>
    <t>Ferry transport</t>
  </si>
  <si>
    <t>ERC PRICE UNDER VAT REGIME</t>
  </si>
  <si>
    <t>Road Transport (Msa-NRB) - Bridging</t>
  </si>
  <si>
    <t>Pipeline Transport (Msa-NRB)</t>
  </si>
  <si>
    <t>Pipeline (100% PMS, AGO &amp; IK)</t>
  </si>
  <si>
    <t>Road (0% PMS, AGO &amp; IK)</t>
  </si>
  <si>
    <t>0.5% PMS; 0.3% For DPK &amp; AGO</t>
  </si>
  <si>
    <t>Anti-adulteration Levy</t>
  </si>
  <si>
    <t>Average for the Quarter 4 (2017/2018)</t>
  </si>
  <si>
    <t>Average for the Quarter 1 (2018/2019)</t>
  </si>
  <si>
    <t>Hola</t>
  </si>
  <si>
    <t>Change (KShs./Litre)</t>
  </si>
  <si>
    <t>Change (%)</t>
  </si>
  <si>
    <t>Vatable Cost</t>
  </si>
  <si>
    <t>Retail Price</t>
  </si>
  <si>
    <t>Non-vatable Cost</t>
  </si>
  <si>
    <t>Average for the Quarter 3 (2017/2018)</t>
  </si>
  <si>
    <t>Average for the Quarter 1 (2016/2017)</t>
  </si>
  <si>
    <t>Average for the Quarter 2 (2018/2019)</t>
  </si>
  <si>
    <t>Breakdown of the costs of Super Petrol (PMS), Diesel (AGO) and Kerosene (DPK)  in Nairobi: 15th February 2019 - 14th March 2019</t>
  </si>
  <si>
    <t>Balance claimed to-date</t>
  </si>
  <si>
    <t>Differential awarded Jan 2019</t>
  </si>
  <si>
    <t>Differential claimed Feb 2019</t>
  </si>
  <si>
    <t>Merchant Shipping Levy</t>
  </si>
  <si>
    <t>Value Added Tax (VAT)</t>
  </si>
  <si>
    <t>Demmurage</t>
  </si>
  <si>
    <t>JETI</t>
  </si>
  <si>
    <t>MOYALE TOWN</t>
  </si>
  <si>
    <t>SOLOLO TOWN</t>
  </si>
  <si>
    <t>Dadaab TOWN</t>
  </si>
  <si>
    <t>Moyale</t>
  </si>
  <si>
    <t>Sololo</t>
  </si>
  <si>
    <t>Habaswein</t>
  </si>
  <si>
    <t>Dadaab</t>
  </si>
  <si>
    <t>Tarbaj</t>
  </si>
  <si>
    <t>Elwak</t>
  </si>
  <si>
    <t>Archers Post</t>
  </si>
  <si>
    <t>Lodosoit</t>
  </si>
  <si>
    <t>Moiben</t>
  </si>
  <si>
    <t>Matunda</t>
  </si>
  <si>
    <t>Burnt Forest</t>
  </si>
  <si>
    <t>Tambach</t>
  </si>
  <si>
    <t>Kapsowar</t>
  </si>
  <si>
    <t>Chebara</t>
  </si>
  <si>
    <t>Kimwarer</t>
  </si>
  <si>
    <t>Timboroa</t>
  </si>
  <si>
    <t>Nandi Hills</t>
  </si>
  <si>
    <t>Kaiboi</t>
  </si>
  <si>
    <t>Kiminini</t>
  </si>
  <si>
    <t>Endebes</t>
  </si>
  <si>
    <t>Saboti</t>
  </si>
  <si>
    <t>Chepareria</t>
  </si>
  <si>
    <t>Lomut</t>
  </si>
  <si>
    <t>Burgich</t>
  </si>
  <si>
    <t>Sigor</t>
  </si>
  <si>
    <t>Lowdar</t>
  </si>
  <si>
    <t>Kakuma</t>
  </si>
  <si>
    <t>Lokichar</t>
  </si>
  <si>
    <t>Kalokol</t>
  </si>
  <si>
    <t>Lokori</t>
  </si>
  <si>
    <t>Lokitaung</t>
  </si>
  <si>
    <t>Kapedo</t>
  </si>
  <si>
    <t>Volume in M3</t>
  </si>
  <si>
    <t>Average for the Quarter 3 (2018/2019)</t>
  </si>
  <si>
    <t>Average for the Quarter 4 (2018/2019)</t>
  </si>
  <si>
    <t xml:space="preserve">   </t>
  </si>
  <si>
    <t>Wholesale Price inclusive of VAT</t>
  </si>
  <si>
    <t>[0.1%*CIFLW]</t>
  </si>
  <si>
    <t>MAXIMUM WHOLE SALE PETROLEUM PRICES</t>
  </si>
  <si>
    <t>MAXIMUM PETROLEUM WHOLESALE PRICES</t>
  </si>
  <si>
    <t>Wholesale price</t>
  </si>
  <si>
    <t>KPRL hospitality Charges/Storage</t>
  </si>
  <si>
    <t>COST</t>
  </si>
  <si>
    <r>
      <t xml:space="preserve">Weighted </t>
    </r>
    <r>
      <rPr>
        <i/>
        <sz val="10"/>
        <color theme="1"/>
        <rFont val="Palatino Linotype"/>
        <family val="1"/>
      </rPr>
      <t>VAT charged</t>
    </r>
    <r>
      <rPr>
        <sz val="10"/>
        <color theme="1"/>
        <rFont val="Palatino Linotype"/>
        <family val="1"/>
      </rPr>
      <t xml:space="preserve"> costs</t>
    </r>
  </si>
  <si>
    <r>
      <t xml:space="preserve">Weighted </t>
    </r>
    <r>
      <rPr>
        <i/>
        <sz val="10"/>
        <color theme="1"/>
        <rFont val="Palatino Linotype"/>
        <family val="1"/>
      </rPr>
      <t>Non-VAT charged</t>
    </r>
    <r>
      <rPr>
        <sz val="10"/>
        <color theme="1"/>
        <rFont val="Palatino Linotype"/>
        <family val="1"/>
      </rPr>
      <t xml:space="preserve"> costs</t>
    </r>
  </si>
  <si>
    <r>
      <t>M</t>
    </r>
    <r>
      <rPr>
        <b/>
        <vertAlign val="superscript"/>
        <sz val="10"/>
        <color theme="1"/>
        <rFont val="Palatino Linotype"/>
        <family val="1"/>
      </rPr>
      <t>3</t>
    </r>
  </si>
  <si>
    <t>Excise Duty Recovery Charges</t>
  </si>
  <si>
    <t>Retail Investment Margin</t>
  </si>
  <si>
    <t>Retail Operating Margin</t>
  </si>
  <si>
    <t>NoR</t>
  </si>
  <si>
    <t xml:space="preserve">AGO </t>
  </si>
  <si>
    <t>V08/2019</t>
  </si>
  <si>
    <t>Average Used in Quarter 3 (2019/2020)</t>
  </si>
  <si>
    <t>Average Used in Quarter 2 (2019/2020)</t>
  </si>
  <si>
    <t>Average Used in Quarter 1 (2019/2020)</t>
  </si>
  <si>
    <t>Absolute Change</t>
  </si>
  <si>
    <t>Percentage Change (%)</t>
  </si>
  <si>
    <t>BOMET</t>
  </si>
  <si>
    <t>MUHORONI</t>
  </si>
  <si>
    <t>MBITA</t>
  </si>
  <si>
    <t>MBALE</t>
  </si>
  <si>
    <t>ETAGO</t>
  </si>
  <si>
    <t>MAGENCHE</t>
  </si>
  <si>
    <t>KILGORIS</t>
  </si>
  <si>
    <t>Muhoroni</t>
  </si>
  <si>
    <t>Mbita</t>
  </si>
  <si>
    <t>Mbale</t>
  </si>
  <si>
    <t>Etago</t>
  </si>
  <si>
    <t>Magenche</t>
  </si>
  <si>
    <t>Kilgoris</t>
  </si>
  <si>
    <t>MODOGASHE</t>
  </si>
  <si>
    <t>Modogashe</t>
  </si>
  <si>
    <t>KIPLOMBE</t>
  </si>
  <si>
    <t>NAIBERI</t>
  </si>
  <si>
    <t>KESSES</t>
  </si>
  <si>
    <t>Kiplombe</t>
  </si>
  <si>
    <t>Naiberi</t>
  </si>
  <si>
    <t>Kesses</t>
  </si>
  <si>
    <t>ZIWA</t>
  </si>
  <si>
    <t>SOY</t>
  </si>
  <si>
    <t>MOI'S BRIDGE</t>
  </si>
  <si>
    <t>TURBO</t>
  </si>
  <si>
    <t>KIBISH</t>
  </si>
  <si>
    <t>NAKALALE</t>
  </si>
  <si>
    <t>LOIMA</t>
  </si>
  <si>
    <t>LOKIRIAMA</t>
  </si>
  <si>
    <t>KAINUK</t>
  </si>
  <si>
    <t>KACHELIBA</t>
  </si>
  <si>
    <t>KIWAWA</t>
  </si>
  <si>
    <t>ORTUM</t>
  </si>
  <si>
    <t>KACHIBORA</t>
  </si>
  <si>
    <t>KWANZA</t>
  </si>
  <si>
    <t>KAPLAMAI</t>
  </si>
  <si>
    <t>ELDAMA RAVINE</t>
  </si>
  <si>
    <t>TENGES</t>
  </si>
  <si>
    <t>BARWESSA</t>
  </si>
  <si>
    <t>KIPSARAMAN</t>
  </si>
  <si>
    <t>LORUK</t>
  </si>
  <si>
    <t>KABARTONJO</t>
  </si>
  <si>
    <t>TINDIRET</t>
  </si>
  <si>
    <t>OLESSOS</t>
  </si>
  <si>
    <t>KOBUJOI</t>
  </si>
  <si>
    <t>SEREM</t>
  </si>
  <si>
    <t>KABIYET</t>
  </si>
  <si>
    <t>CHEPTULU</t>
  </si>
  <si>
    <t>SONGOR</t>
  </si>
  <si>
    <t>KAPCHEROP</t>
  </si>
  <si>
    <t>SAMBALAT</t>
  </si>
  <si>
    <t>ARROR</t>
  </si>
  <si>
    <t>TOT</t>
  </si>
  <si>
    <t>KAPTARAKWA</t>
  </si>
  <si>
    <t>ITEN</t>
  </si>
  <si>
    <t>Iten</t>
  </si>
  <si>
    <t>Soy</t>
  </si>
  <si>
    <t>Moi's Bridge</t>
  </si>
  <si>
    <t>Turbo</t>
  </si>
  <si>
    <t>Kibish</t>
  </si>
  <si>
    <t>Nakalale</t>
  </si>
  <si>
    <t>Loima</t>
  </si>
  <si>
    <t>Lokiriama</t>
  </si>
  <si>
    <t>Kainuk</t>
  </si>
  <si>
    <t>Kacheliba</t>
  </si>
  <si>
    <t>Kiwawa</t>
  </si>
  <si>
    <t>Ortum</t>
  </si>
  <si>
    <t>Kachibora</t>
  </si>
  <si>
    <t>Kwanza</t>
  </si>
  <si>
    <t>Kaplamai</t>
  </si>
  <si>
    <t>Eldama Ravine</t>
  </si>
  <si>
    <t>Tenges</t>
  </si>
  <si>
    <t>Barwessa</t>
  </si>
  <si>
    <t>Kipsaraman</t>
  </si>
  <si>
    <t>Loruk</t>
  </si>
  <si>
    <t>Kabartonjo</t>
  </si>
  <si>
    <t>Tindiret</t>
  </si>
  <si>
    <t>O'lessos</t>
  </si>
  <si>
    <t>Kobujoi</t>
  </si>
  <si>
    <t>Serem</t>
  </si>
  <si>
    <t>Kabiyet</t>
  </si>
  <si>
    <t>Cheptulu</t>
  </si>
  <si>
    <t>Songor</t>
  </si>
  <si>
    <t>Kapcherop</t>
  </si>
  <si>
    <t>Sambalat</t>
  </si>
  <si>
    <t>Arror</t>
  </si>
  <si>
    <t>Tot</t>
  </si>
  <si>
    <t>Kaptarakwa</t>
  </si>
  <si>
    <t>Ziwa</t>
  </si>
  <si>
    <t>Mumias</t>
  </si>
  <si>
    <t>MUMIAS</t>
  </si>
  <si>
    <t>Breakdown of the costs of Super Petrol (PMS), Diesel (AGO) and Kerosene (DPK)  in Nairobi: 15th April - 14th May 2020</t>
  </si>
  <si>
    <t>VII.</t>
  </si>
  <si>
    <t>VI</t>
  </si>
  <si>
    <t>Distribution Cost</t>
  </si>
  <si>
    <t>Delivery within 40kms</t>
  </si>
  <si>
    <t>Delivery Within 40kms</t>
  </si>
  <si>
    <t>Subtotal</t>
  </si>
  <si>
    <t>VII</t>
  </si>
  <si>
    <t>Distribution Costs</t>
  </si>
  <si>
    <t>Average Used in Quarter 4 (2019/2020)</t>
  </si>
  <si>
    <t>Total</t>
  </si>
  <si>
    <t>Differential (Kshs/litre)</t>
  </si>
  <si>
    <t>Volume (M3)</t>
  </si>
  <si>
    <t>Retail Price with Levies Vatted (Kshs/litre)</t>
  </si>
  <si>
    <t>Retail Price with Levies not Vatted (Kshs/litre)</t>
  </si>
  <si>
    <t>Wholesale Price with Levies Vatted (Kshs/litre)</t>
  </si>
  <si>
    <t>Wholesale Price with Levies not Vatted (Kshs/litre)</t>
  </si>
  <si>
    <t>+ 5.09</t>
  </si>
  <si>
    <t>14% VAT Inclusive</t>
  </si>
  <si>
    <t>Average Used in Quarter 1 (2020/2021)</t>
  </si>
  <si>
    <t>LESSLevies</t>
  </si>
  <si>
    <t>Lodwar</t>
  </si>
  <si>
    <t>Breakdown of the costs of Super Petrol (PMS), Diesel (AGO) and Kerosene (DPK)  in Nairobi: 15th Oct - 14th Nov 2020</t>
  </si>
  <si>
    <t>Certificate of Confomity (COC)</t>
  </si>
  <si>
    <t>Certificate of Conformity (CoC)</t>
  </si>
  <si>
    <t>Average Used in Quarter 2 (2020/2021)</t>
  </si>
  <si>
    <t>Certificate of Conformity Cost (CoC)</t>
  </si>
  <si>
    <t>Average Used in Quarter 3 (2020/2021)</t>
  </si>
  <si>
    <t>Average Used in Quarter 4 (2020/2021)</t>
  </si>
  <si>
    <t>Retail Investment &amp;Operating Margin</t>
  </si>
  <si>
    <t>KOSF</t>
  </si>
  <si>
    <t>MINJIRA TOWN</t>
  </si>
  <si>
    <t>SAMBURUTOWN</t>
  </si>
  <si>
    <t>TARU TOWN</t>
  </si>
  <si>
    <t>MPEKETONI TOWN</t>
  </si>
  <si>
    <t>GARSEN TOWN</t>
  </si>
  <si>
    <t>MWATATE TOWN</t>
  </si>
  <si>
    <t>WUNDANYI TOWN</t>
  </si>
  <si>
    <t>Mpeketoni</t>
  </si>
  <si>
    <t>Minjila</t>
  </si>
  <si>
    <t>Garsen</t>
  </si>
  <si>
    <t>Samburu</t>
  </si>
  <si>
    <t>Taru</t>
  </si>
  <si>
    <t>Mwatate</t>
  </si>
  <si>
    <t>Wundanji</t>
  </si>
  <si>
    <t>Kaloleni</t>
  </si>
  <si>
    <t>Marereni</t>
  </si>
  <si>
    <t>Matuu</t>
  </si>
  <si>
    <t>Merti</t>
  </si>
  <si>
    <t>Oldonyiro</t>
  </si>
  <si>
    <t>Eldas</t>
  </si>
  <si>
    <t>Bute</t>
  </si>
  <si>
    <t>Hadado</t>
  </si>
  <si>
    <t>Mai Mahiu</t>
  </si>
  <si>
    <t>Doldo</t>
  </si>
  <si>
    <t>Lamuria</t>
  </si>
  <si>
    <t>Rumuruti</t>
  </si>
  <si>
    <t>Sipili</t>
  </si>
  <si>
    <t>Marimanti</t>
  </si>
  <si>
    <t>Mutuobare</t>
  </si>
  <si>
    <t>North Horr</t>
  </si>
  <si>
    <t>Maikona</t>
  </si>
  <si>
    <t>Kalacha</t>
  </si>
  <si>
    <t>Loyangalani</t>
  </si>
  <si>
    <t>Turbi</t>
  </si>
  <si>
    <t>Laisamis</t>
  </si>
  <si>
    <t>Merille</t>
  </si>
  <si>
    <t>Korr</t>
  </si>
  <si>
    <t>Administration Costs</t>
  </si>
  <si>
    <t>Average Used in Quarter 2 (2021/2022)</t>
  </si>
  <si>
    <t>Change from published prices</t>
  </si>
  <si>
    <t>Wamba</t>
  </si>
  <si>
    <t>Kapese</t>
  </si>
  <si>
    <t>Kalemngorok</t>
  </si>
  <si>
    <t>Marich</t>
  </si>
  <si>
    <t>Alale</t>
  </si>
  <si>
    <t>Kunyao</t>
  </si>
  <si>
    <t>Asilong</t>
  </si>
  <si>
    <t>Orolwo</t>
  </si>
  <si>
    <t>Sebit</t>
  </si>
  <si>
    <t>Morpus</t>
  </si>
  <si>
    <t>Chepkorniswo</t>
  </si>
  <si>
    <t>Kaibichbich</t>
  </si>
  <si>
    <t>Keringet</t>
  </si>
  <si>
    <t>Malava</t>
  </si>
  <si>
    <t>Lugari</t>
  </si>
  <si>
    <t>Rodi Kopany</t>
  </si>
  <si>
    <t>Ndhiwa</t>
  </si>
  <si>
    <t>Rangwe</t>
  </si>
  <si>
    <t>Sindo</t>
  </si>
  <si>
    <t>Awasi</t>
  </si>
  <si>
    <t>Ahero</t>
  </si>
  <si>
    <t>Ugunja</t>
  </si>
  <si>
    <t>Asembo</t>
  </si>
  <si>
    <t>Usenge</t>
  </si>
  <si>
    <t>Harambee</t>
  </si>
  <si>
    <t>Muhuru Bay</t>
  </si>
  <si>
    <t>Kehancha</t>
  </si>
  <si>
    <t>Ntimaru</t>
  </si>
  <si>
    <t>Rongo</t>
  </si>
  <si>
    <t>Kaspokwony</t>
  </si>
  <si>
    <t>Chwele</t>
  </si>
  <si>
    <t>Kimilili</t>
  </si>
  <si>
    <t>Nambale</t>
  </si>
  <si>
    <t>SioPort</t>
  </si>
  <si>
    <t>Port Bunyala</t>
  </si>
  <si>
    <t>Funyula</t>
  </si>
  <si>
    <t>Ogembo</t>
  </si>
  <si>
    <t>Nyangusu</t>
  </si>
  <si>
    <t>Sengera</t>
  </si>
  <si>
    <t>Keumbu</t>
  </si>
  <si>
    <t>Marani</t>
  </si>
  <si>
    <t>Kerina</t>
  </si>
  <si>
    <t>Ikonge</t>
  </si>
  <si>
    <t>Nyansiongo</t>
  </si>
  <si>
    <t>MARERENI TOWN</t>
  </si>
  <si>
    <t>KALOLENI TOWN</t>
  </si>
  <si>
    <t>WAMBATOWN</t>
  </si>
  <si>
    <t>ARCHERS POST TOWN</t>
  </si>
  <si>
    <t>LODOSOIT TOWN</t>
  </si>
  <si>
    <t>KORR TOWN</t>
  </si>
  <si>
    <t>MERILLE</t>
  </si>
  <si>
    <t>LAISAMIS</t>
  </si>
  <si>
    <t>TURBI</t>
  </si>
  <si>
    <t>LOYANGALANI</t>
  </si>
  <si>
    <t>KALACHA</t>
  </si>
  <si>
    <t>MAIKONA</t>
  </si>
  <si>
    <t>NORTH HORR</t>
  </si>
  <si>
    <t>MUTUOBARE</t>
  </si>
  <si>
    <t>MARIMANTI</t>
  </si>
  <si>
    <t>SIPILI</t>
  </si>
  <si>
    <t>RUMURUTI</t>
  </si>
  <si>
    <t>LAMURIA</t>
  </si>
  <si>
    <t>DOLDO</t>
  </si>
  <si>
    <t>MAI MAHIU</t>
  </si>
  <si>
    <t>HADADO</t>
  </si>
  <si>
    <t>BUTE</t>
  </si>
  <si>
    <t>ELDAS</t>
  </si>
  <si>
    <t>OLDONYIRO</t>
  </si>
  <si>
    <t>MERTI</t>
  </si>
  <si>
    <t>MATUU</t>
  </si>
  <si>
    <t>KERINGET</t>
  </si>
  <si>
    <t>KAIBICHBICH</t>
  </si>
  <si>
    <t>CHEPKORNISWO</t>
  </si>
  <si>
    <t>MORPUS</t>
  </si>
  <si>
    <t>SERBIT</t>
  </si>
  <si>
    <t>OROLWO</t>
  </si>
  <si>
    <t>ASILONG</t>
  </si>
  <si>
    <t>KUNYAO</t>
  </si>
  <si>
    <t>ALALE</t>
  </si>
  <si>
    <t>MARICH</t>
  </si>
  <si>
    <t>KALEMNGOROK</t>
  </si>
  <si>
    <t>KAPESE</t>
  </si>
  <si>
    <t>Average Used in Quarter 1 (2021/2022)</t>
  </si>
  <si>
    <t>Average Used in Quarter 3 (2021/2022)</t>
  </si>
  <si>
    <t>Average Used in Quarter 1 (2022/2023)</t>
  </si>
  <si>
    <t>DI Collection charges</t>
  </si>
  <si>
    <t>Change from actual  prices</t>
  </si>
  <si>
    <t>Average Used in Quarter 4 (2022/2023)</t>
  </si>
  <si>
    <t>Bank 1</t>
  </si>
  <si>
    <t>Bank 2</t>
  </si>
  <si>
    <t>Bank 3</t>
  </si>
  <si>
    <t>Delivery to retail stations</t>
  </si>
  <si>
    <t>Average Used in Quarter 2 (2022/2023)</t>
  </si>
  <si>
    <t>Average Rate for Commercial Banks</t>
  </si>
  <si>
    <t>CBK</t>
  </si>
  <si>
    <t>[0.19USD*16%VAT]</t>
  </si>
  <si>
    <t>[3.28USD*16%VAT]</t>
  </si>
  <si>
    <t>;</t>
  </si>
  <si>
    <t>Stabilization Delta</t>
  </si>
  <si>
    <t>[1.2%*C&amp;F]</t>
  </si>
  <si>
    <t>GULF ENERGY</t>
  </si>
  <si>
    <t>MT HAFNIA DESPINA</t>
  </si>
  <si>
    <t>VTTI</t>
  </si>
  <si>
    <t>MT TAVISTOCK SQUARE</t>
  </si>
  <si>
    <t>Average Used in Quarter 3 (2022/2023)</t>
  </si>
  <si>
    <t>E3 ENERGY</t>
  </si>
  <si>
    <t>MT TORM HILDE</t>
  </si>
  <si>
    <t>MT JAG PADMA</t>
  </si>
  <si>
    <t>MT ENERGY CENTAUR</t>
  </si>
  <si>
    <t>MT CELSIUS ROME</t>
  </si>
  <si>
    <t>MT PERSEUS STAR</t>
  </si>
  <si>
    <t>MT KARIMATA</t>
  </si>
  <si>
    <t>MT SANMAR SANGEET</t>
  </si>
  <si>
    <t>15  March - 14 April 2023</t>
  </si>
  <si>
    <t>22.02.2023</t>
  </si>
  <si>
    <t>02-04.03.2023</t>
  </si>
  <si>
    <t>30.01.2023</t>
  </si>
  <si>
    <t>10-12.02.2023</t>
  </si>
  <si>
    <t>MT PIS POLARIS</t>
  </si>
  <si>
    <t>MT PHILOXENIA</t>
  </si>
  <si>
    <t>13.02.2023</t>
  </si>
  <si>
    <t>21-23.02.2023</t>
  </si>
  <si>
    <t>MT PHILOXENIA-SOT</t>
  </si>
  <si>
    <t>MT PHILOXENIA-KOSF</t>
  </si>
  <si>
    <t>MT NAKHAL SILVER</t>
  </si>
  <si>
    <t>03.02.2023</t>
  </si>
  <si>
    <t>12-14.02.2023</t>
  </si>
  <si>
    <t>TEXAS</t>
  </si>
  <si>
    <t>MT SEALEGEND</t>
  </si>
  <si>
    <t>02.02.2023</t>
  </si>
  <si>
    <t>11-13.02.2023</t>
  </si>
  <si>
    <t>MT FRONT VEGA</t>
  </si>
  <si>
    <t>08.02.2023</t>
  </si>
  <si>
    <t>18-20.02.2023</t>
  </si>
  <si>
    <t>MT CLEAROCEAN MESQUITE</t>
  </si>
  <si>
    <t>09.02.2023</t>
  </si>
  <si>
    <t>Breakdown of the costs of Super Petrol (PMS), Diesel (AGO) and Kerosene (DPK)  in Nairobi: 15th March - 14th April 2023</t>
  </si>
  <si>
    <t>ORYX ENERGIES</t>
  </si>
  <si>
    <t>MT STI LOTUS</t>
  </si>
  <si>
    <t>23-25.02.2023</t>
  </si>
  <si>
    <t>MT SERENGETI</t>
  </si>
  <si>
    <t>20-22.02.2023</t>
  </si>
  <si>
    <t>MT SERENGETI-VTTI</t>
  </si>
  <si>
    <t>Total Kshs based costs</t>
  </si>
  <si>
    <t>MT SERENGETI-KOSF</t>
  </si>
  <si>
    <t>11.02.2023</t>
  </si>
  <si>
    <t xml:space="preserve">Based on February-March 2023 Pricing </t>
  </si>
  <si>
    <t>TEXAS ENERGY</t>
  </si>
  <si>
    <t>ORYXENERGIES</t>
  </si>
  <si>
    <t>Average for the Month of February 2023</t>
  </si>
  <si>
    <t>MT Sealegend </t>
  </si>
  <si>
    <t>MT  STI LOTUS</t>
  </si>
  <si>
    <t>MT Serengeti</t>
  </si>
  <si>
    <t>MT  Nakhal Silver</t>
  </si>
  <si>
    <t> MT Hafnia Lupus </t>
  </si>
  <si>
    <t xml:space="preserve">Mt Front Vega </t>
  </si>
  <si>
    <t>MT Clearocean Mesquite  - TOP UP</t>
  </si>
  <si>
    <t xml:space="preserve">MT Sanmar Sangeet </t>
  </si>
  <si>
    <t>MT PIS Polaris</t>
  </si>
  <si>
    <t xml:space="preserve">MT Philoxenia  </t>
  </si>
  <si>
    <t>AGO K02/2023</t>
  </si>
  <si>
    <t>AGO K03/2023</t>
  </si>
  <si>
    <t>AGO  V02/2023</t>
  </si>
  <si>
    <t>JETA-1 K03/2023</t>
  </si>
  <si>
    <t>JETA-1K04/2023</t>
  </si>
  <si>
    <t>PMS K03/2023</t>
  </si>
  <si>
    <t>MSP K04/2023</t>
  </si>
  <si>
    <t>S02/2023 AGO</t>
  </si>
  <si>
    <t xml:space="preserve">S02/2023 PMS </t>
  </si>
  <si>
    <t>AGO S03/2023</t>
  </si>
  <si>
    <t>MSP S03/2023</t>
  </si>
  <si>
    <t>Additional Demurrage - PMS S01/2023</t>
  </si>
  <si>
    <t>Additional Demurrage - PMS K01/2023</t>
  </si>
  <si>
    <t>Additional Demurrage - PMS K20/2022</t>
  </si>
  <si>
    <t>Additional Demurrage - PMS K23/2022</t>
  </si>
  <si>
    <t>OTS FINANCING INTEREST-PMS K20/2022</t>
  </si>
  <si>
    <t>OTS FINANCING INTEREST-PMS K22/2022</t>
  </si>
  <si>
    <t>MT SLOANE SQUARE</t>
  </si>
  <si>
    <t>Additional Demurrage-AGO V01/2023</t>
  </si>
  <si>
    <t>Additional Demurrage-AGO K01/2023</t>
  </si>
  <si>
    <t>Additional Demurrage-JET A-1 K02/2023</t>
  </si>
  <si>
    <t>OTS FINANCING INTEREST-JET A1-K12/2022</t>
  </si>
  <si>
    <t>MT JARNAIN</t>
  </si>
  <si>
    <t>MT HAFNIA LUPUS</t>
  </si>
  <si>
    <t>23.02.2023</t>
  </si>
  <si>
    <t>03-05.03.2023</t>
  </si>
  <si>
    <t>Additional Demurrage - PMS K03/2023</t>
  </si>
  <si>
    <t>Additional Demurrage - PMS K02/2023</t>
  </si>
  <si>
    <t>Additional Demurrage-AGO K23/2022</t>
  </si>
  <si>
    <t>Additional Demurrage-JET A-1 K01/2023</t>
  </si>
  <si>
    <t>Actual last month(February-March 2023)</t>
  </si>
  <si>
    <t>Published Prices (February-March 2023)</t>
  </si>
  <si>
    <t>Proposed Published Prices (March-April 2023)</t>
  </si>
  <si>
    <t>Additional Demurrage-AGO S01/2023</t>
  </si>
  <si>
    <t>KOSF/KPRL</t>
  </si>
  <si>
    <t>SOT</t>
  </si>
  <si>
    <t>WEIGHTED AVERAGE COST ( Cu)  FOR THE MONTH OF FEBRUARY 2023(KES/L)</t>
  </si>
  <si>
    <t>March 15 - April 14, 2023</t>
  </si>
  <si>
    <t>February 15 - March 14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</si>
</sst>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5">
    <numFmt numFmtId="5" formatCode="&quot;$&quot;#,##0;\-&quot;$&quot;#,##0"/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_);\(&quot;$&quot;#,##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&quot;£&quot;#,##0;\-&quot;£&quot;#,##0"/>
    <numFmt numFmtId="169" formatCode="_(* #,##0.0000_);_(* \(#,##0.0000\);_(* &quot;-&quot;??_);_(@_)"/>
    <numFmt numFmtId="170" formatCode="_(* #,##0_);_(* \(#,##0\);_(* &quot;-&quot;??_);_(@_)"/>
    <numFmt numFmtId="171" formatCode="_(* #,##0.0_);_(* \(#,##0.0\);_(* &quot;-&quot;??_);_(@_)"/>
    <numFmt numFmtId="172" formatCode="0.00_);\(0.00\)"/>
    <numFmt numFmtId="173" formatCode="_(* #,##0.00000_);_(* \(#,##0.00000\);_(* &quot;-&quot;??_);_(@_)"/>
    <numFmt numFmtId="174" formatCode="_(* #,##0.000_);_(* \(#,##0.000\);_(* &quot;-&quot;??_);_(@_)"/>
    <numFmt numFmtId="175" formatCode="_(* #,##0.000000_);_(* \(#,##0.000000\);_(* &quot;-&quot;??_);_(@_)"/>
    <numFmt numFmtId="176" formatCode="#,##0.000_);\(#,##0.000\)"/>
    <numFmt numFmtId="177" formatCode="[$-409]d/mmm/yyyy;@"/>
    <numFmt numFmtId="178" formatCode="0.0000"/>
    <numFmt numFmtId="179" formatCode="0.000%"/>
    <numFmt numFmtId="180" formatCode="0.0"/>
    <numFmt numFmtId="181" formatCode="0.000"/>
    <numFmt numFmtId="182" formatCode="mm/dd/yy_)"/>
    <numFmt numFmtId="183" formatCode="#,##0;\-#,##0;&quot;-&quot;"/>
    <numFmt numFmtId="184" formatCode="#,##0.0_);\(#,##0.0\)"/>
    <numFmt numFmtId="185" formatCode="##,#0&quot;.&quot;0_);\(##,#0&quot;.&quot;0\)"/>
    <numFmt numFmtId="186" formatCode="_(* ##,#0&quot;.&quot;0,000_);_(* \(##,#0&quot;.&quot;0,000\);_(* &quot;-&quot;??_);_(@_)"/>
    <numFmt numFmtId="187" formatCode="0.0%;[Red]\(0.0%\)"/>
    <numFmt numFmtId="188" formatCode="0&quot;.&quot;0%;[Red]\(0&quot;.&quot;0%\)"/>
    <numFmt numFmtId="189" formatCode="0%;[Red]\(0%\)"/>
    <numFmt numFmtId="190" formatCode="_(&quot;$&quot;* ###,0&quot;.&quot;00_);_(&quot;$&quot;* \(###,0&quot;.&quot;00\);_(&quot;$&quot;* &quot;-&quot;??_);_(@_)"/>
    <numFmt numFmtId="191" formatCode="0.0%;\(0.0%\)"/>
    <numFmt numFmtId="192" formatCode="0&quot;.&quot;0%;\(0&quot;.&quot;0%\)"/>
    <numFmt numFmtId="193" formatCode="0.000_)"/>
    <numFmt numFmtId="194" formatCode="0&quot;.&quot;000_)"/>
    <numFmt numFmtId="195" formatCode="0.00000000"/>
    <numFmt numFmtId="196" formatCode="_-* #,##0.00\ _D_M_-;\-* #,##0.00\ _D_M_-;_-* &quot;-&quot;??\ _D_M_-;_-@_-"/>
    <numFmt numFmtId="197" formatCode="_(* #,##0.000_);_(* \(#,##0.000\);_(* &quot;-&quot;???_);_(@_)"/>
    <numFmt numFmtId="198" formatCode="_(* ###,0&quot;.&quot;00_);_(* \(###,0&quot;.&quot;00\);_(* &quot;-&quot;??_);_(@_)"/>
    <numFmt numFmtId="199" formatCode="_ * #,##0.00_ ;_ * \-#,##0.00_ ;_ * &quot;-&quot;??_ ;_ @_ "/>
    <numFmt numFmtId="200" formatCode="dd/mmm/yyyy_)"/>
    <numFmt numFmtId="201" formatCode="_(&quot;$&quot;\ * #,##0_);_(&quot;$&quot;\ * \(#,##0\);_(&quot;$&quot;\ * &quot;-&quot;_);_(@_)"/>
    <numFmt numFmtId="202" formatCode="_-* #,##0.00\ &quot;DM&quot;_-;\-* #,##0.00\ &quot;DM&quot;_-;_-* &quot;-&quot;??\ &quot;DM&quot;_-;_-@_-"/>
    <numFmt numFmtId="203" formatCode="_-* #,##0\ _F_-;\-* #,##0\ _F_-;_-* &quot;-&quot;\ _F_-;_-@_-"/>
    <numFmt numFmtId="204" formatCode="_-* #,##0.00\ _F_-;\-* #,##0.00\ _F_-;_-* &quot;-&quot;??\ _F_-;_-@_-"/>
    <numFmt numFmtId="205" formatCode="_([$€-2]* #,##0.00_);_([$€-2]* \(#,##0.00\);_([$€-2]* &quot;-&quot;??_)"/>
    <numFmt numFmtId="206" formatCode="_(* #,##0.0_);_(* \(#,##0.0\);_(* &quot;-&quot;?_);_(@_)"/>
    <numFmt numFmtId="207" formatCode="&quot;Rs.&quot;#,##0.00_);\(&quot;Rs.&quot;#,##0.00\)"/>
    <numFmt numFmtId="208" formatCode="#####\ ##\ ##\ ###.00"/>
    <numFmt numFmtId="209" formatCode="##\ ##\ ##\ ###.00"/>
    <numFmt numFmtId="210" formatCode="###\ ##\ ##\ ###.00_);\(###\ ##\ ##\ ###.00\)"/>
    <numFmt numFmtId="211" formatCode="##\ ##\ ##\ ##\ ##0_);\(##\ ##\ ##\ ##\ ##0\)"/>
    <numFmt numFmtId="212" formatCode="0_);[Red]\(0\)"/>
    <numFmt numFmtId="213" formatCode="0.00_)"/>
    <numFmt numFmtId="214" formatCode="_(* #,##0,_);_(* \(#,##0,\);_(* &quot;&quot;&quot;&quot;&quot;&quot;&quot;&quot;&quot;&quot;&quot;&quot;&quot;&quot;&quot;&quot;\-&quot;&quot;&quot;&quot;&quot;&quot;&quot;&quot;&quot;&quot;&quot;&quot;&quot;&quot;&quot;&quot;_)"/>
    <numFmt numFmtId="215" formatCode="_-* ###,0&quot;.&quot;00\ _F_-;\-* ###,0&quot;.&quot;00\ _F_-;_-* &quot;-&quot;??\ _F_-;_-@_-"/>
    <numFmt numFmtId="216" formatCode="_(* #,##0.00000000_);_(* \(#,##0.00000000\);_(* &quot;-&quot;??_);_(@_)"/>
    <numFmt numFmtId="217" formatCode="0%;\(0%\)"/>
    <numFmt numFmtId="218" formatCode="0.0%"/>
    <numFmt numFmtId="219" formatCode="####\ ##.00_);\(####\ ##.00\)"/>
    <numFmt numFmtId="220" formatCode="####\ ##\ ##\ ##0.00_);\(###\ ##\ ##\ ##0.00\)"/>
    <numFmt numFmtId="221" formatCode="###\ ##\ ##\ ##0"/>
    <numFmt numFmtId="222" formatCode="###\ ##\ ##\ ###"/>
    <numFmt numFmtId="223" formatCode="_-* #,##0.0_-;\-* #,##0.0_-;_-* &quot;-&quot;??_-;_-@_-"/>
    <numFmt numFmtId="224" formatCode="mmmm/yy"/>
    <numFmt numFmtId="225" formatCode="&quot;   &quot;@"/>
    <numFmt numFmtId="226" formatCode="_(* #,##0_);_(* \(#,##0\);_(* &quot;-&quot;_)"/>
    <numFmt numFmtId="227" formatCode="&quot;\&quot;#,##0.00;[Red]&quot;\&quot;\-#,##0.00"/>
    <numFmt numFmtId="228" formatCode="&quot;\&quot;#,##0;[Red]&quot;\&quot;\-#,##0"/>
    <numFmt numFmtId="229" formatCode="#,##0.00000_);\(#,##0.00000\)"/>
    <numFmt numFmtId="230" formatCode="mm/dd/yy"/>
    <numFmt numFmtId="231" formatCode="[$-409]mmmm\ d\,\ yyyy;@"/>
    <numFmt numFmtId="232" formatCode="[h]:mm"/>
    <numFmt numFmtId="233" formatCode="dd/mm/yyyy;@"/>
    <numFmt numFmtId="234" formatCode="0.00000"/>
    <numFmt numFmtId="235" formatCode="0.000000000"/>
    <numFmt numFmtId="236" formatCode="yyyy/mm/dd;@"/>
    <numFmt numFmtId="237" formatCode="0.0000000"/>
    <numFmt numFmtId="238" formatCode="dd/mm/yy;@"/>
    <numFmt numFmtId="239" formatCode="mmm\-yyyy"/>
    <numFmt numFmtId="240" formatCode="[$-F800]dddd\,\ mmmm\ dd\,\ yyyy"/>
    <numFmt numFmtId="241" formatCode="0.000000"/>
    <numFmt numFmtId="242" formatCode="#,##0.00_);\(#,##0.00\)"/>
    <numFmt numFmtId="243" formatCode="0.00000000000000"/>
    <numFmt numFmtId="244" formatCode="_-* #,##0.00000_-;\-* #,##0.00000_-;_-* &quot;-&quot;??_-;_-@_-"/>
    <numFmt numFmtId="245" formatCode="#,##0.00_ ;\-#,##0.00\ "/>
    <numFmt numFmtId="246" formatCode="_-* #,##0.0000_-;\-* #,##0.0000_-;_-* &quot;-&quot;??_-;_-@_-"/>
    <numFmt numFmtId="247" formatCode="_-* #,##0.0000000_-;\-* #,##0.0000000_-;_-* &quot;-&quot;??_-;_-@_-"/>
    <numFmt numFmtId="248" formatCode="m/d/yy;@"/>
    <numFmt numFmtId="249" formatCode="#,##0.0_ ;\-#,##0.0\ "/>
    <numFmt numFmtId="250" formatCode="0.000000000000"/>
    <numFmt numFmtId="251" formatCode="0.0000%"/>
    <numFmt numFmtId="252" formatCode="_-* #,##0.000_-;\-* #,##0.000_-;_-* &quot;-&quot;???_-;_-@_-"/>
    <numFmt numFmtId="253" formatCode="0.000000000000000"/>
  </numFmts>
  <fonts count="1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Palatino Linotype"/>
      <family val="2"/>
    </font>
    <font>
      <sz val="11"/>
      <color theme="1"/>
      <name val="Book Antiqua"/>
      <family val="1"/>
    </font>
    <font>
      <b/>
      <sz val="14"/>
      <color theme="1"/>
      <name val="Book Antiqua"/>
      <family val="1"/>
    </font>
    <font>
      <b/>
      <sz val="11"/>
      <color theme="1"/>
      <name val="Book Antiqua"/>
      <family val="1"/>
    </font>
    <font>
      <b/>
      <sz val="24"/>
      <color theme="1"/>
      <name val="Book Antiqua"/>
      <family val="1"/>
    </font>
    <font>
      <b/>
      <u/>
      <sz val="11"/>
      <color theme="1"/>
      <name val="Book Antiqua"/>
      <family val="1"/>
    </font>
    <font>
      <b/>
      <i/>
      <sz val="11"/>
      <color theme="1"/>
      <name val="Book Antiqua"/>
      <family val="1"/>
    </font>
    <font>
      <sz val="11"/>
      <color rgb="FFFA7D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color indexed="12"/>
      <name val="Arial"/>
      <family val="2"/>
    </font>
    <font>
      <sz val="11"/>
      <color indexed="10"/>
      <name val="Calibri"/>
      <family val="2"/>
    </font>
    <font>
      <sz val="11"/>
      <color indexed="20"/>
      <name val="Calibri"/>
      <family val="2"/>
    </font>
    <font>
      <b/>
      <sz val="10"/>
      <name val="Arial"/>
      <family val="2"/>
      <charset val="178"/>
    </font>
    <font>
      <sz val="10"/>
      <color indexed="12"/>
      <name val="Times New Roman"/>
      <family val="1"/>
    </font>
    <font>
      <sz val="12"/>
      <name val="Tms Rmn"/>
    </font>
    <font>
      <sz val="12"/>
      <name val="Times"/>
      <family val="1"/>
    </font>
    <font>
      <b/>
      <sz val="10"/>
      <name val="MS Sans Serif"/>
      <family val="2"/>
    </font>
    <font>
      <sz val="10"/>
      <name val="Helv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name val="Tms Rmn"/>
    </font>
    <font>
      <sz val="11"/>
      <name val="Times"/>
      <family val="1"/>
    </font>
    <font>
      <sz val="10"/>
      <name val="Verdana"/>
      <family val="2"/>
    </font>
    <font>
      <sz val="10"/>
      <color indexed="0"/>
      <name val="MS Sans Serif"/>
      <family val="2"/>
    </font>
    <font>
      <sz val="10"/>
      <color indexed="24"/>
      <name val="Arial"/>
      <family val="2"/>
    </font>
    <font>
      <sz val="12"/>
      <name val="Helv"/>
    </font>
    <font>
      <sz val="10"/>
      <name val="MS Sans Serif"/>
      <family val="2"/>
    </font>
    <font>
      <sz val="10"/>
      <name val="MS Serif"/>
      <family val="1"/>
    </font>
    <font>
      <b/>
      <sz val="10"/>
      <name val="Times New Roman"/>
      <family val="1"/>
    </font>
    <font>
      <b/>
      <sz val="11"/>
      <color indexed="8"/>
      <name val="Calibri"/>
      <family val="2"/>
    </font>
    <font>
      <sz val="10"/>
      <color indexed="16"/>
      <name val="MS Serif"/>
      <family val="1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0"/>
      <name val="Times New Roman"/>
      <family val="1"/>
    </font>
    <font>
      <sz val="11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sz val="8"/>
      <name val="Arial"/>
      <family val="2"/>
      <charset val="178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12"/>
      <name val="Times New Roman"/>
      <family val="1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  <charset val="178"/>
    </font>
    <font>
      <b/>
      <i/>
      <sz val="16"/>
      <name val="Helv"/>
    </font>
    <font>
      <sz val="10"/>
      <name val="Courier"/>
      <family val="3"/>
    </font>
    <font>
      <sz val="10"/>
      <name val="Arial"/>
      <family val="2"/>
    </font>
    <font>
      <i/>
      <sz val="9"/>
      <color indexed="12"/>
      <name val="Helv"/>
    </font>
    <font>
      <b/>
      <i/>
      <sz val="10"/>
      <name val="Arial"/>
      <family val="2"/>
    </font>
    <font>
      <b/>
      <sz val="11"/>
      <color indexed="63"/>
      <name val="Calibri"/>
      <family val="2"/>
    </font>
    <font>
      <sz val="8"/>
      <name val="Helv"/>
    </font>
    <font>
      <sz val="11.5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b/>
      <sz val="8"/>
      <name val="Arial"/>
      <family val="2"/>
    </font>
    <font>
      <sz val="10"/>
      <color indexed="39"/>
      <name val="Arial"/>
      <family val="2"/>
    </font>
    <font>
      <b/>
      <sz val="12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  <font>
      <b/>
      <sz val="9"/>
      <color indexed="8"/>
      <name val="Calibri"/>
      <family val="2"/>
    </font>
    <font>
      <b/>
      <sz val="11"/>
      <color indexed="39"/>
      <name val="Arial"/>
      <family val="2"/>
    </font>
    <font>
      <sz val="9"/>
      <color indexed="8"/>
      <name val="Arial"/>
      <family val="2"/>
    </font>
    <font>
      <sz val="9"/>
      <color indexed="39"/>
      <name val="Arial"/>
      <family val="2"/>
    </font>
    <font>
      <b/>
      <sz val="10"/>
      <color indexed="10"/>
      <name val="Arial"/>
      <family val="2"/>
    </font>
    <font>
      <sz val="9"/>
      <color indexed="10"/>
      <name val="Arial"/>
      <family val="2"/>
    </font>
    <font>
      <sz val="9"/>
      <color indexed="33"/>
      <name val="Arial"/>
      <family val="2"/>
    </font>
    <font>
      <b/>
      <sz val="8"/>
      <color indexed="8"/>
      <name val="Helv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0"/>
      <color indexed="19"/>
      <name val="Arial"/>
      <family val="2"/>
    </font>
    <font>
      <sz val="12"/>
      <name val="뼻뮝"/>
      <family val="3"/>
      <charset val="129"/>
    </font>
    <font>
      <sz val="12"/>
      <name val="바탕체"/>
      <family val="1"/>
      <charset val="129"/>
    </font>
    <font>
      <sz val="11"/>
      <name val="ＭＳ 明朝"/>
      <family val="1"/>
      <charset val="128"/>
    </font>
    <font>
      <sz val="10"/>
      <name val="ＭＳ ゴシック"/>
      <family val="3"/>
      <charset val="128"/>
    </font>
    <font>
      <u/>
      <sz val="11"/>
      <color theme="1"/>
      <name val="Book Antiqua"/>
      <family val="1"/>
    </font>
    <font>
      <sz val="12"/>
      <name val="Arial"/>
      <family val="2"/>
    </font>
    <font>
      <sz val="10"/>
      <color theme="1"/>
      <name val="Palatino Linotype"/>
      <family val="1"/>
    </font>
    <font>
      <sz val="10"/>
      <name val="Palatino Linotype"/>
      <family val="1"/>
    </font>
    <font>
      <b/>
      <sz val="10"/>
      <color theme="1"/>
      <name val="Palatino Linotype"/>
      <family val="1"/>
    </font>
    <font>
      <b/>
      <sz val="10"/>
      <name val="Palatino Linotype"/>
      <family val="1"/>
    </font>
    <font>
      <sz val="10"/>
      <color rgb="FF222222"/>
      <name val="Palatino Linotype"/>
      <family val="1"/>
    </font>
    <font>
      <b/>
      <u/>
      <sz val="10"/>
      <color theme="1"/>
      <name val="Palatino Linotype"/>
      <family val="1"/>
    </font>
    <font>
      <b/>
      <sz val="10"/>
      <color rgb="FFFF0000"/>
      <name val="Palatino Linotype"/>
      <family val="1"/>
    </font>
    <font>
      <sz val="10"/>
      <color rgb="FFFF0000"/>
      <name val="Palatino Linotype"/>
      <family val="1"/>
    </font>
    <font>
      <i/>
      <sz val="10"/>
      <color theme="1"/>
      <name val="Palatino Linotype"/>
      <family val="1"/>
    </font>
    <font>
      <sz val="10"/>
      <color indexed="10"/>
      <name val="Palatino Linotype"/>
      <family val="1"/>
    </font>
    <font>
      <b/>
      <sz val="10"/>
      <color indexed="10"/>
      <name val="Palatino Linotype"/>
      <family val="1"/>
    </font>
    <font>
      <b/>
      <sz val="10"/>
      <color indexed="12"/>
      <name val="Palatino Linotype"/>
      <family val="1"/>
    </font>
    <font>
      <sz val="10"/>
      <color indexed="12"/>
      <name val="Palatino Linotype"/>
      <family val="1"/>
    </font>
    <font>
      <u/>
      <sz val="10"/>
      <color theme="1"/>
      <name val="Palatino Linotype"/>
      <family val="1"/>
    </font>
    <font>
      <b/>
      <sz val="10"/>
      <color rgb="FF0070C0"/>
      <name val="Palatino Linotype"/>
      <family val="1"/>
    </font>
    <font>
      <sz val="10"/>
      <color rgb="FF0070C0"/>
      <name val="Palatino Linotype"/>
      <family val="1"/>
    </font>
    <font>
      <b/>
      <u/>
      <sz val="10"/>
      <color rgb="FF0000FF"/>
      <name val="Palatino Linotype"/>
      <family val="1"/>
    </font>
    <font>
      <b/>
      <sz val="10"/>
      <color rgb="FF0000FF"/>
      <name val="Palatino Linotype"/>
      <family val="1"/>
    </font>
    <font>
      <b/>
      <vertAlign val="superscript"/>
      <sz val="10"/>
      <color theme="1"/>
      <name val="Palatino Linotype"/>
      <family val="1"/>
    </font>
    <font>
      <sz val="10"/>
      <color rgb="FF000000"/>
      <name val="Palatino Linotype"/>
      <family val="1"/>
    </font>
  </fonts>
  <fills count="9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62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57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1"/>
        <bgColor indexed="4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mediumGray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</fills>
  <borders count="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double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56"/>
      </top>
      <bottom style="medium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005">
    <xf numFmtId="0" fontId="0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9" fontId="4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7" fillId="0" borderId="0"/>
    <xf numFmtId="167" fontId="7" fillId="0" borderId="0" applyFont="0" applyFill="0" applyBorder="0" applyAlignment="0" applyProtection="0"/>
    <xf numFmtId="177" fontId="2" fillId="0" borderId="0"/>
    <xf numFmtId="176" fontId="2" fillId="0" borderId="0"/>
    <xf numFmtId="177" fontId="2" fillId="0" borderId="0"/>
    <xf numFmtId="176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6" fontId="2" fillId="0" borderId="0"/>
    <xf numFmtId="0" fontId="2" fillId="0" borderId="0"/>
    <xf numFmtId="0" fontId="5" fillId="0" borderId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5" fillId="0" borderId="0" applyProtection="0">
      <protection locked="0"/>
    </xf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17" fillId="36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7" borderId="0" applyNumberFormat="0" applyBorder="0" applyAlignment="0" applyProtection="0"/>
    <xf numFmtId="0" fontId="17" fillId="38" borderId="0" applyNumberFormat="0" applyBorder="0" applyAlignment="0" applyProtection="0"/>
    <xf numFmtId="0" fontId="17" fillId="39" borderId="0" applyNumberFormat="0" applyBorder="0" applyAlignment="0" applyProtection="0"/>
    <xf numFmtId="0" fontId="17" fillId="36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7" borderId="0" applyNumberFormat="0" applyBorder="0" applyAlignment="0" applyProtection="0"/>
    <xf numFmtId="0" fontId="17" fillId="38" borderId="0" applyNumberFormat="0" applyBorder="0" applyAlignment="0" applyProtection="0"/>
    <xf numFmtId="0" fontId="17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7" fillId="46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7" fillId="50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6" fillId="52" borderId="0" applyNumberFormat="0" applyBorder="0" applyAlignment="0" applyProtection="0"/>
    <xf numFmtId="0" fontId="16" fillId="52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7" fillId="53" borderId="0" applyNumberFormat="0" applyBorder="0" applyAlignment="0" applyProtection="0"/>
    <xf numFmtId="0" fontId="17" fillId="54" borderId="0" applyNumberFormat="0" applyBorder="0" applyAlignment="0" applyProtection="0"/>
    <xf numFmtId="0" fontId="17" fillId="54" borderId="0" applyNumberFormat="0" applyBorder="0" applyAlignment="0" applyProtection="0"/>
    <xf numFmtId="0" fontId="17" fillId="54" borderId="0" applyNumberFormat="0" applyBorder="0" applyAlignment="0" applyProtection="0"/>
    <xf numFmtId="0" fontId="17" fillId="54" borderId="0" applyNumberFormat="0" applyBorder="0" applyAlignment="0" applyProtection="0"/>
    <xf numFmtId="0" fontId="18" fillId="0" borderId="0" applyNumberFormat="0" applyFill="0" applyBorder="0" applyAlignment="0">
      <protection locked="0"/>
    </xf>
    <xf numFmtId="0" fontId="19" fillId="0" borderId="0" applyNumberFormat="0" applyFill="0" applyBorder="0" applyAlignment="0" applyProtection="0"/>
    <xf numFmtId="0" fontId="20" fillId="27" borderId="0" applyNumberFormat="0" applyBorder="0" applyAlignment="0" applyProtection="0"/>
    <xf numFmtId="0" fontId="21" fillId="0" borderId="0"/>
    <xf numFmtId="0" fontId="3" fillId="0" borderId="0"/>
    <xf numFmtId="182" fontId="22" fillId="55" borderId="75" applyNumberFormat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64" fontId="25" fillId="0" borderId="44" applyAlignment="0" applyProtection="0"/>
    <xf numFmtId="164" fontId="25" fillId="0" borderId="44" applyAlignment="0" applyProtection="0"/>
    <xf numFmtId="164" fontId="25" fillId="0" borderId="44" applyAlignment="0" applyProtection="0"/>
    <xf numFmtId="164" fontId="25" fillId="0" borderId="44" applyAlignment="0" applyProtection="0"/>
    <xf numFmtId="183" fontId="15" fillId="0" borderId="0" applyFill="0" applyBorder="0" applyAlignment="0"/>
    <xf numFmtId="183" fontId="15" fillId="0" borderId="0" applyFill="0" applyBorder="0" applyAlignment="0"/>
    <xf numFmtId="184" fontId="26" fillId="0" borderId="0" applyFill="0" applyBorder="0" applyAlignment="0"/>
    <xf numFmtId="185" fontId="26" fillId="0" borderId="0" applyFill="0" applyBorder="0" applyAlignment="0"/>
    <xf numFmtId="169" fontId="26" fillId="0" borderId="0" applyFill="0" applyBorder="0" applyAlignment="0"/>
    <xf numFmtId="186" fontId="26" fillId="0" borderId="0" applyFill="0" applyBorder="0" applyAlignment="0"/>
    <xf numFmtId="187" fontId="26" fillId="0" borderId="0" applyFill="0" applyBorder="0" applyAlignment="0"/>
    <xf numFmtId="188" fontId="26" fillId="0" borderId="0" applyFill="0" applyBorder="0" applyAlignment="0"/>
    <xf numFmtId="189" fontId="26" fillId="0" borderId="0" applyFill="0" applyBorder="0" applyAlignment="0"/>
    <xf numFmtId="166" fontId="26" fillId="0" borderId="0" applyFill="0" applyBorder="0" applyAlignment="0"/>
    <xf numFmtId="190" fontId="26" fillId="0" borderId="0" applyFill="0" applyBorder="0" applyAlignment="0"/>
    <xf numFmtId="191" fontId="26" fillId="0" borderId="0" applyFill="0" applyBorder="0" applyAlignment="0"/>
    <xf numFmtId="192" fontId="26" fillId="0" borderId="0" applyFill="0" applyBorder="0" applyAlignment="0"/>
    <xf numFmtId="184" fontId="26" fillId="0" borderId="0" applyFill="0" applyBorder="0" applyAlignment="0"/>
    <xf numFmtId="185" fontId="26" fillId="0" borderId="0" applyFill="0" applyBorder="0" applyAlignment="0"/>
    <xf numFmtId="0" fontId="27" fillId="56" borderId="76" applyNumberFormat="0" applyAlignment="0" applyProtection="0"/>
    <xf numFmtId="0" fontId="27" fillId="56" borderId="76" applyNumberFormat="0" applyAlignment="0" applyProtection="0"/>
    <xf numFmtId="0" fontId="27" fillId="56" borderId="76" applyNumberFormat="0" applyAlignment="0" applyProtection="0"/>
    <xf numFmtId="0" fontId="28" fillId="0" borderId="77" applyNumberFormat="0" applyFill="0" applyAlignment="0" applyProtection="0"/>
    <xf numFmtId="0" fontId="29" fillId="57" borderId="78" applyNumberFormat="0" applyAlignment="0" applyProtection="0"/>
    <xf numFmtId="193" fontId="30" fillId="0" borderId="0"/>
    <xf numFmtId="193" fontId="31" fillId="0" borderId="0"/>
    <xf numFmtId="194" fontId="30" fillId="0" borderId="0"/>
    <xf numFmtId="193" fontId="30" fillId="0" borderId="0"/>
    <xf numFmtId="193" fontId="31" fillId="0" borderId="0"/>
    <xf numFmtId="194" fontId="30" fillId="0" borderId="0"/>
    <xf numFmtId="193" fontId="30" fillId="0" borderId="0"/>
    <xf numFmtId="193" fontId="31" fillId="0" borderId="0"/>
    <xf numFmtId="194" fontId="30" fillId="0" borderId="0"/>
    <xf numFmtId="193" fontId="30" fillId="0" borderId="0"/>
    <xf numFmtId="193" fontId="31" fillId="0" borderId="0"/>
    <xf numFmtId="194" fontId="30" fillId="0" borderId="0"/>
    <xf numFmtId="193" fontId="30" fillId="0" borderId="0"/>
    <xf numFmtId="193" fontId="31" fillId="0" borderId="0"/>
    <xf numFmtId="194" fontId="30" fillId="0" borderId="0"/>
    <xf numFmtId="193" fontId="30" fillId="0" borderId="0"/>
    <xf numFmtId="193" fontId="31" fillId="0" borderId="0"/>
    <xf numFmtId="194" fontId="30" fillId="0" borderId="0"/>
    <xf numFmtId="193" fontId="30" fillId="0" borderId="0"/>
    <xf numFmtId="193" fontId="31" fillId="0" borderId="0"/>
    <xf numFmtId="194" fontId="30" fillId="0" borderId="0"/>
    <xf numFmtId="193" fontId="30" fillId="0" borderId="0"/>
    <xf numFmtId="193" fontId="31" fillId="0" borderId="0"/>
    <xf numFmtId="194" fontId="30" fillId="0" borderId="0"/>
    <xf numFmtId="166" fontId="26" fillId="0" borderId="0" applyFont="0" applyFill="0" applyBorder="0" applyAlignment="0" applyProtection="0"/>
    <xf numFmtId="190" fontId="26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67" fontId="2" fillId="0" borderId="0" applyFont="0" applyFill="0" applyBorder="0" applyAlignment="0" applyProtection="0"/>
    <xf numFmtId="195" fontId="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32" fillId="0" borderId="0" applyFont="0" applyFill="0" applyBorder="0" applyAlignment="0" applyProtection="0"/>
    <xf numFmtId="196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7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5" fillId="0" borderId="0" applyFont="0" applyFill="0" applyBorder="0" applyAlignment="0" applyProtection="0"/>
    <xf numFmtId="198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99" fontId="2" fillId="0" borderId="0" applyFont="0" applyFill="0" applyBorder="0" applyAlignment="0" applyProtection="0"/>
    <xf numFmtId="167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98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200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26" fillId="0" borderId="0"/>
    <xf numFmtId="0" fontId="24" fillId="0" borderId="0"/>
    <xf numFmtId="3" fontId="34" fillId="0" borderId="0" applyFont="0" applyFill="0" applyBorder="0" applyAlignment="0" applyProtection="0"/>
    <xf numFmtId="0" fontId="35" fillId="0" borderId="0"/>
    <xf numFmtId="0" fontId="5" fillId="58" borderId="79" applyNumberFormat="0" applyFont="0" applyAlignment="0" applyProtection="0"/>
    <xf numFmtId="38" fontId="36" fillId="0" borderId="0" applyFont="0" applyFill="0" applyBorder="0" applyAlignment="0" applyProtection="0"/>
    <xf numFmtId="0" fontId="37" fillId="0" borderId="0" applyNumberFormat="0" applyAlignment="0">
      <alignment horizontal="left"/>
    </xf>
    <xf numFmtId="0" fontId="4" fillId="0" borderId="0" applyNumberFormat="0" applyFill="0" applyBorder="0" applyAlignment="0" applyProtection="0"/>
    <xf numFmtId="0" fontId="35" fillId="0" borderId="0"/>
    <xf numFmtId="0" fontId="26" fillId="0" borderId="80"/>
    <xf numFmtId="201" fontId="38" fillId="0" borderId="81" applyBorder="0"/>
    <xf numFmtId="184" fontId="26" fillId="0" borderId="0" applyFont="0" applyFill="0" applyBorder="0" applyAlignment="0" applyProtection="0"/>
    <xf numFmtId="185" fontId="26" fillId="0" borderId="0" applyFont="0" applyFill="0" applyBorder="0" applyAlignment="0" applyProtection="0"/>
    <xf numFmtId="166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202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>
      <protection locked="0"/>
    </xf>
    <xf numFmtId="0" fontId="33" fillId="0" borderId="0" applyNumberFormat="0" applyFill="0" applyBorder="0" applyAlignment="0" applyProtection="0"/>
    <xf numFmtId="42" fontId="5" fillId="0" borderId="0" applyFont="0" applyFill="0" applyBorder="0" applyAlignment="0" applyProtection="0"/>
    <xf numFmtId="195" fontId="4" fillId="0" borderId="0">
      <protection locked="0"/>
    </xf>
    <xf numFmtId="14" fontId="15" fillId="0" borderId="0" applyFill="0" applyBorder="0" applyAlignment="0"/>
    <xf numFmtId="0" fontId="34" fillId="0" borderId="0" applyFont="0" applyFill="0" applyBorder="0" applyAlignment="0" applyProtection="0"/>
    <xf numFmtId="203" fontId="5" fillId="0" borderId="0" applyFont="0" applyFill="0" applyBorder="0" applyAlignment="0" applyProtection="0"/>
    <xf numFmtId="204" fontId="5" fillId="0" borderId="0" applyFont="0" applyFill="0" applyBorder="0" applyAlignment="0" applyProtection="0"/>
    <xf numFmtId="0" fontId="39" fillId="59" borderId="0" applyNumberFormat="0" applyBorder="0" applyAlignment="0" applyProtection="0"/>
    <xf numFmtId="0" fontId="39" fillId="60" borderId="0" applyNumberFormat="0" applyBorder="0" applyAlignment="0" applyProtection="0"/>
    <xf numFmtId="0" fontId="39" fillId="61" borderId="0" applyNumberFormat="0" applyBorder="0" applyAlignment="0" applyProtection="0"/>
    <xf numFmtId="166" fontId="26" fillId="0" borderId="0" applyFill="0" applyBorder="0" applyAlignment="0"/>
    <xf numFmtId="190" fontId="26" fillId="0" borderId="0" applyFill="0" applyBorder="0" applyAlignment="0"/>
    <xf numFmtId="184" fontId="26" fillId="0" borderId="0" applyFill="0" applyBorder="0" applyAlignment="0"/>
    <xf numFmtId="185" fontId="26" fillId="0" borderId="0" applyFill="0" applyBorder="0" applyAlignment="0"/>
    <xf numFmtId="166" fontId="26" fillId="0" borderId="0" applyFill="0" applyBorder="0" applyAlignment="0"/>
    <xf numFmtId="190" fontId="26" fillId="0" borderId="0" applyFill="0" applyBorder="0" applyAlignment="0"/>
    <xf numFmtId="191" fontId="26" fillId="0" borderId="0" applyFill="0" applyBorder="0" applyAlignment="0"/>
    <xf numFmtId="192" fontId="26" fillId="0" borderId="0" applyFill="0" applyBorder="0" applyAlignment="0"/>
    <xf numFmtId="184" fontId="26" fillId="0" borderId="0" applyFill="0" applyBorder="0" applyAlignment="0"/>
    <xf numFmtId="185" fontId="26" fillId="0" borderId="0" applyFill="0" applyBorder="0" applyAlignment="0"/>
    <xf numFmtId="0" fontId="40" fillId="0" borderId="0" applyNumberFormat="0" applyAlignment="0">
      <alignment horizontal="left"/>
    </xf>
    <xf numFmtId="0" fontId="41" fillId="31" borderId="76" applyNumberFormat="0" applyAlignment="0" applyProtection="0"/>
    <xf numFmtId="205" fontId="5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35" fillId="0" borderId="0"/>
    <xf numFmtId="0" fontId="24" fillId="0" borderId="0"/>
    <xf numFmtId="0" fontId="24" fillId="0" borderId="0"/>
    <xf numFmtId="169" fontId="4" fillId="0" borderId="0">
      <protection locked="0"/>
    </xf>
    <xf numFmtId="0" fontId="35" fillId="0" borderId="0"/>
    <xf numFmtId="0" fontId="43" fillId="0" borderId="18" applyNumberFormat="0" applyFill="0" applyBorder="0" applyAlignment="0" applyProtection="0">
      <protection locked="0"/>
    </xf>
    <xf numFmtId="169" fontId="44" fillId="0" borderId="0">
      <alignment horizontal="right"/>
    </xf>
    <xf numFmtId="2" fontId="5" fillId="0" borderId="0"/>
    <xf numFmtId="0" fontId="45" fillId="28" borderId="0" applyNumberFormat="0" applyBorder="0" applyAlignment="0" applyProtection="0"/>
    <xf numFmtId="38" fontId="46" fillId="62" borderId="0" applyNumberFormat="0" applyBorder="0" applyAlignment="0" applyProtection="0"/>
    <xf numFmtId="38" fontId="47" fillId="62" borderId="0" applyNumberFormat="0" applyBorder="0" applyAlignment="0" applyProtection="0"/>
    <xf numFmtId="0" fontId="48" fillId="0" borderId="0">
      <alignment horizontal="left"/>
    </xf>
    <xf numFmtId="0" fontId="49" fillId="0" borderId="6" applyNumberFormat="0" applyAlignment="0" applyProtection="0">
      <alignment horizontal="left" vertical="center"/>
    </xf>
    <xf numFmtId="0" fontId="49" fillId="0" borderId="65">
      <alignment horizontal="left" vertical="center"/>
    </xf>
    <xf numFmtId="0" fontId="49" fillId="0" borderId="65">
      <alignment horizontal="left" vertical="center"/>
    </xf>
    <xf numFmtId="0" fontId="49" fillId="0" borderId="65">
      <alignment horizontal="left" vertical="center"/>
    </xf>
    <xf numFmtId="0" fontId="49" fillId="0" borderId="65">
      <alignment horizontal="left" vertical="center"/>
    </xf>
    <xf numFmtId="0" fontId="50" fillId="0" borderId="82" applyNumberFormat="0" applyFill="0" applyAlignment="0" applyProtection="0"/>
    <xf numFmtId="0" fontId="50" fillId="0" borderId="82" applyNumberFormat="0" applyFill="0" applyAlignment="0" applyProtection="0"/>
    <xf numFmtId="0" fontId="51" fillId="0" borderId="83" applyNumberFormat="0" applyFill="0" applyAlignment="0" applyProtection="0"/>
    <xf numFmtId="0" fontId="51" fillId="0" borderId="83" applyNumberFormat="0" applyFill="0" applyAlignment="0" applyProtection="0"/>
    <xf numFmtId="0" fontId="52" fillId="0" borderId="84" applyNumberFormat="0" applyFill="0" applyAlignment="0" applyProtection="0"/>
    <xf numFmtId="0" fontId="52" fillId="0" borderId="0" applyNumberFormat="0" applyFill="0" applyBorder="0" applyAlignment="0" applyProtection="0"/>
    <xf numFmtId="206" fontId="4" fillId="0" borderId="0">
      <protection locked="0"/>
    </xf>
    <xf numFmtId="206" fontId="4" fillId="0" borderId="0">
      <protection locked="0"/>
    </xf>
    <xf numFmtId="0" fontId="5" fillId="0" borderId="0">
      <alignment horizontal="center"/>
    </xf>
    <xf numFmtId="0" fontId="53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207" fontId="5" fillId="0" borderId="0" applyProtection="0">
      <alignment horizontal="center"/>
    </xf>
    <xf numFmtId="208" fontId="5" fillId="0" borderId="0" applyFont="0" applyFill="0" applyBorder="0" applyAlignment="0" applyProtection="0"/>
    <xf numFmtId="10" fontId="46" fillId="63" borderId="1" applyNumberFormat="0" applyBorder="0" applyAlignment="0" applyProtection="0"/>
    <xf numFmtId="10" fontId="47" fillId="63" borderId="1" applyNumberFormat="0" applyBorder="0" applyAlignment="0" applyProtection="0"/>
    <xf numFmtId="10" fontId="46" fillId="63" borderId="1" applyNumberFormat="0" applyBorder="0" applyAlignment="0" applyProtection="0"/>
    <xf numFmtId="10" fontId="46" fillId="63" borderId="1" applyNumberFormat="0" applyBorder="0" applyAlignment="0" applyProtection="0"/>
    <xf numFmtId="10" fontId="46" fillId="63" borderId="1" applyNumberFormat="0" applyBorder="0" applyAlignment="0" applyProtection="0"/>
    <xf numFmtId="0" fontId="41" fillId="31" borderId="76" applyNumberFormat="0" applyAlignment="0" applyProtection="0"/>
    <xf numFmtId="0" fontId="41" fillId="31" borderId="76" applyNumberFormat="0" applyAlignment="0" applyProtection="0"/>
    <xf numFmtId="0" fontId="41" fillId="31" borderId="76" applyNumberFormat="0" applyAlignment="0" applyProtection="0"/>
    <xf numFmtId="0" fontId="41" fillId="31" borderId="76" applyNumberFormat="0" applyAlignment="0" applyProtection="0"/>
    <xf numFmtId="0" fontId="41" fillId="31" borderId="76" applyNumberFormat="0" applyAlignment="0" applyProtection="0"/>
    <xf numFmtId="0" fontId="41" fillId="31" borderId="76" applyNumberFormat="0" applyAlignment="0" applyProtection="0"/>
    <xf numFmtId="0" fontId="18" fillId="0" borderId="0" applyNumberFormat="0" applyFill="0" applyBorder="0" applyAlignment="0">
      <protection locked="0"/>
    </xf>
    <xf numFmtId="0" fontId="4" fillId="0" borderId="0"/>
    <xf numFmtId="181" fontId="4" fillId="0" borderId="0" applyFont="0" applyFill="0" applyBorder="0" applyAlignment="0" applyProtection="0"/>
    <xf numFmtId="209" fontId="4" fillId="0" borderId="29" applyFont="0" applyBorder="0" applyAlignment="0"/>
    <xf numFmtId="210" fontId="5" fillId="0" borderId="0" applyFont="0" applyFill="0" applyBorder="0" applyAlignment="0" applyProtection="0"/>
    <xf numFmtId="209" fontId="4" fillId="0" borderId="0" applyFont="0" applyBorder="0"/>
    <xf numFmtId="210" fontId="5" fillId="0" borderId="0"/>
    <xf numFmtId="211" fontId="44" fillId="0" borderId="29" applyFont="0" applyFill="0" applyBorder="0" applyAlignment="0" applyProtection="0"/>
    <xf numFmtId="39" fontId="44" fillId="0" borderId="0"/>
    <xf numFmtId="0" fontId="20" fillId="27" borderId="0" applyNumberFormat="0" applyBorder="0" applyAlignment="0" applyProtection="0"/>
    <xf numFmtId="212" fontId="55" fillId="0" borderId="29" applyFont="0" applyFill="0" applyBorder="0" applyAlignment="0" applyProtection="0">
      <alignment horizontal="center"/>
    </xf>
    <xf numFmtId="0" fontId="36" fillId="0" borderId="0"/>
    <xf numFmtId="166" fontId="26" fillId="0" borderId="0" applyFill="0" applyBorder="0" applyAlignment="0"/>
    <xf numFmtId="190" fontId="26" fillId="0" borderId="0" applyFill="0" applyBorder="0" applyAlignment="0"/>
    <xf numFmtId="184" fontId="26" fillId="0" borderId="0" applyFill="0" applyBorder="0" applyAlignment="0"/>
    <xf numFmtId="185" fontId="26" fillId="0" borderId="0" applyFill="0" applyBorder="0" applyAlignment="0"/>
    <xf numFmtId="166" fontId="26" fillId="0" borderId="0" applyFill="0" applyBorder="0" applyAlignment="0"/>
    <xf numFmtId="190" fontId="26" fillId="0" borderId="0" applyFill="0" applyBorder="0" applyAlignment="0"/>
    <xf numFmtId="191" fontId="26" fillId="0" borderId="0" applyFill="0" applyBorder="0" applyAlignment="0"/>
    <xf numFmtId="192" fontId="26" fillId="0" borderId="0" applyFill="0" applyBorder="0" applyAlignment="0"/>
    <xf numFmtId="184" fontId="26" fillId="0" borderId="0" applyFill="0" applyBorder="0" applyAlignment="0"/>
    <xf numFmtId="185" fontId="26" fillId="0" borderId="0" applyFill="0" applyBorder="0" applyAlignment="0"/>
    <xf numFmtId="0" fontId="28" fillId="0" borderId="77" applyNumberFormat="0" applyFill="0" applyAlignment="0" applyProtection="0"/>
    <xf numFmtId="180" fontId="38" fillId="0" borderId="42">
      <alignment horizontal="right"/>
    </xf>
    <xf numFmtId="0" fontId="5" fillId="0" borderId="0">
      <alignment horizontal="center"/>
    </xf>
    <xf numFmtId="41" fontId="5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6" fillId="64" borderId="0" applyNumberFormat="0" applyBorder="0" applyAlignment="0" applyProtection="0"/>
    <xf numFmtId="0" fontId="56" fillId="64" borderId="0" applyNumberFormat="0" applyBorder="0" applyAlignment="0" applyProtection="0"/>
    <xf numFmtId="0" fontId="43" fillId="0" borderId="0"/>
    <xf numFmtId="37" fontId="57" fillId="0" borderId="0"/>
    <xf numFmtId="0" fontId="5" fillId="0" borderId="0"/>
    <xf numFmtId="0" fontId="5" fillId="0" borderId="0"/>
    <xf numFmtId="213" fontId="58" fillId="0" borderId="0"/>
    <xf numFmtId="0" fontId="5" fillId="0" borderId="0"/>
    <xf numFmtId="213" fontId="59" fillId="0" borderId="0"/>
    <xf numFmtId="0" fontId="5" fillId="0" borderId="0"/>
    <xf numFmtId="39" fontId="4" fillId="0" borderId="0"/>
    <xf numFmtId="0" fontId="5" fillId="0" borderId="0"/>
    <xf numFmtId="0" fontId="2" fillId="0" borderId="0"/>
    <xf numFmtId="213" fontId="35" fillId="0" borderId="0"/>
    <xf numFmtId="171" fontId="35" fillId="0" borderId="0"/>
    <xf numFmtId="213" fontId="35" fillId="0" borderId="0"/>
    <xf numFmtId="215" fontId="35" fillId="0" borderId="0"/>
    <xf numFmtId="216" fontId="35" fillId="0" borderId="0"/>
    <xf numFmtId="39" fontId="4" fillId="0" borderId="0"/>
    <xf numFmtId="39" fontId="4" fillId="0" borderId="0"/>
    <xf numFmtId="0" fontId="5" fillId="0" borderId="0"/>
    <xf numFmtId="0" fontId="5" fillId="0" borderId="0"/>
    <xf numFmtId="0" fontId="5" fillId="0" borderId="0"/>
    <xf numFmtId="39" fontId="4" fillId="0" borderId="0"/>
    <xf numFmtId="0" fontId="5" fillId="0" borderId="0"/>
    <xf numFmtId="0" fontId="5" fillId="0" borderId="0"/>
    <xf numFmtId="39" fontId="4" fillId="0" borderId="0"/>
    <xf numFmtId="39" fontId="4" fillId="0" borderId="0"/>
    <xf numFmtId="39" fontId="4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39" fontId="4" fillId="0" borderId="0"/>
    <xf numFmtId="39" fontId="4" fillId="0" borderId="0"/>
    <xf numFmtId="39" fontId="4" fillId="0" borderId="0"/>
    <xf numFmtId="39" fontId="4" fillId="0" borderId="0"/>
    <xf numFmtId="39" fontId="4" fillId="0" borderId="0"/>
    <xf numFmtId="39" fontId="4" fillId="0" borderId="0"/>
    <xf numFmtId="39" fontId="4" fillId="0" borderId="0"/>
    <xf numFmtId="39" fontId="4" fillId="0" borderId="0"/>
    <xf numFmtId="39" fontId="4" fillId="0" borderId="0"/>
    <xf numFmtId="39" fontId="4" fillId="0" borderId="0"/>
    <xf numFmtId="39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16" fillId="0" borderId="0"/>
    <xf numFmtId="39" fontId="4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9" fontId="4" fillId="0" borderId="0"/>
    <xf numFmtId="39" fontId="4" fillId="0" borderId="0"/>
    <xf numFmtId="39" fontId="4" fillId="0" borderId="0"/>
    <xf numFmtId="39" fontId="4" fillId="0" borderId="0"/>
    <xf numFmtId="39" fontId="4" fillId="0" borderId="0"/>
    <xf numFmtId="39" fontId="4" fillId="0" borderId="0"/>
    <xf numFmtId="39" fontId="4" fillId="0" borderId="0"/>
    <xf numFmtId="39" fontId="4" fillId="0" borderId="0"/>
    <xf numFmtId="39" fontId="4" fillId="0" borderId="0"/>
    <xf numFmtId="39" fontId="4" fillId="0" borderId="0"/>
    <xf numFmtId="0" fontId="60" fillId="0" borderId="0"/>
    <xf numFmtId="0" fontId="16" fillId="0" borderId="0"/>
    <xf numFmtId="0" fontId="16" fillId="0" borderId="0"/>
    <xf numFmtId="0" fontId="60" fillId="0" borderId="0"/>
    <xf numFmtId="39" fontId="4" fillId="0" borderId="0"/>
    <xf numFmtId="39" fontId="4" fillId="0" borderId="0"/>
    <xf numFmtId="39" fontId="4" fillId="0" borderId="0"/>
    <xf numFmtId="39" fontId="4" fillId="0" borderId="0"/>
    <xf numFmtId="39" fontId="4" fillId="0" borderId="0"/>
    <xf numFmtId="39" fontId="4" fillId="0" borderId="0"/>
    <xf numFmtId="39" fontId="4" fillId="0" borderId="0"/>
    <xf numFmtId="39" fontId="4" fillId="0" borderId="0"/>
    <xf numFmtId="39" fontId="4" fillId="0" borderId="0"/>
    <xf numFmtId="0" fontId="5" fillId="0" borderId="0"/>
    <xf numFmtId="0" fontId="2" fillId="0" borderId="0"/>
    <xf numFmtId="39" fontId="4" fillId="0" borderId="0"/>
    <xf numFmtId="0" fontId="5" fillId="0" borderId="0"/>
    <xf numFmtId="0" fontId="16" fillId="0" borderId="0"/>
    <xf numFmtId="0" fontId="5" fillId="0" borderId="0"/>
    <xf numFmtId="0" fontId="2" fillId="0" borderId="0"/>
    <xf numFmtId="39" fontId="4" fillId="0" borderId="0"/>
    <xf numFmtId="0" fontId="2" fillId="0" borderId="0"/>
    <xf numFmtId="39" fontId="4" fillId="0" borderId="0"/>
    <xf numFmtId="0" fontId="2" fillId="0" borderId="0"/>
    <xf numFmtId="39" fontId="4" fillId="0" borderId="0"/>
    <xf numFmtId="0" fontId="32" fillId="0" borderId="0"/>
    <xf numFmtId="39" fontId="4" fillId="0" borderId="0"/>
    <xf numFmtId="39" fontId="4" fillId="0" borderId="0"/>
    <xf numFmtId="39" fontId="4" fillId="0" borderId="0"/>
    <xf numFmtId="39" fontId="4" fillId="0" borderId="0"/>
    <xf numFmtId="0" fontId="2" fillId="0" borderId="0"/>
    <xf numFmtId="39" fontId="4" fillId="0" borderId="0"/>
    <xf numFmtId="39" fontId="4" fillId="0" borderId="0"/>
    <xf numFmtId="39" fontId="4" fillId="0" borderId="0"/>
    <xf numFmtId="39" fontId="4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32" fillId="0" borderId="0"/>
    <xf numFmtId="0" fontId="2" fillId="0" borderId="0"/>
    <xf numFmtId="0" fontId="32" fillId="0" borderId="0"/>
    <xf numFmtId="0" fontId="2" fillId="0" borderId="0"/>
    <xf numFmtId="213" fontId="35" fillId="0" borderId="0"/>
    <xf numFmtId="0" fontId="5" fillId="0" borderId="0"/>
    <xf numFmtId="213" fontId="35" fillId="0" borderId="0"/>
    <xf numFmtId="0" fontId="5" fillId="0" borderId="0"/>
    <xf numFmtId="39" fontId="4" fillId="0" borderId="0"/>
    <xf numFmtId="39" fontId="4" fillId="0" borderId="0"/>
    <xf numFmtId="39" fontId="4" fillId="0" borderId="0"/>
    <xf numFmtId="39" fontId="4" fillId="0" borderId="0"/>
    <xf numFmtId="0" fontId="5" fillId="0" borderId="0"/>
    <xf numFmtId="39" fontId="4" fillId="0" borderId="0"/>
    <xf numFmtId="39" fontId="4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16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9" fontId="4" fillId="0" borderId="0"/>
    <xf numFmtId="39" fontId="4" fillId="0" borderId="0"/>
    <xf numFmtId="0" fontId="32" fillId="0" borderId="0"/>
    <xf numFmtId="39" fontId="4" fillId="0" borderId="0"/>
    <xf numFmtId="39" fontId="4" fillId="0" borderId="0"/>
    <xf numFmtId="0" fontId="5" fillId="0" borderId="0"/>
    <xf numFmtId="0" fontId="5" fillId="0" borderId="0"/>
    <xf numFmtId="0" fontId="5" fillId="0" borderId="0"/>
    <xf numFmtId="39" fontId="4" fillId="0" borderId="0"/>
    <xf numFmtId="39" fontId="4" fillId="0" borderId="0"/>
    <xf numFmtId="0" fontId="5" fillId="0" borderId="0"/>
    <xf numFmtId="39" fontId="4" fillId="0" borderId="0"/>
    <xf numFmtId="39" fontId="4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0" fillId="0" borderId="0"/>
    <xf numFmtId="0" fontId="5" fillId="0" borderId="0"/>
    <xf numFmtId="0" fontId="2" fillId="0" borderId="0"/>
    <xf numFmtId="0" fontId="2" fillId="0" borderId="0"/>
    <xf numFmtId="0" fontId="6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9" fontId="4" fillId="0" borderId="0"/>
    <xf numFmtId="39" fontId="4" fillId="0" borderId="0"/>
    <xf numFmtId="39" fontId="4" fillId="0" borderId="0"/>
    <xf numFmtId="39" fontId="4" fillId="0" borderId="0"/>
    <xf numFmtId="39" fontId="4" fillId="0" borderId="0"/>
    <xf numFmtId="0" fontId="61" fillId="0" borderId="0"/>
    <xf numFmtId="0" fontId="5" fillId="0" borderId="0"/>
    <xf numFmtId="0" fontId="5" fillId="0" borderId="0"/>
    <xf numFmtId="0" fontId="5" fillId="0" borderId="0"/>
    <xf numFmtId="213" fontId="35" fillId="0" borderId="0"/>
    <xf numFmtId="0" fontId="32" fillId="0" borderId="0"/>
    <xf numFmtId="0" fontId="2" fillId="0" borderId="0"/>
    <xf numFmtId="0" fontId="5" fillId="0" borderId="0"/>
    <xf numFmtId="39" fontId="4" fillId="0" borderId="0"/>
    <xf numFmtId="39" fontId="4" fillId="0" borderId="0"/>
    <xf numFmtId="39" fontId="4" fillId="0" borderId="0"/>
    <xf numFmtId="39" fontId="4" fillId="0" borderId="0"/>
    <xf numFmtId="0" fontId="2" fillId="0" borderId="0"/>
    <xf numFmtId="0" fontId="2" fillId="0" borderId="0"/>
    <xf numFmtId="0" fontId="2" fillId="0" borderId="0"/>
    <xf numFmtId="39" fontId="4" fillId="0" borderId="0"/>
    <xf numFmtId="39" fontId="4" fillId="0" borderId="0"/>
    <xf numFmtId="39" fontId="4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39" fontId="4" fillId="0" borderId="0"/>
    <xf numFmtId="39" fontId="4" fillId="0" borderId="0"/>
    <xf numFmtId="39" fontId="4" fillId="0" borderId="0"/>
    <xf numFmtId="0" fontId="2" fillId="0" borderId="0"/>
    <xf numFmtId="0" fontId="2" fillId="0" borderId="0"/>
    <xf numFmtId="39" fontId="4" fillId="0" borderId="0"/>
    <xf numFmtId="39" fontId="4" fillId="0" borderId="0"/>
    <xf numFmtId="39" fontId="4" fillId="0" borderId="0"/>
    <xf numFmtId="0" fontId="2" fillId="0" borderId="0"/>
    <xf numFmtId="39" fontId="4" fillId="0" borderId="0"/>
    <xf numFmtId="0" fontId="5" fillId="0" borderId="0"/>
    <xf numFmtId="0" fontId="5" fillId="0" borderId="0"/>
    <xf numFmtId="0" fontId="5" fillId="0" borderId="0"/>
    <xf numFmtId="0" fontId="2" fillId="0" borderId="0"/>
    <xf numFmtId="39" fontId="4" fillId="0" borderId="0"/>
    <xf numFmtId="39" fontId="4" fillId="0" borderId="0"/>
    <xf numFmtId="0" fontId="5" fillId="0" borderId="0"/>
    <xf numFmtId="39" fontId="4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58" borderId="79" applyNumberFormat="0" applyFont="0" applyAlignment="0" applyProtection="0"/>
    <xf numFmtId="0" fontId="5" fillId="58" borderId="79" applyNumberFormat="0" applyFont="0" applyAlignment="0" applyProtection="0"/>
    <xf numFmtId="0" fontId="5" fillId="58" borderId="79" applyNumberFormat="0" applyFont="0" applyAlignment="0" applyProtection="0"/>
    <xf numFmtId="0" fontId="16" fillId="13" borderId="74" applyNumberFormat="0" applyFont="0" applyAlignment="0" applyProtection="0"/>
    <xf numFmtId="0" fontId="16" fillId="13" borderId="74" applyNumberFormat="0" applyFont="0" applyAlignment="0" applyProtection="0"/>
    <xf numFmtId="1" fontId="5" fillId="0" borderId="0" applyFont="0"/>
    <xf numFmtId="0" fontId="62" fillId="0" borderId="0" applyNumberFormat="0" applyAlignment="0">
      <alignment vertical="top"/>
    </xf>
    <xf numFmtId="0" fontId="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4" fillId="56" borderId="85" applyNumberFormat="0" applyAlignment="0" applyProtection="0"/>
    <xf numFmtId="0" fontId="64" fillId="56" borderId="85" applyNumberFormat="0" applyAlignment="0" applyProtection="0"/>
    <xf numFmtId="1" fontId="3" fillId="0" borderId="1" applyFill="0" applyProtection="0">
      <alignment horizontal="center" vertical="top" wrapText="1"/>
    </xf>
    <xf numFmtId="1" fontId="3" fillId="0" borderId="1" applyFill="0" applyProtection="0">
      <alignment horizontal="center" vertical="top" wrapText="1"/>
    </xf>
    <xf numFmtId="181" fontId="5" fillId="0" borderId="0">
      <protection locked="0"/>
    </xf>
    <xf numFmtId="0" fontId="35" fillId="0" borderId="0"/>
    <xf numFmtId="189" fontId="26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26" fillId="0" borderId="0" applyFill="0" applyBorder="0" applyAlignment="0"/>
    <xf numFmtId="190" fontId="26" fillId="0" borderId="0" applyFill="0" applyBorder="0" applyAlignment="0"/>
    <xf numFmtId="184" fontId="26" fillId="0" borderId="0" applyFill="0" applyBorder="0" applyAlignment="0"/>
    <xf numFmtId="185" fontId="26" fillId="0" borderId="0" applyFill="0" applyBorder="0" applyAlignment="0"/>
    <xf numFmtId="166" fontId="26" fillId="0" borderId="0" applyFill="0" applyBorder="0" applyAlignment="0"/>
    <xf numFmtId="190" fontId="26" fillId="0" borderId="0" applyFill="0" applyBorder="0" applyAlignment="0"/>
    <xf numFmtId="191" fontId="26" fillId="0" borderId="0" applyFill="0" applyBorder="0" applyAlignment="0"/>
    <xf numFmtId="192" fontId="26" fillId="0" borderId="0" applyFill="0" applyBorder="0" applyAlignment="0"/>
    <xf numFmtId="184" fontId="26" fillId="0" borderId="0" applyFill="0" applyBorder="0" applyAlignment="0"/>
    <xf numFmtId="185" fontId="26" fillId="0" borderId="0" applyFill="0" applyBorder="0" applyAlignment="0"/>
    <xf numFmtId="0" fontId="36" fillId="0" borderId="0" applyNumberFormat="0" applyFont="0" applyFill="0" applyBorder="0" applyAlignment="0" applyProtection="0">
      <alignment horizontal="left"/>
    </xf>
    <xf numFmtId="4" fontId="36" fillId="0" borderId="0" applyFont="0" applyFill="0" applyBorder="0" applyAlignment="0" applyProtection="0"/>
    <xf numFmtId="0" fontId="25" fillId="0" borderId="48">
      <alignment horizontal="center"/>
    </xf>
    <xf numFmtId="3" fontId="36" fillId="0" borderId="0" applyFont="0" applyFill="0" applyBorder="0" applyAlignment="0" applyProtection="0"/>
    <xf numFmtId="0" fontId="36" fillId="65" borderId="0" applyNumberFormat="0" applyFont="0" applyBorder="0" applyAlignment="0" applyProtection="0"/>
    <xf numFmtId="1" fontId="5" fillId="0" borderId="29" applyNumberFormat="0" applyFill="0" applyAlignment="0" applyProtection="0">
      <alignment horizontal="center" vertical="center"/>
    </xf>
    <xf numFmtId="14" fontId="65" fillId="0" borderId="0" applyNumberFormat="0" applyFill="0" applyBorder="0" applyAlignment="0" applyProtection="0">
      <alignment horizontal="left"/>
    </xf>
    <xf numFmtId="14" fontId="65" fillId="0" borderId="0" applyNumberFormat="0" applyFill="0" applyBorder="0" applyAlignment="0" applyProtection="0">
      <alignment horizontal="left"/>
    </xf>
    <xf numFmtId="0" fontId="4" fillId="0" borderId="29" applyFont="0" applyBorder="0"/>
    <xf numFmtId="209" fontId="4" fillId="0" borderId="0" applyFont="0" applyFill="0" applyBorder="0" applyAlignment="0" applyProtection="0"/>
    <xf numFmtId="218" fontId="4" fillId="0" borderId="0" applyFont="0"/>
    <xf numFmtId="219" fontId="5" fillId="0" borderId="0" applyFont="0" applyFill="0" applyBorder="0" applyAlignment="0" applyProtection="0"/>
    <xf numFmtId="220" fontId="44" fillId="0" borderId="0" applyFont="0"/>
    <xf numFmtId="221" fontId="5" fillId="0" borderId="0"/>
    <xf numFmtId="222" fontId="4" fillId="0" borderId="0" applyFill="0" applyBorder="0" applyAlignment="0" applyProtection="0"/>
    <xf numFmtId="0" fontId="35" fillId="0" borderId="0"/>
    <xf numFmtId="0" fontId="66" fillId="0" borderId="0" applyFont="0" applyBorder="0" applyAlignment="0"/>
    <xf numFmtId="222" fontId="4" fillId="0" borderId="0" applyFill="0" applyBorder="0" applyAlignment="0" applyProtection="0"/>
    <xf numFmtId="222" fontId="4" fillId="0" borderId="0" applyFill="0" applyBorder="0" applyAlignment="0" applyProtection="0"/>
    <xf numFmtId="4" fontId="67" fillId="64" borderId="86" applyNumberFormat="0" applyProtection="0">
      <alignment vertical="center"/>
    </xf>
    <xf numFmtId="4" fontId="67" fillId="64" borderId="86" applyNumberFormat="0" applyProtection="0">
      <alignment vertical="center"/>
    </xf>
    <xf numFmtId="4" fontId="68" fillId="66" borderId="86" applyNumberFormat="0" applyProtection="0">
      <alignment vertical="center"/>
    </xf>
    <xf numFmtId="4" fontId="68" fillId="66" borderId="86" applyNumberFormat="0" applyProtection="0">
      <alignment vertical="center"/>
    </xf>
    <xf numFmtId="4" fontId="67" fillId="66" borderId="86" applyNumberFormat="0" applyProtection="0">
      <alignment horizontal="left" vertical="center" indent="1"/>
    </xf>
    <xf numFmtId="4" fontId="67" fillId="66" borderId="86" applyNumberFormat="0" applyProtection="0">
      <alignment horizontal="left" vertical="center" indent="1"/>
    </xf>
    <xf numFmtId="0" fontId="67" fillId="66" borderId="86" applyNumberFormat="0" applyProtection="0">
      <alignment horizontal="left" vertical="top" indent="1"/>
    </xf>
    <xf numFmtId="0" fontId="67" fillId="66" borderId="86" applyNumberFormat="0" applyProtection="0">
      <alignment horizontal="left" vertical="top" indent="1"/>
    </xf>
    <xf numFmtId="4" fontId="67" fillId="67" borderId="0" applyNumberFormat="0" applyProtection="0">
      <alignment horizontal="left" vertical="center" indent="1"/>
    </xf>
    <xf numFmtId="4" fontId="15" fillId="27" borderId="86" applyNumberFormat="0" applyProtection="0">
      <alignment horizontal="right" vertical="center"/>
    </xf>
    <xf numFmtId="4" fontId="15" fillId="27" borderId="86" applyNumberFormat="0" applyProtection="0">
      <alignment horizontal="right" vertical="center"/>
    </xf>
    <xf numFmtId="4" fontId="15" fillId="33" borderId="86" applyNumberFormat="0" applyProtection="0">
      <alignment horizontal="right" vertical="center"/>
    </xf>
    <xf numFmtId="4" fontId="15" fillId="33" borderId="86" applyNumberFormat="0" applyProtection="0">
      <alignment horizontal="right" vertical="center"/>
    </xf>
    <xf numFmtId="4" fontId="15" fillId="47" borderId="86" applyNumberFormat="0" applyProtection="0">
      <alignment horizontal="right" vertical="center"/>
    </xf>
    <xf numFmtId="4" fontId="15" fillId="47" borderId="86" applyNumberFormat="0" applyProtection="0">
      <alignment horizontal="right" vertical="center"/>
    </xf>
    <xf numFmtId="4" fontId="15" fillId="35" borderId="86" applyNumberFormat="0" applyProtection="0">
      <alignment horizontal="right" vertical="center"/>
    </xf>
    <xf numFmtId="4" fontId="15" fillId="35" borderId="86" applyNumberFormat="0" applyProtection="0">
      <alignment horizontal="right" vertical="center"/>
    </xf>
    <xf numFmtId="4" fontId="15" fillId="39" borderId="86" applyNumberFormat="0" applyProtection="0">
      <alignment horizontal="right" vertical="center"/>
    </xf>
    <xf numFmtId="4" fontId="15" fillId="39" borderId="86" applyNumberFormat="0" applyProtection="0">
      <alignment horizontal="right" vertical="center"/>
    </xf>
    <xf numFmtId="4" fontId="15" fillId="54" borderId="86" applyNumberFormat="0" applyProtection="0">
      <alignment horizontal="right" vertical="center"/>
    </xf>
    <xf numFmtId="4" fontId="15" fillId="54" borderId="86" applyNumberFormat="0" applyProtection="0">
      <alignment horizontal="right" vertical="center"/>
    </xf>
    <xf numFmtId="4" fontId="15" fillId="51" borderId="86" applyNumberFormat="0" applyProtection="0">
      <alignment horizontal="right" vertical="center"/>
    </xf>
    <xf numFmtId="4" fontId="15" fillId="51" borderId="86" applyNumberFormat="0" applyProtection="0">
      <alignment horizontal="right" vertical="center"/>
    </xf>
    <xf numFmtId="4" fontId="15" fillId="68" borderId="86" applyNumberFormat="0" applyProtection="0">
      <alignment horizontal="right" vertical="center"/>
    </xf>
    <xf numFmtId="4" fontId="15" fillId="68" borderId="86" applyNumberFormat="0" applyProtection="0">
      <alignment horizontal="right" vertical="center"/>
    </xf>
    <xf numFmtId="4" fontId="15" fillId="34" borderId="86" applyNumberFormat="0" applyProtection="0">
      <alignment horizontal="right" vertical="center"/>
    </xf>
    <xf numFmtId="4" fontId="15" fillId="34" borderId="86" applyNumberFormat="0" applyProtection="0">
      <alignment horizontal="right" vertical="center"/>
    </xf>
    <xf numFmtId="4" fontId="67" fillId="69" borderId="87" applyNumberFormat="0" applyProtection="0">
      <alignment horizontal="left" vertical="center" indent="1"/>
    </xf>
    <xf numFmtId="4" fontId="15" fillId="70" borderId="0" applyNumberFormat="0" applyProtection="0">
      <alignment horizontal="left" vertical="center" indent="1"/>
    </xf>
    <xf numFmtId="4" fontId="69" fillId="71" borderId="0" applyNumberFormat="0" applyProtection="0">
      <alignment horizontal="left" vertical="center" indent="1"/>
    </xf>
    <xf numFmtId="4" fontId="15" fillId="72" borderId="86" applyNumberFormat="0" applyProtection="0">
      <alignment horizontal="right" vertical="center"/>
    </xf>
    <xf numFmtId="4" fontId="15" fillId="72" borderId="86" applyNumberFormat="0" applyProtection="0">
      <alignment horizontal="right" vertical="center"/>
    </xf>
    <xf numFmtId="4" fontId="15" fillId="70" borderId="0" applyNumberFormat="0" applyProtection="0">
      <alignment horizontal="left" vertical="center" indent="1"/>
    </xf>
    <xf numFmtId="4" fontId="15" fillId="67" borderId="0" applyNumberFormat="0" applyProtection="0">
      <alignment horizontal="left" vertical="center" indent="1"/>
    </xf>
    <xf numFmtId="0" fontId="5" fillId="71" borderId="86" applyNumberFormat="0" applyProtection="0">
      <alignment horizontal="left" vertical="center" indent="1"/>
    </xf>
    <xf numFmtId="0" fontId="5" fillId="71" borderId="86" applyNumberFormat="0" applyProtection="0">
      <alignment horizontal="left" vertical="center" indent="1"/>
    </xf>
    <xf numFmtId="0" fontId="5" fillId="71" borderId="86" applyNumberFormat="0" applyProtection="0">
      <alignment horizontal="left" vertical="top" indent="1"/>
    </xf>
    <xf numFmtId="0" fontId="5" fillId="71" borderId="86" applyNumberFormat="0" applyProtection="0">
      <alignment horizontal="left" vertical="top" indent="1"/>
    </xf>
    <xf numFmtId="0" fontId="5" fillId="67" borderId="86" applyNumberFormat="0" applyProtection="0">
      <alignment horizontal="left" vertical="center" indent="1"/>
    </xf>
    <xf numFmtId="0" fontId="5" fillId="67" borderId="86" applyNumberFormat="0" applyProtection="0">
      <alignment horizontal="left" vertical="center" indent="1"/>
    </xf>
    <xf numFmtId="0" fontId="5" fillId="67" borderId="86" applyNumberFormat="0" applyProtection="0">
      <alignment horizontal="left" vertical="top" indent="1"/>
    </xf>
    <xf numFmtId="0" fontId="5" fillId="67" borderId="86" applyNumberFormat="0" applyProtection="0">
      <alignment horizontal="left" vertical="top" indent="1"/>
    </xf>
    <xf numFmtId="0" fontId="5" fillId="73" borderId="86" applyNumberFormat="0" applyProtection="0">
      <alignment horizontal="left" vertical="center" indent="1"/>
    </xf>
    <xf numFmtId="0" fontId="5" fillId="73" borderId="86" applyNumberFormat="0" applyProtection="0">
      <alignment horizontal="left" vertical="center" indent="1"/>
    </xf>
    <xf numFmtId="0" fontId="5" fillId="73" borderId="86" applyNumberFormat="0" applyProtection="0">
      <alignment horizontal="left" vertical="top" indent="1"/>
    </xf>
    <xf numFmtId="0" fontId="5" fillId="73" borderId="86" applyNumberFormat="0" applyProtection="0">
      <alignment horizontal="left" vertical="top" indent="1"/>
    </xf>
    <xf numFmtId="0" fontId="5" fillId="74" borderId="86" applyNumberFormat="0" applyProtection="0">
      <alignment horizontal="left" vertical="center" indent="1"/>
    </xf>
    <xf numFmtId="0" fontId="5" fillId="74" borderId="86" applyNumberFormat="0" applyProtection="0">
      <alignment horizontal="left" vertical="center" indent="1"/>
    </xf>
    <xf numFmtId="0" fontId="5" fillId="74" borderId="86" applyNumberFormat="0" applyProtection="0">
      <alignment horizontal="left" vertical="top" indent="1"/>
    </xf>
    <xf numFmtId="0" fontId="5" fillId="74" borderId="86" applyNumberFormat="0" applyProtection="0">
      <alignment horizontal="left" vertical="top" indent="1"/>
    </xf>
    <xf numFmtId="0" fontId="5" fillId="0" borderId="0"/>
    <xf numFmtId="0" fontId="70" fillId="75" borderId="88" applyBorder="0"/>
    <xf numFmtId="0" fontId="70" fillId="75" borderId="88" applyBorder="0"/>
    <xf numFmtId="4" fontId="15" fillId="63" borderId="86" applyNumberFormat="0" applyProtection="0">
      <alignment vertical="center"/>
    </xf>
    <xf numFmtId="4" fontId="15" fillId="63" borderId="86" applyNumberFormat="0" applyProtection="0">
      <alignment vertical="center"/>
    </xf>
    <xf numFmtId="4" fontId="71" fillId="63" borderId="86" applyNumberFormat="0" applyProtection="0">
      <alignment vertical="center"/>
    </xf>
    <xf numFmtId="4" fontId="71" fillId="63" borderId="86" applyNumberFormat="0" applyProtection="0">
      <alignment vertical="center"/>
    </xf>
    <xf numFmtId="4" fontId="15" fillId="63" borderId="86" applyNumberFormat="0" applyProtection="0">
      <alignment horizontal="left" vertical="center" indent="1"/>
    </xf>
    <xf numFmtId="4" fontId="15" fillId="63" borderId="86" applyNumberFormat="0" applyProtection="0">
      <alignment horizontal="left" vertical="center" indent="1"/>
    </xf>
    <xf numFmtId="0" fontId="15" fillId="63" borderId="86" applyNumberFormat="0" applyProtection="0">
      <alignment horizontal="left" vertical="top" indent="1"/>
    </xf>
    <xf numFmtId="0" fontId="15" fillId="63" borderId="86" applyNumberFormat="0" applyProtection="0">
      <alignment horizontal="left" vertical="top" indent="1"/>
    </xf>
    <xf numFmtId="4" fontId="15" fillId="70" borderId="86" applyNumberFormat="0" applyProtection="0">
      <alignment horizontal="right" vertical="center"/>
    </xf>
    <xf numFmtId="4" fontId="15" fillId="70" borderId="86" applyNumberFormat="0" applyProtection="0">
      <alignment horizontal="right" vertical="center"/>
    </xf>
    <xf numFmtId="4" fontId="3" fillId="70" borderId="86" applyNumberFormat="0" applyProtection="0">
      <alignment horizontal="right" vertical="center"/>
    </xf>
    <xf numFmtId="4" fontId="3" fillId="70" borderId="86" applyNumberFormat="0" applyProtection="0">
      <alignment horizontal="right" vertical="center"/>
    </xf>
    <xf numFmtId="4" fontId="15" fillId="72" borderId="86" applyNumberFormat="0" applyProtection="0">
      <alignment horizontal="left" vertical="center" indent="1"/>
    </xf>
    <xf numFmtId="4" fontId="15" fillId="72" borderId="86" applyNumberFormat="0" applyProtection="0">
      <alignment horizontal="left" vertical="center" indent="1"/>
    </xf>
    <xf numFmtId="0" fontId="67" fillId="67" borderId="86" applyNumberFormat="0" applyProtection="0">
      <alignment horizontal="left" vertical="top" indent="1"/>
    </xf>
    <xf numFmtId="0" fontId="67" fillId="67" borderId="86" applyNumberFormat="0" applyProtection="0">
      <alignment horizontal="left" vertical="top" indent="1"/>
    </xf>
    <xf numFmtId="4" fontId="72" fillId="76" borderId="0" applyNumberFormat="0" applyProtection="0">
      <alignment horizontal="left" vertical="center" indent="1"/>
    </xf>
    <xf numFmtId="0" fontId="46" fillId="77" borderId="1"/>
    <xf numFmtId="0" fontId="46" fillId="77" borderId="1"/>
    <xf numFmtId="4" fontId="73" fillId="70" borderId="86" applyNumberFormat="0" applyProtection="0">
      <alignment horizontal="right" vertical="center"/>
    </xf>
    <xf numFmtId="4" fontId="73" fillId="70" borderId="86" applyNumberFormat="0" applyProtection="0">
      <alignment horizontal="right" vertical="center"/>
    </xf>
    <xf numFmtId="0" fontId="45" fillId="28" borderId="0" applyNumberFormat="0" applyBorder="0" applyAlignment="0" applyProtection="0"/>
    <xf numFmtId="0" fontId="74" fillId="0" borderId="0" applyNumberFormat="0" applyFill="0" applyBorder="0" applyAlignment="0" applyProtection="0"/>
    <xf numFmtId="223" fontId="75" fillId="0" borderId="89" applyNumberFormat="0" applyFill="0" applyAlignment="0" applyProtection="0"/>
    <xf numFmtId="0" fontId="64" fillId="56" borderId="85" applyNumberFormat="0" applyAlignment="0" applyProtection="0"/>
    <xf numFmtId="0" fontId="36" fillId="78" borderId="0"/>
    <xf numFmtId="0" fontId="14" fillId="3" borderId="73" applyFont="0" applyFill="0" applyAlignment="0"/>
    <xf numFmtId="0" fontId="76" fillId="79" borderId="0" applyNumberFormat="0" applyProtection="0">
      <alignment horizontal="center" vertical="center"/>
    </xf>
    <xf numFmtId="4" fontId="77" fillId="79" borderId="0" applyProtection="0">
      <alignment horizontal="center" vertical="top" wrapText="1"/>
    </xf>
    <xf numFmtId="0" fontId="68" fillId="79" borderId="0" applyNumberFormat="0" applyProtection="0">
      <alignment horizontal="center" vertical="center" wrapText="1"/>
    </xf>
    <xf numFmtId="4" fontId="78" fillId="79" borderId="0" applyProtection="0">
      <alignment horizontal="center" vertical="top" wrapText="1"/>
    </xf>
    <xf numFmtId="0" fontId="79" fillId="80" borderId="0" applyNumberFormat="0" applyProtection="0">
      <alignment horizontal="center" vertical="center" wrapText="1"/>
    </xf>
    <xf numFmtId="4" fontId="80" fillId="80" borderId="0" applyProtection="0">
      <alignment horizontal="center" vertical="top" wrapText="1"/>
    </xf>
    <xf numFmtId="4" fontId="81" fillId="79" borderId="0" applyProtection="0">
      <alignment horizontal="center" vertical="top" wrapText="1"/>
    </xf>
    <xf numFmtId="40" fontId="82" fillId="0" borderId="0" applyBorder="0">
      <alignment horizontal="right"/>
    </xf>
    <xf numFmtId="224" fontId="5" fillId="0" borderId="29" applyNumberFormat="0">
      <alignment horizontal="center"/>
    </xf>
    <xf numFmtId="49" fontId="15" fillId="0" borderId="0" applyFill="0" applyBorder="0" applyAlignment="0"/>
    <xf numFmtId="225" fontId="26" fillId="0" borderId="0" applyFill="0" applyBorder="0" applyAlignment="0"/>
    <xf numFmtId="226" fontId="26" fillId="0" borderId="0" applyFill="0" applyBorder="0" applyAlignment="0"/>
    <xf numFmtId="0" fontId="42" fillId="0" borderId="0" applyNumberFormat="0" applyFill="0" applyBorder="0" applyAlignment="0" applyProtection="0"/>
    <xf numFmtId="40" fontId="83" fillId="0" borderId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50" fillId="0" borderId="82" applyNumberFormat="0" applyFill="0" applyAlignment="0" applyProtection="0"/>
    <xf numFmtId="0" fontId="51" fillId="0" borderId="83" applyNumberFormat="0" applyFill="0" applyAlignment="0" applyProtection="0"/>
    <xf numFmtId="0" fontId="52" fillId="0" borderId="84" applyNumberFormat="0" applyFill="0" applyAlignment="0" applyProtection="0"/>
    <xf numFmtId="0" fontId="52" fillId="0" borderId="0" applyNumberFormat="0" applyFill="0" applyBorder="0" applyAlignment="0" applyProtection="0"/>
    <xf numFmtId="1" fontId="3" fillId="0" borderId="62" applyNumberFormat="0" applyFill="0" applyProtection="0">
      <alignment horizontal="left" vertical="center"/>
    </xf>
    <xf numFmtId="0" fontId="39" fillId="0" borderId="90" applyNumberFormat="0" applyFill="0" applyAlignment="0" applyProtection="0"/>
    <xf numFmtId="0" fontId="39" fillId="0" borderId="90" applyNumberFormat="0" applyFill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29" fillId="57" borderId="78" applyNumberFormat="0" applyAlignment="0" applyProtection="0"/>
    <xf numFmtId="0" fontId="5" fillId="0" borderId="0">
      <alignment horizontal="center" textRotation="180"/>
    </xf>
    <xf numFmtId="1" fontId="85" fillId="0" borderId="29" applyNumberFormat="0" applyFill="0" applyAlignment="0" applyProtection="0">
      <alignment horizontal="left"/>
    </xf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9" fillId="0" borderId="0" applyNumberFormat="0" applyFill="0" applyBorder="0" applyAlignment="0" applyProtection="0"/>
    <xf numFmtId="37" fontId="22" fillId="81" borderId="81" applyNumberFormat="0" applyBorder="0" applyAlignment="0" applyProtection="0"/>
    <xf numFmtId="0" fontId="86" fillId="0" borderId="0"/>
    <xf numFmtId="0" fontId="87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7" fillId="0" borderId="0"/>
    <xf numFmtId="40" fontId="88" fillId="0" borderId="0" applyFont="0" applyFill="0" applyBorder="0" applyAlignment="0" applyProtection="0"/>
    <xf numFmtId="38" fontId="88" fillId="0" borderId="0" applyFont="0" applyFill="0" applyBorder="0" applyAlignment="0" applyProtection="0"/>
    <xf numFmtId="0" fontId="89" fillId="0" borderId="0"/>
    <xf numFmtId="227" fontId="88" fillId="0" borderId="0" applyFont="0" applyFill="0" applyBorder="0" applyAlignment="0" applyProtection="0"/>
    <xf numFmtId="228" fontId="88" fillId="0" borderId="0" applyFont="0" applyFill="0" applyBorder="0" applyAlignment="0" applyProtection="0"/>
    <xf numFmtId="229" fontId="16" fillId="0" borderId="0" applyFont="0" applyFill="0" applyBorder="0" applyAlignment="0" applyProtection="0"/>
    <xf numFmtId="0" fontId="16" fillId="29" borderId="0" applyNumberFormat="0" applyBorder="0" applyAlignment="0" applyProtection="0"/>
    <xf numFmtId="166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 applyFill="0" applyBorder="0" applyAlignment="0"/>
    <xf numFmtId="0" fontId="5" fillId="0" borderId="0" applyFill="0" applyBorder="0" applyAlignment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199" fontId="2" fillId="0" borderId="0" applyFont="0" applyFill="0" applyBorder="0" applyAlignment="0" applyProtection="0"/>
    <xf numFmtId="199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231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38" fontId="46" fillId="62" borderId="0" applyNumberFormat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29" borderId="0" applyNumberFormat="0" applyBorder="0" applyAlignment="0" applyProtection="0"/>
    <xf numFmtId="214" fontId="5" fillId="0" borderId="0"/>
    <xf numFmtId="0" fontId="16" fillId="34" borderId="0" applyNumberFormat="0" applyBorder="0" applyAlignment="0" applyProtection="0"/>
    <xf numFmtId="214" fontId="5" fillId="0" borderId="0"/>
    <xf numFmtId="214" fontId="5" fillId="0" borderId="0"/>
    <xf numFmtId="0" fontId="16" fillId="34" borderId="0" applyNumberFormat="0" applyBorder="0" applyAlignment="0" applyProtection="0"/>
    <xf numFmtId="0" fontId="2" fillId="0" borderId="0"/>
    <xf numFmtId="0" fontId="16" fillId="33" borderId="0" applyNumberFormat="0" applyBorder="0" applyAlignment="0" applyProtection="0"/>
    <xf numFmtId="0" fontId="2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3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3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32" borderId="0" applyNumberFormat="0" applyBorder="0" applyAlignment="0" applyProtection="0"/>
    <xf numFmtId="0" fontId="2" fillId="0" borderId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0" borderId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39" fontId="91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35" fillId="0" borderId="0"/>
    <xf numFmtId="213" fontId="35" fillId="0" borderId="0"/>
    <xf numFmtId="213" fontId="35" fillId="0" borderId="0"/>
    <xf numFmtId="213" fontId="35" fillId="0" borderId="0"/>
    <xf numFmtId="213" fontId="35" fillId="0" borderId="0"/>
    <xf numFmtId="0" fontId="2" fillId="0" borderId="0"/>
    <xf numFmtId="0" fontId="16" fillId="0" borderId="0"/>
    <xf numFmtId="0" fontId="16" fillId="0" borderId="0"/>
    <xf numFmtId="213" fontId="35" fillId="0" borderId="0"/>
    <xf numFmtId="39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213" fontId="35" fillId="0" borderId="0"/>
    <xf numFmtId="213" fontId="35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60" fillId="0" borderId="0"/>
    <xf numFmtId="0" fontId="16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213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231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67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2" fillId="0" borderId="0" applyFont="0" applyFill="0" applyBorder="0" applyAlignment="0" applyProtection="0"/>
    <xf numFmtId="230" fontId="65" fillId="0" borderId="0" applyNumberFormat="0" applyFill="0" applyBorder="0" applyAlignment="0" applyProtection="0">
      <alignment horizontal="left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5" fillId="0" borderId="0"/>
    <xf numFmtId="0" fontId="2" fillId="0" borderId="0"/>
    <xf numFmtId="39" fontId="4" fillId="0" borderId="0"/>
    <xf numFmtId="39" fontId="4" fillId="0" borderId="0"/>
    <xf numFmtId="39" fontId="4" fillId="0" borderId="0"/>
    <xf numFmtId="39" fontId="4" fillId="0" borderId="0"/>
    <xf numFmtId="39" fontId="4" fillId="0" borderId="0"/>
    <xf numFmtId="39" fontId="4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9" fontId="4" fillId="0" borderId="0"/>
    <xf numFmtId="39" fontId="4" fillId="0" borderId="0"/>
    <xf numFmtId="39" fontId="4" fillId="0" borderId="0"/>
    <xf numFmtId="39" fontId="4" fillId="0" borderId="0"/>
    <xf numFmtId="39" fontId="4" fillId="0" borderId="0"/>
    <xf numFmtId="0" fontId="2" fillId="0" borderId="0"/>
    <xf numFmtId="39" fontId="4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39" fontId="4" fillId="0" borderId="0"/>
    <xf numFmtId="0" fontId="16" fillId="0" borderId="0"/>
    <xf numFmtId="0" fontId="16" fillId="0" borderId="0"/>
    <xf numFmtId="0" fontId="5" fillId="0" borderId="0"/>
    <xf numFmtId="0" fontId="2" fillId="0" borderId="0"/>
    <xf numFmtId="0" fontId="2" fillId="0" borderId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 applyFill="0" applyBorder="0" applyAlignment="0"/>
    <xf numFmtId="0" fontId="16" fillId="35" borderId="0" applyNumberFormat="0" applyBorder="0" applyAlignment="0" applyProtection="0"/>
    <xf numFmtId="0" fontId="16" fillId="32" borderId="0" applyNumberFormat="0" applyBorder="0" applyAlignment="0" applyProtection="0"/>
    <xf numFmtId="0" fontId="16" fillId="29" borderId="0" applyNumberFormat="0" applyBorder="0" applyAlignment="0" applyProtection="0"/>
    <xf numFmtId="0" fontId="16" fillId="34" borderId="0" applyNumberFormat="0" applyBorder="0" applyAlignment="0" applyProtection="0"/>
    <xf numFmtId="0" fontId="16" fillId="33" borderId="0" applyNumberFormat="0" applyBorder="0" applyAlignment="0" applyProtection="0"/>
    <xf numFmtId="0" fontId="16" fillId="32" borderId="0" applyNumberFormat="0" applyBorder="0" applyAlignment="0" applyProtection="0"/>
    <xf numFmtId="0" fontId="16" fillId="31" borderId="0" applyNumberFormat="0" applyBorder="0" applyAlignment="0" applyProtection="0"/>
    <xf numFmtId="0" fontId="16" fillId="30" borderId="0" applyNumberFormat="0" applyBorder="0" applyAlignment="0" applyProtection="0"/>
    <xf numFmtId="0" fontId="16" fillId="29" borderId="0" applyNumberFormat="0" applyBorder="0" applyAlignment="0" applyProtection="0"/>
    <xf numFmtId="0" fontId="16" fillId="28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5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3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7" fontId="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2" fillId="0" borderId="0" applyFont="0" applyFill="0" applyBorder="0" applyAlignment="0" applyProtection="0"/>
    <xf numFmtId="39" fontId="4" fillId="0" borderId="0"/>
    <xf numFmtId="43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5" fontId="25" fillId="0" borderId="44" applyAlignment="0" applyProtection="0"/>
    <xf numFmtId="5" fontId="25" fillId="0" borderId="44" applyAlignment="0" applyProtection="0"/>
    <xf numFmtId="5" fontId="25" fillId="0" borderId="44" applyAlignment="0" applyProtection="0"/>
    <xf numFmtId="5" fontId="25" fillId="0" borderId="44" applyAlignment="0" applyProtection="0"/>
    <xf numFmtId="44" fontId="26" fillId="0" borderId="0" applyFill="0" applyBorder="0" applyAlignment="0"/>
    <xf numFmtId="44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6" fillId="0" borderId="0" applyFill="0" applyBorder="0" applyAlignment="0"/>
    <xf numFmtId="44" fontId="26" fillId="0" borderId="0" applyFill="0" applyBorder="0" applyAlignment="0"/>
    <xf numFmtId="44" fontId="26" fillId="0" borderId="0" applyFill="0" applyBorder="0" applyAlignment="0"/>
    <xf numFmtId="44" fontId="26" fillId="0" borderId="0" applyFill="0" applyBorder="0" applyAlignment="0"/>
    <xf numFmtId="44" fontId="26" fillId="0" borderId="0" applyFill="0" applyBorder="0" applyAlignment="0"/>
    <xf numFmtId="44" fontId="26" fillId="0" borderId="0" applyFill="0" applyBorder="0" applyAlignment="0"/>
    <xf numFmtId="44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5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39" fontId="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39" fontId="4" fillId="0" borderId="0"/>
    <xf numFmtId="43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5" fontId="25" fillId="0" borderId="44" applyAlignment="0" applyProtection="0"/>
    <xf numFmtId="5" fontId="25" fillId="0" borderId="44" applyAlignment="0" applyProtection="0"/>
    <xf numFmtId="5" fontId="25" fillId="0" borderId="44" applyAlignment="0" applyProtection="0"/>
    <xf numFmtId="5" fontId="25" fillId="0" borderId="44" applyAlignment="0" applyProtection="0"/>
    <xf numFmtId="44" fontId="26" fillId="0" borderId="0" applyFill="0" applyBorder="0" applyAlignment="0"/>
    <xf numFmtId="44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6" fillId="0" borderId="0" applyFill="0" applyBorder="0" applyAlignment="0"/>
    <xf numFmtId="44" fontId="26" fillId="0" borderId="0" applyFill="0" applyBorder="0" applyAlignment="0"/>
    <xf numFmtId="44" fontId="26" fillId="0" borderId="0" applyFill="0" applyBorder="0" applyAlignment="0"/>
    <xf numFmtId="44" fontId="26" fillId="0" borderId="0" applyFill="0" applyBorder="0" applyAlignment="0"/>
    <xf numFmtId="44" fontId="26" fillId="0" borderId="0" applyFill="0" applyBorder="0" applyAlignment="0"/>
    <xf numFmtId="44" fontId="26" fillId="0" borderId="0" applyFill="0" applyBorder="0" applyAlignment="0"/>
    <xf numFmtId="44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5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39" fontId="4" fillId="0" borderId="0"/>
    <xf numFmtId="43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39" fontId="4" fillId="0" borderId="0"/>
    <xf numFmtId="43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39" fontId="4" fillId="0" borderId="0"/>
    <xf numFmtId="43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43" fontId="5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</cellStyleXfs>
  <cellXfs count="1266">
    <xf numFmtId="0" fontId="0" fillId="0" borderId="0" xfId="0"/>
    <xf numFmtId="0" fontId="0" fillId="0" borderId="0" xfId="0" applyBorder="1"/>
    <xf numFmtId="0" fontId="0" fillId="0" borderId="0" xfId="0" applyFill="1"/>
    <xf numFmtId="167" fontId="8" fillId="0" borderId="1" xfId="1" applyFont="1" applyBorder="1"/>
    <xf numFmtId="0" fontId="8" fillId="0" borderId="0" xfId="0" applyFont="1"/>
    <xf numFmtId="167" fontId="8" fillId="0" borderId="0" xfId="1" applyFont="1"/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28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0" fontId="10" fillId="0" borderId="29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8" fillId="0" borderId="1" xfId="0" applyFont="1" applyBorder="1"/>
    <xf numFmtId="14" fontId="8" fillId="0" borderId="1" xfId="0" applyNumberFormat="1" applyFont="1" applyBorder="1"/>
    <xf numFmtId="174" fontId="8" fillId="0" borderId="0" xfId="1" applyNumberFormat="1" applyFont="1"/>
    <xf numFmtId="169" fontId="8" fillId="0" borderId="0" xfId="1" applyNumberFormat="1" applyFont="1"/>
    <xf numFmtId="173" fontId="8" fillId="0" borderId="0" xfId="1" applyNumberFormat="1" applyFont="1"/>
    <xf numFmtId="0" fontId="10" fillId="0" borderId="37" xfId="0" applyFont="1" applyBorder="1" applyAlignment="1">
      <alignment horizontal="center" vertical="center"/>
    </xf>
    <xf numFmtId="169" fontId="10" fillId="0" borderId="41" xfId="1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169" fontId="10" fillId="0" borderId="30" xfId="1" applyNumberFormat="1" applyFont="1" applyBorder="1" applyAlignment="1">
      <alignment vertical="center"/>
    </xf>
    <xf numFmtId="0" fontId="10" fillId="0" borderId="45" xfId="0" applyFont="1" applyBorder="1" applyAlignment="1">
      <alignment vertical="center"/>
    </xf>
    <xf numFmtId="173" fontId="10" fillId="0" borderId="46" xfId="1" applyNumberFormat="1" applyFont="1" applyBorder="1" applyAlignment="1">
      <alignment vertical="center"/>
    </xf>
    <xf numFmtId="0" fontId="10" fillId="0" borderId="18" xfId="0" applyFont="1" applyBorder="1" applyAlignment="1">
      <alignment horizontal="center" vertical="center"/>
    </xf>
    <xf numFmtId="0" fontId="11" fillId="0" borderId="0" xfId="0" applyFont="1"/>
    <xf numFmtId="17" fontId="9" fillId="0" borderId="0" xfId="0" applyNumberFormat="1" applyFont="1" applyAlignment="1">
      <alignment horizontal="center"/>
    </xf>
    <xf numFmtId="0" fontId="10" fillId="0" borderId="31" xfId="0" applyFont="1" applyBorder="1" applyAlignment="1">
      <alignment vertical="center"/>
    </xf>
    <xf numFmtId="0" fontId="10" fillId="0" borderId="47" xfId="0" applyFont="1" applyBorder="1" applyAlignment="1">
      <alignment vertical="center"/>
    </xf>
    <xf numFmtId="0" fontId="10" fillId="0" borderId="32" xfId="0" applyFont="1" applyBorder="1" applyAlignment="1">
      <alignment vertical="center"/>
    </xf>
    <xf numFmtId="0" fontId="10" fillId="0" borderId="48" xfId="0" applyFont="1" applyBorder="1" applyAlignment="1">
      <alignment vertical="center"/>
    </xf>
    <xf numFmtId="169" fontId="10" fillId="0" borderId="33" xfId="1" applyNumberFormat="1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10" fillId="0" borderId="49" xfId="0" applyFont="1" applyBorder="1" applyAlignment="1">
      <alignment vertical="center"/>
    </xf>
    <xf numFmtId="173" fontId="10" fillId="0" borderId="33" xfId="1" applyNumberFormat="1" applyFont="1" applyBorder="1" applyAlignment="1">
      <alignment vertical="center"/>
    </xf>
    <xf numFmtId="0" fontId="10" fillId="0" borderId="26" xfId="0" applyFont="1" applyBorder="1" applyAlignment="1">
      <alignment horizontal="center" vertical="center"/>
    </xf>
    <xf numFmtId="0" fontId="8" fillId="0" borderId="13" xfId="0" applyFont="1" applyBorder="1"/>
    <xf numFmtId="0" fontId="8" fillId="0" borderId="11" xfId="0" applyFont="1" applyBorder="1"/>
    <xf numFmtId="14" fontId="8" fillId="0" borderId="5" xfId="0" applyNumberFormat="1" applyFont="1" applyBorder="1"/>
    <xf numFmtId="0" fontId="8" fillId="0" borderId="50" xfId="0" applyFont="1" applyBorder="1"/>
    <xf numFmtId="167" fontId="8" fillId="0" borderId="13" xfId="1" applyFont="1" applyBorder="1"/>
    <xf numFmtId="169" fontId="8" fillId="2" borderId="14" xfId="1" applyNumberFormat="1" applyFont="1" applyFill="1" applyBorder="1"/>
    <xf numFmtId="167" fontId="8" fillId="0" borderId="5" xfId="1" applyFont="1" applyBorder="1"/>
    <xf numFmtId="173" fontId="8" fillId="0" borderId="14" xfId="1" applyNumberFormat="1" applyFont="1" applyBorder="1"/>
    <xf numFmtId="167" fontId="8" fillId="2" borderId="51" xfId="1" applyFont="1" applyFill="1" applyBorder="1"/>
    <xf numFmtId="0" fontId="8" fillId="0" borderId="15" xfId="0" applyFont="1" applyBorder="1"/>
    <xf numFmtId="0" fontId="8" fillId="0" borderId="3" xfId="0" applyFont="1" applyBorder="1"/>
    <xf numFmtId="0" fontId="8" fillId="0" borderId="2" xfId="0" applyFont="1" applyBorder="1"/>
    <xf numFmtId="167" fontId="8" fillId="0" borderId="15" xfId="1" applyFont="1" applyBorder="1"/>
    <xf numFmtId="169" fontId="8" fillId="2" borderId="16" xfId="1" applyNumberFormat="1" applyFont="1" applyFill="1" applyBorder="1"/>
    <xf numFmtId="0" fontId="10" fillId="0" borderId="15" xfId="0" applyFont="1" applyBorder="1"/>
    <xf numFmtId="0" fontId="10" fillId="0" borderId="1" xfId="0" applyFont="1" applyBorder="1"/>
    <xf numFmtId="0" fontId="10" fillId="0" borderId="16" xfId="0" applyFont="1" applyBorder="1" applyAlignment="1">
      <alignment horizontal="center"/>
    </xf>
    <xf numFmtId="0" fontId="8" fillId="0" borderId="0" xfId="0" applyFont="1" applyBorder="1"/>
    <xf numFmtId="0" fontId="8" fillId="0" borderId="10" xfId="0" applyFont="1" applyBorder="1"/>
    <xf numFmtId="167" fontId="8" fillId="0" borderId="0" xfId="0" applyNumberFormat="1" applyFont="1"/>
    <xf numFmtId="0" fontId="10" fillId="0" borderId="41" xfId="0" applyFont="1" applyBorder="1"/>
    <xf numFmtId="0" fontId="8" fillId="0" borderId="24" xfId="0" applyFont="1" applyBorder="1"/>
    <xf numFmtId="0" fontId="10" fillId="0" borderId="40" xfId="0" applyFont="1" applyBorder="1"/>
    <xf numFmtId="0" fontId="10" fillId="0" borderId="25" xfId="0" applyFont="1" applyBorder="1"/>
    <xf numFmtId="0" fontId="10" fillId="0" borderId="34" xfId="0" applyFont="1" applyBorder="1"/>
    <xf numFmtId="2" fontId="8" fillId="0" borderId="35" xfId="0" applyNumberFormat="1" applyFont="1" applyBorder="1"/>
    <xf numFmtId="2" fontId="8" fillId="0" borderId="36" xfId="0" applyNumberFormat="1" applyFont="1" applyBorder="1"/>
    <xf numFmtId="2" fontId="8" fillId="0" borderId="1" xfId="0" applyNumberFormat="1" applyFont="1" applyBorder="1"/>
    <xf numFmtId="2" fontId="8" fillId="0" borderId="16" xfId="0" applyNumberFormat="1" applyFont="1" applyBorder="1"/>
    <xf numFmtId="0" fontId="10" fillId="0" borderId="19" xfId="0" applyFont="1" applyBorder="1"/>
    <xf numFmtId="2" fontId="8" fillId="0" borderId="21" xfId="0" applyNumberFormat="1" applyFont="1" applyBorder="1"/>
    <xf numFmtId="2" fontId="8" fillId="0" borderId="20" xfId="0" applyNumberFormat="1" applyFont="1" applyBorder="1"/>
    <xf numFmtId="2" fontId="0" fillId="0" borderId="0" xfId="0" applyNumberFormat="1" applyBorder="1"/>
    <xf numFmtId="0" fontId="0" fillId="0" borderId="17" xfId="0" applyBorder="1"/>
    <xf numFmtId="0" fontId="0" fillId="0" borderId="18" xfId="0" applyBorder="1"/>
    <xf numFmtId="2" fontId="1" fillId="0" borderId="0" xfId="0" applyNumberFormat="1" applyFont="1" applyBorder="1"/>
    <xf numFmtId="2" fontId="10" fillId="0" borderId="0" xfId="0" applyNumberFormat="1" applyFont="1" applyBorder="1"/>
    <xf numFmtId="10" fontId="8" fillId="0" borderId="17" xfId="2" applyNumberFormat="1" applyFont="1" applyBorder="1"/>
    <xf numFmtId="2" fontId="10" fillId="0" borderId="18" xfId="0" applyNumberFormat="1" applyFont="1" applyBorder="1"/>
    <xf numFmtId="0" fontId="0" fillId="0" borderId="70" xfId="0" applyBorder="1"/>
    <xf numFmtId="0" fontId="8" fillId="0" borderId="48" xfId="0" applyFont="1" applyBorder="1"/>
    <xf numFmtId="10" fontId="10" fillId="0" borderId="26" xfId="2" applyNumberFormat="1" applyFont="1" applyBorder="1"/>
    <xf numFmtId="0" fontId="10" fillId="0" borderId="37" xfId="0" applyFont="1" applyBorder="1"/>
    <xf numFmtId="17" fontId="10" fillId="0" borderId="39" xfId="0" applyNumberFormat="1" applyFont="1" applyBorder="1"/>
    <xf numFmtId="0" fontId="8" fillId="0" borderId="61" xfId="0" applyFont="1" applyBorder="1"/>
    <xf numFmtId="2" fontId="8" fillId="0" borderId="62" xfId="0" applyNumberFormat="1" applyFont="1" applyFill="1" applyBorder="1"/>
    <xf numFmtId="0" fontId="8" fillId="0" borderId="62" xfId="0" applyFont="1" applyBorder="1"/>
    <xf numFmtId="0" fontId="8" fillId="0" borderId="62" xfId="0" applyFont="1" applyFill="1" applyBorder="1"/>
    <xf numFmtId="2" fontId="8" fillId="0" borderId="63" xfId="0" applyNumberFormat="1" applyFont="1" applyBorder="1"/>
    <xf numFmtId="0" fontId="0" fillId="0" borderId="0" xfId="0" applyFill="1" applyBorder="1"/>
    <xf numFmtId="2" fontId="0" fillId="0" borderId="0" xfId="0" applyNumberFormat="1" applyFill="1" applyBorder="1"/>
    <xf numFmtId="0" fontId="8" fillId="6" borderId="0" xfId="0" applyFont="1" applyFill="1"/>
    <xf numFmtId="0" fontId="8" fillId="0" borderId="27" xfId="0" applyFont="1" applyBorder="1"/>
    <xf numFmtId="2" fontId="8" fillId="0" borderId="0" xfId="0" applyNumberFormat="1" applyFont="1"/>
    <xf numFmtId="0" fontId="8" fillId="2" borderId="1" xfId="0" applyFont="1" applyFill="1" applyBorder="1"/>
    <xf numFmtId="0" fontId="12" fillId="10" borderId="1" xfId="0" applyFont="1" applyFill="1" applyBorder="1"/>
    <xf numFmtId="0" fontId="8" fillId="10" borderId="1" xfId="0" applyFont="1" applyFill="1" applyBorder="1"/>
    <xf numFmtId="0" fontId="90" fillId="82" borderId="1" xfId="0" applyFont="1" applyFill="1" applyBorder="1"/>
    <xf numFmtId="0" fontId="8" fillId="82" borderId="1" xfId="0" applyFont="1" applyFill="1" applyBorder="1"/>
    <xf numFmtId="0" fontId="8" fillId="3" borderId="1" xfId="0" applyFont="1" applyFill="1" applyBorder="1"/>
    <xf numFmtId="181" fontId="8" fillId="0" borderId="0" xfId="0" applyNumberFormat="1" applyFont="1"/>
    <xf numFmtId="0" fontId="10" fillId="0" borderId="1" xfId="0" applyFont="1" applyFill="1" applyBorder="1"/>
    <xf numFmtId="0" fontId="8" fillId="83" borderId="1" xfId="0" applyFont="1" applyFill="1" applyBorder="1"/>
    <xf numFmtId="0" fontId="8" fillId="6" borderId="0" xfId="0" applyFont="1" applyFill="1" applyBorder="1"/>
    <xf numFmtId="2" fontId="10" fillId="0" borderId="1" xfId="0" applyNumberFormat="1" applyFont="1" applyBorder="1" applyAlignment="1">
      <alignment horizontal="center"/>
    </xf>
    <xf numFmtId="9" fontId="8" fillId="0" borderId="0" xfId="2" applyFont="1"/>
    <xf numFmtId="0" fontId="12" fillId="83" borderId="15" xfId="0" applyFont="1" applyFill="1" applyBorder="1"/>
    <xf numFmtId="0" fontId="10" fillId="0" borderId="15" xfId="0" applyFont="1" applyFill="1" applyBorder="1"/>
    <xf numFmtId="0" fontId="8" fillId="3" borderId="15" xfId="0" applyFont="1" applyFill="1" applyBorder="1"/>
    <xf numFmtId="0" fontId="12" fillId="3" borderId="15" xfId="0" applyFont="1" applyFill="1" applyBorder="1"/>
    <xf numFmtId="2" fontId="10" fillId="0" borderId="16" xfId="0" applyNumberFormat="1" applyFont="1" applyBorder="1" applyAlignment="1">
      <alignment horizontal="center"/>
    </xf>
    <xf numFmtId="0" fontId="8" fillId="82" borderId="15" xfId="0" applyFont="1" applyFill="1" applyBorder="1"/>
    <xf numFmtId="0" fontId="12" fillId="82" borderId="15" xfId="0" applyFont="1" applyFill="1" applyBorder="1"/>
    <xf numFmtId="0" fontId="8" fillId="10" borderId="15" xfId="0" applyFont="1" applyFill="1" applyBorder="1"/>
    <xf numFmtId="0" fontId="12" fillId="10" borderId="15" xfId="0" applyFont="1" applyFill="1" applyBorder="1"/>
    <xf numFmtId="0" fontId="10" fillId="2" borderId="15" xfId="0" applyFont="1" applyFill="1" applyBorder="1"/>
    <xf numFmtId="0" fontId="10" fillId="6" borderId="17" xfId="0" applyFont="1" applyFill="1" applyBorder="1"/>
    <xf numFmtId="0" fontId="12" fillId="0" borderId="17" xfId="0" applyFont="1" applyBorder="1"/>
    <xf numFmtId="2" fontId="12" fillId="83" borderId="1" xfId="0" applyNumberFormat="1" applyFont="1" applyFill="1" applyBorder="1" applyAlignment="1">
      <alignment horizontal="center"/>
    </xf>
    <xf numFmtId="2" fontId="10" fillId="0" borderId="1" xfId="0" applyNumberFormat="1" applyFont="1" applyFill="1" applyBorder="1" applyAlignment="1">
      <alignment horizontal="center"/>
    </xf>
    <xf numFmtId="2" fontId="10" fillId="0" borderId="16" xfId="0" applyNumberFormat="1" applyFont="1" applyFill="1" applyBorder="1" applyAlignment="1">
      <alignment horizontal="center"/>
    </xf>
    <xf numFmtId="2" fontId="8" fillId="3" borderId="1" xfId="0" applyNumberFormat="1" applyFont="1" applyFill="1" applyBorder="1" applyAlignment="1">
      <alignment horizontal="center"/>
    </xf>
    <xf numFmtId="2" fontId="8" fillId="3" borderId="16" xfId="0" applyNumberFormat="1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center"/>
    </xf>
    <xf numFmtId="2" fontId="8" fillId="82" borderId="1" xfId="0" applyNumberFormat="1" applyFont="1" applyFill="1" applyBorder="1" applyAlignment="1">
      <alignment horizontal="center"/>
    </xf>
    <xf numFmtId="2" fontId="8" fillId="82" borderId="16" xfId="0" applyNumberFormat="1" applyFont="1" applyFill="1" applyBorder="1" applyAlignment="1">
      <alignment horizontal="center"/>
    </xf>
    <xf numFmtId="2" fontId="12" fillId="82" borderId="1" xfId="0" applyNumberFormat="1" applyFont="1" applyFill="1" applyBorder="1" applyAlignment="1">
      <alignment horizontal="center"/>
    </xf>
    <xf numFmtId="2" fontId="10" fillId="2" borderId="1" xfId="0" applyNumberFormat="1" applyFont="1" applyFill="1" applyBorder="1" applyAlignment="1">
      <alignment horizontal="center"/>
    </xf>
    <xf numFmtId="0" fontId="10" fillId="0" borderId="70" xfId="0" applyFont="1" applyBorder="1"/>
    <xf numFmtId="0" fontId="8" fillId="0" borderId="10" xfId="0" applyFont="1" applyBorder="1" applyAlignment="1">
      <alignment horizontal="left"/>
    </xf>
    <xf numFmtId="2" fontId="10" fillId="0" borderId="57" xfId="0" applyNumberFormat="1" applyFont="1" applyBorder="1" applyAlignment="1">
      <alignment horizontal="center"/>
    </xf>
    <xf numFmtId="2" fontId="10" fillId="0" borderId="67" xfId="0" applyNumberFormat="1" applyFont="1" applyBorder="1" applyAlignment="1">
      <alignment horizontal="center"/>
    </xf>
    <xf numFmtId="0" fontId="8" fillId="0" borderId="66" xfId="0" applyFont="1" applyBorder="1"/>
    <xf numFmtId="2" fontId="8" fillId="2" borderId="62" xfId="0" applyNumberFormat="1" applyFont="1" applyFill="1" applyBorder="1"/>
    <xf numFmtId="2" fontId="8" fillId="2" borderId="63" xfId="0" applyNumberFormat="1" applyFont="1" applyFill="1" applyBorder="1"/>
    <xf numFmtId="0" fontId="10" fillId="0" borderId="1" xfId="0" applyFont="1" applyBorder="1" applyAlignment="1">
      <alignment horizontal="center"/>
    </xf>
    <xf numFmtId="2" fontId="12" fillId="83" borderId="16" xfId="0" applyNumberFormat="1" applyFont="1" applyFill="1" applyBorder="1" applyAlignment="1">
      <alignment horizontal="center"/>
    </xf>
    <xf numFmtId="0" fontId="8" fillId="0" borderId="70" xfId="0" applyFont="1" applyBorder="1"/>
    <xf numFmtId="181" fontId="10" fillId="0" borderId="0" xfId="0" applyNumberFormat="1" applyFont="1"/>
    <xf numFmtId="234" fontId="8" fillId="0" borderId="0" xfId="0" applyNumberFormat="1" applyFont="1"/>
    <xf numFmtId="167" fontId="10" fillId="0" borderId="0" xfId="1" applyFont="1"/>
    <xf numFmtId="167" fontId="8" fillId="2" borderId="61" xfId="1" applyFont="1" applyFill="1" applyBorder="1"/>
    <xf numFmtId="178" fontId="8" fillId="0" borderId="0" xfId="0" applyNumberFormat="1" applyFont="1"/>
    <xf numFmtId="178" fontId="10" fillId="0" borderId="0" xfId="0" applyNumberFormat="1" applyFont="1"/>
    <xf numFmtId="2" fontId="8" fillId="0" borderId="10" xfId="0" applyNumberFormat="1" applyFont="1" applyBorder="1" applyAlignment="1">
      <alignment horizontal="right" indent="2"/>
    </xf>
    <xf numFmtId="2" fontId="8" fillId="0" borderId="27" xfId="0" applyNumberFormat="1" applyFont="1" applyBorder="1" applyAlignment="1">
      <alignment horizontal="right" indent="2"/>
    </xf>
    <xf numFmtId="2" fontId="8" fillId="10" borderId="1" xfId="0" applyNumberFormat="1" applyFont="1" applyFill="1" applyBorder="1" applyAlignment="1">
      <alignment horizontal="right" indent="2"/>
    </xf>
    <xf numFmtId="2" fontId="12" fillId="10" borderId="1" xfId="0" applyNumberFormat="1" applyFont="1" applyFill="1" applyBorder="1" applyAlignment="1">
      <alignment horizontal="right" indent="2"/>
    </xf>
    <xf numFmtId="2" fontId="8" fillId="10" borderId="1" xfId="0" applyNumberFormat="1" applyFont="1" applyFill="1" applyBorder="1" applyAlignment="1">
      <alignment horizontal="right" indent="3"/>
    </xf>
    <xf numFmtId="2" fontId="12" fillId="10" borderId="1" xfId="0" applyNumberFormat="1" applyFont="1" applyFill="1" applyBorder="1" applyAlignment="1">
      <alignment horizontal="right" indent="3"/>
    </xf>
    <xf numFmtId="2" fontId="8" fillId="10" borderId="16" xfId="0" applyNumberFormat="1" applyFont="1" applyFill="1" applyBorder="1" applyAlignment="1">
      <alignment horizontal="right" indent="3"/>
    </xf>
    <xf numFmtId="2" fontId="8" fillId="0" borderId="10" xfId="0" applyNumberFormat="1" applyFont="1" applyBorder="1" applyAlignment="1">
      <alignment horizontal="right" indent="3"/>
    </xf>
    <xf numFmtId="2" fontId="8" fillId="0" borderId="27" xfId="0" applyNumberFormat="1" applyFont="1" applyBorder="1" applyAlignment="1">
      <alignment horizontal="right" indent="3"/>
    </xf>
    <xf numFmtId="2" fontId="10" fillId="0" borderId="4" xfId="0" applyNumberFormat="1" applyFont="1" applyBorder="1" applyAlignment="1">
      <alignment horizontal="right" indent="2"/>
    </xf>
    <xf numFmtId="2" fontId="10" fillId="0" borderId="4" xfId="0" applyNumberFormat="1" applyFont="1" applyBorder="1" applyAlignment="1">
      <alignment horizontal="right" indent="3"/>
    </xf>
    <xf numFmtId="176" fontId="8" fillId="0" borderId="0" xfId="2" applyNumberFormat="1" applyFont="1"/>
    <xf numFmtId="176" fontId="8" fillId="0" borderId="0" xfId="0" applyNumberFormat="1" applyFont="1" applyAlignment="1">
      <alignment horizontal="right" indent="2"/>
    </xf>
    <xf numFmtId="176" fontId="8" fillId="0" borderId="0" xfId="0" applyNumberFormat="1" applyFont="1"/>
    <xf numFmtId="2" fontId="12" fillId="3" borderId="16" xfId="0" applyNumberFormat="1" applyFont="1" applyFill="1" applyBorder="1" applyAlignment="1">
      <alignment horizontal="center"/>
    </xf>
    <xf numFmtId="2" fontId="12" fillId="82" borderId="16" xfId="0" applyNumberFormat="1" applyFont="1" applyFill="1" applyBorder="1" applyAlignment="1">
      <alignment horizontal="center"/>
    </xf>
    <xf numFmtId="2" fontId="12" fillId="10" borderId="16" xfId="0" applyNumberFormat="1" applyFont="1" applyFill="1" applyBorder="1" applyAlignment="1">
      <alignment horizontal="right" indent="3"/>
    </xf>
    <xf numFmtId="2" fontId="10" fillId="2" borderId="16" xfId="0" applyNumberFormat="1" applyFont="1" applyFill="1" applyBorder="1" applyAlignment="1">
      <alignment horizontal="center"/>
    </xf>
    <xf numFmtId="0" fontId="92" fillId="0" borderId="0" xfId="0" applyFont="1"/>
    <xf numFmtId="0" fontId="93" fillId="0" borderId="0" xfId="0" applyFont="1"/>
    <xf numFmtId="0" fontId="93" fillId="0" borderId="1" xfId="0" applyFont="1" applyFill="1" applyBorder="1" applyAlignment="1">
      <alignment horizontal="center"/>
    </xf>
    <xf numFmtId="2" fontId="92" fillId="0" borderId="0" xfId="0" applyNumberFormat="1" applyFont="1"/>
    <xf numFmtId="0" fontId="92" fillId="0" borderId="0" xfId="0" applyFont="1" applyFill="1"/>
    <xf numFmtId="4" fontId="92" fillId="0" borderId="0" xfId="0" applyNumberFormat="1" applyFont="1"/>
    <xf numFmtId="0" fontId="93" fillId="0" borderId="0" xfId="0" applyFont="1" applyFill="1" applyBorder="1"/>
    <xf numFmtId="233" fontId="93" fillId="0" borderId="0" xfId="0" applyNumberFormat="1" applyFont="1" applyFill="1" applyBorder="1" applyAlignment="1">
      <alignment horizontal="center" vertical="center"/>
    </xf>
    <xf numFmtId="0" fontId="93" fillId="0" borderId="0" xfId="0" applyFont="1" applyAlignment="1">
      <alignment wrapText="1"/>
    </xf>
    <xf numFmtId="2" fontId="93" fillId="0" borderId="1" xfId="0" applyNumberFormat="1" applyFont="1" applyBorder="1"/>
    <xf numFmtId="0" fontId="95" fillId="12" borderId="1" xfId="0" applyFont="1" applyFill="1" applyBorder="1" applyAlignment="1">
      <alignment horizontal="center"/>
    </xf>
    <xf numFmtId="0" fontId="97" fillId="0" borderId="0" xfId="0" applyFont="1"/>
    <xf numFmtId="167" fontId="92" fillId="0" borderId="0" xfId="1" applyFont="1"/>
    <xf numFmtId="167" fontId="92" fillId="0" borderId="0" xfId="1" applyFont="1" applyAlignment="1">
      <alignment wrapText="1"/>
    </xf>
    <xf numFmtId="17" fontId="94" fillId="0" borderId="0" xfId="0" applyNumberFormat="1" applyFont="1" applyAlignment="1">
      <alignment horizontal="center"/>
    </xf>
    <xf numFmtId="2" fontId="92" fillId="0" borderId="0" xfId="0" applyNumberFormat="1" applyFont="1" applyBorder="1"/>
    <xf numFmtId="43" fontId="92" fillId="0" borderId="0" xfId="0" applyNumberFormat="1" applyFont="1" applyBorder="1"/>
    <xf numFmtId="0" fontId="92" fillId="0" borderId="0" xfId="0" applyFont="1" applyBorder="1"/>
    <xf numFmtId="0" fontId="92" fillId="0" borderId="1" xfId="0" applyFont="1" applyBorder="1" applyAlignment="1">
      <alignment vertical="center"/>
    </xf>
    <xf numFmtId="167" fontId="92" fillId="0" borderId="1" xfId="1" applyFont="1" applyBorder="1"/>
    <xf numFmtId="167" fontId="92" fillId="2" borderId="1" xfId="1" applyFont="1" applyFill="1" applyBorder="1"/>
    <xf numFmtId="167" fontId="98" fillId="0" borderId="0" xfId="1" applyFont="1" applyBorder="1"/>
    <xf numFmtId="167" fontId="92" fillId="0" borderId="0" xfId="1" applyFont="1" applyBorder="1"/>
    <xf numFmtId="167" fontId="98" fillId="0" borderId="0" xfId="1" applyFont="1" applyBorder="1" applyAlignment="1">
      <alignment wrapText="1"/>
    </xf>
    <xf numFmtId="167" fontId="98" fillId="0" borderId="0" xfId="1" applyFont="1"/>
    <xf numFmtId="169" fontId="98" fillId="0" borderId="0" xfId="1" applyNumberFormat="1" applyFont="1"/>
    <xf numFmtId="175" fontId="92" fillId="0" borderId="0" xfId="1" applyNumberFormat="1" applyFont="1"/>
    <xf numFmtId="174" fontId="92" fillId="0" borderId="0" xfId="0" applyNumberFormat="1" applyFont="1"/>
    <xf numFmtId="0" fontId="92" fillId="0" borderId="0" xfId="0" applyFont="1" applyAlignment="1">
      <alignment horizontal="center"/>
    </xf>
    <xf numFmtId="0" fontId="92" fillId="0" borderId="0" xfId="0" applyFont="1" applyBorder="1" applyAlignment="1">
      <alignment horizontal="center"/>
    </xf>
    <xf numFmtId="174" fontId="92" fillId="0" borderId="0" xfId="0" applyNumberFormat="1" applyFont="1" applyAlignment="1">
      <alignment horizontal="center"/>
    </xf>
    <xf numFmtId="0" fontId="92" fillId="0" borderId="18" xfId="0" applyFont="1" applyBorder="1"/>
    <xf numFmtId="0" fontId="94" fillId="0" borderId="4" xfId="0" applyFont="1" applyBorder="1" applyAlignment="1">
      <alignment horizontal="center"/>
    </xf>
    <xf numFmtId="43" fontId="99" fillId="0" borderId="0" xfId="0" applyNumberFormat="1" applyFont="1" applyFill="1"/>
    <xf numFmtId="167" fontId="92" fillId="0" borderId="1" xfId="1" applyFont="1" applyFill="1" applyBorder="1"/>
    <xf numFmtId="167" fontId="92" fillId="2" borderId="1" xfId="1" applyNumberFormat="1" applyFont="1" applyFill="1" applyBorder="1"/>
    <xf numFmtId="167" fontId="93" fillId="0" borderId="1" xfId="1" applyFont="1" applyFill="1" applyBorder="1"/>
    <xf numFmtId="0" fontId="92" fillId="0" borderId="1" xfId="0" applyFont="1" applyBorder="1"/>
    <xf numFmtId="174" fontId="92" fillId="0" borderId="0" xfId="1" applyNumberFormat="1" applyFont="1"/>
    <xf numFmtId="167" fontId="99" fillId="0" borderId="70" xfId="0" applyNumberFormat="1" applyFont="1" applyBorder="1"/>
    <xf numFmtId="167" fontId="98" fillId="0" borderId="31" xfId="1" applyFont="1" applyBorder="1"/>
    <xf numFmtId="167" fontId="98" fillId="0" borderId="32" xfId="1" applyFont="1" applyBorder="1"/>
    <xf numFmtId="167" fontId="98" fillId="0" borderId="33" xfId="1" applyFont="1" applyBorder="1" applyAlignment="1">
      <alignment wrapText="1"/>
    </xf>
    <xf numFmtId="167" fontId="92" fillId="2" borderId="36" xfId="1" applyFont="1" applyFill="1" applyBorder="1"/>
    <xf numFmtId="167" fontId="92" fillId="0" borderId="21" xfId="1" applyFont="1" applyBorder="1"/>
    <xf numFmtId="0" fontId="94" fillId="0" borderId="63" xfId="0" applyFont="1" applyBorder="1" applyAlignment="1">
      <alignment horizontal="center" wrapText="1"/>
    </xf>
    <xf numFmtId="0" fontId="94" fillId="0" borderId="55" xfId="0" applyFont="1" applyBorder="1" applyAlignment="1">
      <alignment horizontal="center"/>
    </xf>
    <xf numFmtId="0" fontId="94" fillId="0" borderId="37" xfId="0" applyFont="1" applyBorder="1" applyAlignment="1">
      <alignment horizontal="center"/>
    </xf>
    <xf numFmtId="169" fontId="92" fillId="0" borderId="0" xfId="1" applyNumberFormat="1" applyFont="1"/>
    <xf numFmtId="173" fontId="92" fillId="0" borderId="0" xfId="1" applyNumberFormat="1" applyFont="1"/>
    <xf numFmtId="0" fontId="94" fillId="0" borderId="41" xfId="0" applyFont="1" applyBorder="1" applyAlignment="1">
      <alignment horizontal="center"/>
    </xf>
    <xf numFmtId="167" fontId="92" fillId="0" borderId="0" xfId="0" applyNumberFormat="1" applyFont="1"/>
    <xf numFmtId="0" fontId="98" fillId="0" borderId="0" xfId="0" applyFont="1"/>
    <xf numFmtId="167" fontId="98" fillId="0" borderId="0" xfId="1" applyNumberFormat="1" applyFont="1"/>
    <xf numFmtId="167" fontId="98" fillId="0" borderId="0" xfId="0" applyNumberFormat="1" applyFont="1"/>
    <xf numFmtId="2" fontId="98" fillId="0" borderId="0" xfId="0" applyNumberFormat="1" applyFont="1"/>
    <xf numFmtId="43" fontId="92" fillId="0" borderId="0" xfId="0" applyNumberFormat="1" applyFont="1"/>
    <xf numFmtId="167" fontId="98" fillId="0" borderId="70" xfId="1" applyFont="1" applyBorder="1"/>
    <xf numFmtId="167" fontId="92" fillId="0" borderId="35" xfId="1" applyFont="1" applyBorder="1"/>
    <xf numFmtId="0" fontId="96" fillId="0" borderId="0" xfId="0" applyFont="1"/>
    <xf numFmtId="0" fontId="96" fillId="3" borderId="1" xfId="0" applyFont="1" applyFill="1" applyBorder="1"/>
    <xf numFmtId="0" fontId="96" fillId="0" borderId="2" xfId="0" applyFont="1" applyBorder="1"/>
    <xf numFmtId="17" fontId="96" fillId="5" borderId="67" xfId="0" applyNumberFormat="1" applyFont="1" applyFill="1" applyBorder="1" applyAlignment="1">
      <alignment horizontal="center"/>
    </xf>
    <xf numFmtId="0" fontId="96" fillId="0" borderId="9" xfId="0" applyFont="1" applyBorder="1"/>
    <xf numFmtId="0" fontId="96" fillId="0" borderId="9" xfId="0" applyFont="1" applyBorder="1" applyAlignment="1">
      <alignment horizontal="left"/>
    </xf>
    <xf numFmtId="0" fontId="96" fillId="0" borderId="65" xfId="0" applyFont="1" applyBorder="1" applyAlignment="1">
      <alignment horizontal="left" vertical="center"/>
    </xf>
    <xf numFmtId="0" fontId="96" fillId="0" borderId="1" xfId="0" applyFont="1" applyBorder="1" applyAlignment="1">
      <alignment horizontal="left" vertical="center"/>
    </xf>
    <xf numFmtId="2" fontId="96" fillId="0" borderId="15" xfId="0" applyNumberFormat="1" applyFont="1" applyFill="1" applyBorder="1"/>
    <xf numFmtId="0" fontId="96" fillId="0" borderId="1" xfId="0" applyFont="1" applyBorder="1"/>
    <xf numFmtId="0" fontId="92" fillId="0" borderId="17" xfId="0" applyFont="1" applyBorder="1" applyAlignment="1">
      <alignment horizontal="left" indent="4"/>
    </xf>
    <xf numFmtId="0" fontId="94" fillId="0" borderId="17" xfId="0" applyFont="1" applyBorder="1" applyAlignment="1">
      <alignment horizontal="left" indent="4"/>
    </xf>
    <xf numFmtId="0" fontId="100" fillId="0" borderId="17" xfId="0" applyFont="1" applyBorder="1" applyAlignment="1">
      <alignment horizontal="left" indent="6"/>
    </xf>
    <xf numFmtId="0" fontId="100" fillId="0" borderId="70" xfId="0" applyFont="1" applyBorder="1" applyAlignment="1">
      <alignment horizontal="left" indent="6"/>
    </xf>
    <xf numFmtId="0" fontId="100" fillId="0" borderId="0" xfId="0" applyFont="1" applyBorder="1" applyAlignment="1">
      <alignment horizontal="left" indent="6"/>
    </xf>
    <xf numFmtId="0" fontId="94" fillId="0" borderId="28" xfId="0" applyFont="1" applyBorder="1" applyAlignment="1">
      <alignment horizontal="center"/>
    </xf>
    <xf numFmtId="0" fontId="92" fillId="0" borderId="15" xfId="0" applyFont="1" applyBorder="1"/>
    <xf numFmtId="0" fontId="92" fillId="0" borderId="2" xfId="0" applyFont="1" applyBorder="1" applyAlignment="1">
      <alignment wrapText="1"/>
    </xf>
    <xf numFmtId="2" fontId="92" fillId="0" borderId="15" xfId="0" applyNumberFormat="1" applyFont="1" applyBorder="1"/>
    <xf numFmtId="0" fontId="92" fillId="0" borderId="2" xfId="0" applyFont="1" applyBorder="1"/>
    <xf numFmtId="0" fontId="93" fillId="0" borderId="2" xfId="0" applyFont="1" applyBorder="1"/>
    <xf numFmtId="0" fontId="93" fillId="0" borderId="15" xfId="0" applyFont="1" applyBorder="1"/>
    <xf numFmtId="0" fontId="92" fillId="0" borderId="15" xfId="0" applyFont="1" applyBorder="1" applyAlignment="1"/>
    <xf numFmtId="0" fontId="92" fillId="0" borderId="2" xfId="0" applyFont="1" applyBorder="1" applyAlignment="1"/>
    <xf numFmtId="2" fontId="92" fillId="0" borderId="13" xfId="0" applyNumberFormat="1" applyFont="1" applyBorder="1"/>
    <xf numFmtId="178" fontId="93" fillId="0" borderId="1" xfId="0" applyNumberFormat="1" applyFont="1" applyBorder="1"/>
    <xf numFmtId="0" fontId="92" fillId="12" borderId="15" xfId="0" applyFont="1" applyFill="1" applyBorder="1" applyAlignment="1">
      <alignment horizontal="left"/>
    </xf>
    <xf numFmtId="0" fontId="92" fillId="12" borderId="2" xfId="0" applyFont="1" applyFill="1" applyBorder="1" applyAlignment="1">
      <alignment horizontal="left"/>
    </xf>
    <xf numFmtId="0" fontId="92" fillId="0" borderId="15" xfId="0" applyFont="1" applyBorder="1" applyAlignment="1">
      <alignment horizontal="left"/>
    </xf>
    <xf numFmtId="0" fontId="92" fillId="0" borderId="2" xfId="0" applyFont="1" applyBorder="1" applyAlignment="1">
      <alignment horizontal="left"/>
    </xf>
    <xf numFmtId="0" fontId="94" fillId="2" borderId="19" xfId="0" applyFont="1" applyFill="1" applyBorder="1"/>
    <xf numFmtId="0" fontId="94" fillId="2" borderId="49" xfId="0" applyFont="1" applyFill="1" applyBorder="1"/>
    <xf numFmtId="169" fontId="92" fillId="0" borderId="1" xfId="0" applyNumberFormat="1" applyFont="1" applyFill="1" applyBorder="1" applyAlignment="1">
      <alignment wrapText="1"/>
    </xf>
    <xf numFmtId="0" fontId="92" fillId="0" borderId="2" xfId="0" applyFont="1" applyBorder="1" applyAlignment="1">
      <alignment horizontal="center"/>
    </xf>
    <xf numFmtId="0" fontId="92" fillId="0" borderId="19" xfId="0" applyFont="1" applyBorder="1"/>
    <xf numFmtId="0" fontId="95" fillId="2" borderId="7" xfId="0" applyFont="1" applyFill="1" applyBorder="1"/>
    <xf numFmtId="179" fontId="95" fillId="2" borderId="6" xfId="2" applyNumberFormat="1" applyFont="1" applyFill="1" applyBorder="1"/>
    <xf numFmtId="10" fontId="95" fillId="2" borderId="12" xfId="0" applyNumberFormat="1" applyFont="1" applyFill="1" applyBorder="1"/>
    <xf numFmtId="0" fontId="101" fillId="0" borderId="27" xfId="0" applyFont="1" applyBorder="1"/>
    <xf numFmtId="0" fontId="93" fillId="0" borderId="27" xfId="0" applyFont="1" applyBorder="1"/>
    <xf numFmtId="0" fontId="95" fillId="0" borderId="0" xfId="0" applyFont="1"/>
    <xf numFmtId="0" fontId="102" fillId="0" borderId="0" xfId="0" applyFont="1"/>
    <xf numFmtId="0" fontId="95" fillId="0" borderId="0" xfId="0" applyFont="1" applyAlignment="1"/>
    <xf numFmtId="0" fontId="103" fillId="0" borderId="0" xfId="0" applyFont="1" applyFill="1" applyBorder="1" applyAlignment="1">
      <alignment horizontal="center"/>
    </xf>
    <xf numFmtId="0" fontId="101" fillId="0" borderId="0" xfId="0" applyFont="1"/>
    <xf numFmtId="0" fontId="93" fillId="0" borderId="1" xfId="0" applyFont="1" applyBorder="1"/>
    <xf numFmtId="0" fontId="95" fillId="0" borderId="1" xfId="0" applyFont="1" applyBorder="1" applyAlignment="1">
      <alignment horizontal="right"/>
    </xf>
    <xf numFmtId="9" fontId="93" fillId="5" borderId="4" xfId="0" applyNumberFormat="1" applyFont="1" applyFill="1" applyBorder="1" applyAlignment="1">
      <alignment horizontal="center"/>
    </xf>
    <xf numFmtId="0" fontId="101" fillId="5" borderId="0" xfId="0" applyFont="1" applyFill="1"/>
    <xf numFmtId="2" fontId="95" fillId="3" borderId="1" xfId="0" applyNumberFormat="1" applyFont="1" applyFill="1" applyBorder="1"/>
    <xf numFmtId="9" fontId="93" fillId="0" borderId="0" xfId="0" applyNumberFormat="1" applyFont="1" applyAlignment="1">
      <alignment horizontal="center"/>
    </xf>
    <xf numFmtId="167" fontId="93" fillId="5" borderId="1" xfId="1" applyFont="1" applyFill="1" applyBorder="1"/>
    <xf numFmtId="9" fontId="93" fillId="2" borderId="4" xfId="2" applyFont="1" applyFill="1" applyBorder="1" applyAlignment="1">
      <alignment horizontal="center"/>
    </xf>
    <xf numFmtId="2" fontId="93" fillId="0" borderId="1" xfId="0" applyNumberFormat="1" applyFont="1" applyFill="1" applyBorder="1"/>
    <xf numFmtId="0" fontId="93" fillId="2" borderId="4" xfId="0" applyFont="1" applyFill="1" applyBorder="1" applyAlignment="1">
      <alignment horizontal="center"/>
    </xf>
    <xf numFmtId="39" fontId="103" fillId="4" borderId="4" xfId="1" applyNumberFormat="1" applyFont="1" applyFill="1" applyBorder="1" applyAlignment="1">
      <alignment horizontal="center" vertical="center"/>
    </xf>
    <xf numFmtId="0" fontId="93" fillId="0" borderId="1" xfId="0" applyFont="1" applyFill="1" applyBorder="1"/>
    <xf numFmtId="0" fontId="101" fillId="0" borderId="0" xfId="0" applyFont="1" applyFill="1" applyBorder="1"/>
    <xf numFmtId="0" fontId="99" fillId="0" borderId="1" xfId="0" applyFont="1" applyBorder="1"/>
    <xf numFmtId="167" fontId="99" fillId="0" borderId="1" xfId="1" applyFont="1" applyFill="1" applyBorder="1"/>
    <xf numFmtId="10" fontId="93" fillId="0" borderId="0" xfId="0" applyNumberFormat="1" applyFont="1" applyAlignment="1">
      <alignment horizontal="center"/>
    </xf>
    <xf numFmtId="1" fontId="95" fillId="2" borderId="4" xfId="0" applyNumberFormat="1" applyFont="1" applyFill="1" applyBorder="1" applyAlignment="1">
      <alignment horizontal="center"/>
    </xf>
    <xf numFmtId="2" fontId="93" fillId="5" borderId="1" xfId="0" applyNumberFormat="1" applyFont="1" applyFill="1" applyBorder="1"/>
    <xf numFmtId="0" fontId="93" fillId="0" borderId="0" xfId="0" applyFont="1" applyAlignment="1">
      <alignment horizontal="center"/>
    </xf>
    <xf numFmtId="2" fontId="95" fillId="0" borderId="1" xfId="0" applyNumberFormat="1" applyFont="1" applyBorder="1"/>
    <xf numFmtId="2" fontId="104" fillId="0" borderId="1" xfId="0" applyNumberFormat="1" applyFont="1" applyBorder="1"/>
    <xf numFmtId="2" fontId="103" fillId="2" borderId="12" xfId="0" applyNumberFormat="1" applyFont="1" applyFill="1" applyBorder="1" applyAlignment="1">
      <alignment horizontal="center"/>
    </xf>
    <xf numFmtId="167" fontId="95" fillId="3" borderId="1" xfId="1" applyNumberFormat="1" applyFont="1" applyFill="1" applyBorder="1"/>
    <xf numFmtId="169" fontId="93" fillId="0" borderId="0" xfId="1" applyNumberFormat="1" applyFont="1"/>
    <xf numFmtId="9" fontId="93" fillId="5" borderId="0" xfId="0" applyNumberFormat="1" applyFont="1" applyFill="1" applyAlignment="1">
      <alignment horizontal="center"/>
    </xf>
    <xf numFmtId="0" fontId="93" fillId="12" borderId="1" xfId="0" applyFont="1" applyFill="1" applyBorder="1" applyAlignment="1">
      <alignment horizontal="center"/>
    </xf>
    <xf numFmtId="0" fontId="102" fillId="5" borderId="0" xfId="0" applyFont="1" applyFill="1"/>
    <xf numFmtId="167" fontId="93" fillId="0" borderId="1" xfId="0" applyNumberFormat="1" applyFont="1" applyFill="1" applyBorder="1"/>
    <xf numFmtId="9" fontId="93" fillId="5" borderId="12" xfId="0" applyNumberFormat="1" applyFont="1" applyFill="1" applyBorder="1" applyAlignment="1">
      <alignment horizontal="center"/>
    </xf>
    <xf numFmtId="181" fontId="93" fillId="2" borderId="4" xfId="0" applyNumberFormat="1" applyFont="1" applyFill="1" applyBorder="1" applyAlignment="1">
      <alignment horizontal="center"/>
    </xf>
    <xf numFmtId="0" fontId="93" fillId="6" borderId="1" xfId="0" applyFont="1" applyFill="1" applyBorder="1"/>
    <xf numFmtId="167" fontId="93" fillId="6" borderId="1" xfId="1" applyFont="1" applyFill="1" applyBorder="1"/>
    <xf numFmtId="10" fontId="93" fillId="7" borderId="0" xfId="0" applyNumberFormat="1" applyFont="1" applyFill="1" applyAlignment="1">
      <alignment horizontal="center"/>
    </xf>
    <xf numFmtId="167" fontId="101" fillId="0" borderId="0" xfId="0" applyNumberFormat="1" applyFont="1"/>
    <xf numFmtId="39" fontId="103" fillId="4" borderId="0" xfId="1" applyNumberFormat="1" applyFont="1" applyFill="1" applyBorder="1" applyAlignment="1">
      <alignment horizontal="center" vertical="center"/>
    </xf>
    <xf numFmtId="167" fontId="93" fillId="5" borderId="1" xfId="1" applyNumberFormat="1" applyFont="1" applyFill="1" applyBorder="1"/>
    <xf numFmtId="0" fontId="101" fillId="0" borderId="4" xfId="0" applyFont="1" applyBorder="1"/>
    <xf numFmtId="167" fontId="99" fillId="0" borderId="1" xfId="1" applyNumberFormat="1" applyFont="1" applyFill="1" applyBorder="1"/>
    <xf numFmtId="167" fontId="93" fillId="0" borderId="1" xfId="1" applyNumberFormat="1" applyFont="1" applyFill="1" applyBorder="1"/>
    <xf numFmtId="167" fontId="93" fillId="0" borderId="0" xfId="0" applyNumberFormat="1" applyFont="1"/>
    <xf numFmtId="9" fontId="95" fillId="2" borderId="4" xfId="2" applyFont="1" applyFill="1" applyBorder="1" applyAlignment="1">
      <alignment horizontal="center"/>
    </xf>
    <xf numFmtId="0" fontId="95" fillId="2" borderId="4" xfId="0" applyFont="1" applyFill="1" applyBorder="1" applyAlignment="1">
      <alignment horizontal="center"/>
    </xf>
    <xf numFmtId="167" fontId="103" fillId="4" borderId="0" xfId="1" applyNumberFormat="1" applyFont="1" applyFill="1" applyBorder="1" applyAlignment="1">
      <alignment horizontal="center" vertical="center"/>
    </xf>
    <xf numFmtId="167" fontId="95" fillId="3" borderId="1" xfId="1" applyNumberFormat="1" applyFont="1" applyFill="1" applyBorder="1" applyAlignment="1">
      <alignment horizontal="center"/>
    </xf>
    <xf numFmtId="0" fontId="103" fillId="6" borderId="0" xfId="0" applyFont="1" applyFill="1" applyBorder="1" applyAlignment="1">
      <alignment horizontal="center"/>
    </xf>
    <xf numFmtId="2" fontId="93" fillId="0" borderId="0" xfId="0" applyNumberFormat="1" applyFont="1" applyAlignment="1">
      <alignment horizontal="center"/>
    </xf>
    <xf numFmtId="167" fontId="95" fillId="2" borderId="1" xfId="1" applyNumberFormat="1" applyFont="1" applyFill="1" applyBorder="1" applyAlignment="1">
      <alignment horizontal="center"/>
    </xf>
    <xf numFmtId="232" fontId="95" fillId="0" borderId="0" xfId="0" applyNumberFormat="1" applyFont="1" applyFill="1" applyBorder="1" applyAlignment="1" applyProtection="1">
      <alignment horizontal="center" vertical="center"/>
    </xf>
    <xf numFmtId="0" fontId="94" fillId="0" borderId="15" xfId="0" applyFont="1" applyBorder="1"/>
    <xf numFmtId="0" fontId="94" fillId="0" borderId="1" xfId="0" applyFont="1" applyBorder="1"/>
    <xf numFmtId="0" fontId="94" fillId="0" borderId="1" xfId="0" applyFont="1" applyBorder="1" applyAlignment="1">
      <alignment horizontal="center"/>
    </xf>
    <xf numFmtId="0" fontId="94" fillId="0" borderId="16" xfId="0" applyFont="1" applyBorder="1" applyAlignment="1">
      <alignment horizontal="center"/>
    </xf>
    <xf numFmtId="0" fontId="97" fillId="83" borderId="15" xfId="0" applyFont="1" applyFill="1" applyBorder="1"/>
    <xf numFmtId="0" fontId="92" fillId="83" borderId="1" xfId="0" applyFont="1" applyFill="1" applyBorder="1"/>
    <xf numFmtId="2" fontId="97" fillId="83" borderId="1" xfId="0" applyNumberFormat="1" applyFont="1" applyFill="1" applyBorder="1" applyAlignment="1">
      <alignment horizontal="center"/>
    </xf>
    <xf numFmtId="2" fontId="97" fillId="83" borderId="16" xfId="0" applyNumberFormat="1" applyFont="1" applyFill="1" applyBorder="1" applyAlignment="1">
      <alignment horizontal="center"/>
    </xf>
    <xf numFmtId="167" fontId="94" fillId="0" borderId="0" xfId="1" applyFont="1"/>
    <xf numFmtId="178" fontId="92" fillId="0" borderId="0" xfId="0" applyNumberFormat="1" applyFont="1"/>
    <xf numFmtId="0" fontId="94" fillId="0" borderId="15" xfId="0" applyFont="1" applyFill="1" applyBorder="1"/>
    <xf numFmtId="0" fontId="94" fillId="0" borderId="1" xfId="0" applyFont="1" applyFill="1" applyBorder="1"/>
    <xf numFmtId="2" fontId="94" fillId="0" borderId="1" xfId="0" applyNumberFormat="1" applyFont="1" applyFill="1" applyBorder="1" applyAlignment="1">
      <alignment horizontal="center"/>
    </xf>
    <xf numFmtId="2" fontId="94" fillId="0" borderId="16" xfId="0" applyNumberFormat="1" applyFont="1" applyFill="1" applyBorder="1" applyAlignment="1">
      <alignment horizontal="center"/>
    </xf>
    <xf numFmtId="181" fontId="92" fillId="0" borderId="0" xfId="0" applyNumberFormat="1" applyFont="1"/>
    <xf numFmtId="0" fontId="92" fillId="3" borderId="15" xfId="0" applyFont="1" applyFill="1" applyBorder="1"/>
    <xf numFmtId="0" fontId="92" fillId="3" borderId="1" xfId="0" applyFont="1" applyFill="1" applyBorder="1"/>
    <xf numFmtId="2" fontId="92" fillId="3" borderId="1" xfId="0" applyNumberFormat="1" applyFont="1" applyFill="1" applyBorder="1" applyAlignment="1">
      <alignment horizontal="center"/>
    </xf>
    <xf numFmtId="2" fontId="92" fillId="3" borderId="16" xfId="0" applyNumberFormat="1" applyFont="1" applyFill="1" applyBorder="1" applyAlignment="1">
      <alignment horizontal="center"/>
    </xf>
    <xf numFmtId="0" fontId="97" fillId="3" borderId="15" xfId="0" applyFont="1" applyFill="1" applyBorder="1"/>
    <xf numFmtId="2" fontId="97" fillId="3" borderId="1" xfId="0" applyNumberFormat="1" applyFont="1" applyFill="1" applyBorder="1" applyAlignment="1">
      <alignment horizontal="center"/>
    </xf>
    <xf numFmtId="2" fontId="94" fillId="0" borderId="1" xfId="0" applyNumberFormat="1" applyFont="1" applyBorder="1" applyAlignment="1">
      <alignment horizontal="center"/>
    </xf>
    <xf numFmtId="2" fontId="94" fillId="0" borderId="16" xfId="0" applyNumberFormat="1" applyFont="1" applyBorder="1" applyAlignment="1">
      <alignment horizontal="center"/>
    </xf>
    <xf numFmtId="0" fontId="92" fillId="82" borderId="15" xfId="0" applyFont="1" applyFill="1" applyBorder="1"/>
    <xf numFmtId="0" fontId="92" fillId="82" borderId="1" xfId="0" applyFont="1" applyFill="1" applyBorder="1"/>
    <xf numFmtId="2" fontId="92" fillId="82" borderId="1" xfId="0" applyNumberFormat="1" applyFont="1" applyFill="1" applyBorder="1" applyAlignment="1">
      <alignment horizontal="center"/>
    </xf>
    <xf numFmtId="2" fontId="92" fillId="82" borderId="16" xfId="0" applyNumberFormat="1" applyFont="1" applyFill="1" applyBorder="1" applyAlignment="1">
      <alignment horizontal="center"/>
    </xf>
    <xf numFmtId="0" fontId="97" fillId="82" borderId="15" xfId="0" applyFont="1" applyFill="1" applyBorder="1"/>
    <xf numFmtId="0" fontId="105" fillId="82" borderId="1" xfId="0" applyFont="1" applyFill="1" applyBorder="1"/>
    <xf numFmtId="2" fontId="97" fillId="82" borderId="1" xfId="0" applyNumberFormat="1" applyFont="1" applyFill="1" applyBorder="1" applyAlignment="1">
      <alignment horizontal="center"/>
    </xf>
    <xf numFmtId="181" fontId="94" fillId="0" borderId="0" xfId="0" applyNumberFormat="1" applyFont="1"/>
    <xf numFmtId="0" fontId="92" fillId="10" borderId="15" xfId="0" applyFont="1" applyFill="1" applyBorder="1"/>
    <xf numFmtId="0" fontId="92" fillId="10" borderId="1" xfId="0" applyFont="1" applyFill="1" applyBorder="1"/>
    <xf numFmtId="2" fontId="92" fillId="10" borderId="1" xfId="0" applyNumberFormat="1" applyFont="1" applyFill="1" applyBorder="1" applyAlignment="1">
      <alignment horizontal="right" indent="3"/>
    </xf>
    <xf numFmtId="2" fontId="92" fillId="10" borderId="1" xfId="0" applyNumberFormat="1" applyFont="1" applyFill="1" applyBorder="1" applyAlignment="1">
      <alignment horizontal="right" indent="2"/>
    </xf>
    <xf numFmtId="2" fontId="92" fillId="10" borderId="16" xfId="0" applyNumberFormat="1" applyFont="1" applyFill="1" applyBorder="1" applyAlignment="1">
      <alignment horizontal="right" indent="3"/>
    </xf>
    <xf numFmtId="234" fontId="92" fillId="0" borderId="0" xfId="0" applyNumberFormat="1" applyFont="1"/>
    <xf numFmtId="0" fontId="97" fillId="10" borderId="15" xfId="0" applyFont="1" applyFill="1" applyBorder="1"/>
    <xf numFmtId="0" fontId="97" fillId="10" borderId="1" xfId="0" applyFont="1" applyFill="1" applyBorder="1"/>
    <xf numFmtId="2" fontId="97" fillId="10" borderId="1" xfId="0" applyNumberFormat="1" applyFont="1" applyFill="1" applyBorder="1" applyAlignment="1">
      <alignment horizontal="right" indent="3"/>
    </xf>
    <xf numFmtId="2" fontId="97" fillId="10" borderId="1" xfId="0" applyNumberFormat="1" applyFont="1" applyFill="1" applyBorder="1" applyAlignment="1">
      <alignment horizontal="right" indent="2"/>
    </xf>
    <xf numFmtId="0" fontId="94" fillId="2" borderId="15" xfId="0" applyFont="1" applyFill="1" applyBorder="1"/>
    <xf numFmtId="0" fontId="92" fillId="2" borderId="1" xfId="0" applyFont="1" applyFill="1" applyBorder="1"/>
    <xf numFmtId="2" fontId="94" fillId="2" borderId="1" xfId="0" applyNumberFormat="1" applyFont="1" applyFill="1" applyBorder="1" applyAlignment="1">
      <alignment horizontal="center"/>
    </xf>
    <xf numFmtId="167" fontId="92" fillId="2" borderId="61" xfId="1" applyFont="1" applyFill="1" applyBorder="1"/>
    <xf numFmtId="2" fontId="92" fillId="2" borderId="62" xfId="0" applyNumberFormat="1" applyFont="1" applyFill="1" applyBorder="1"/>
    <xf numFmtId="2" fontId="92" fillId="2" borderId="63" xfId="0" applyNumberFormat="1" applyFont="1" applyFill="1" applyBorder="1"/>
    <xf numFmtId="0" fontId="94" fillId="6" borderId="17" xfId="0" applyFont="1" applyFill="1" applyBorder="1"/>
    <xf numFmtId="0" fontId="92" fillId="6" borderId="0" xfId="0" applyFont="1" applyFill="1" applyBorder="1"/>
    <xf numFmtId="0" fontId="92" fillId="6" borderId="0" xfId="0" applyFont="1" applyFill="1"/>
    <xf numFmtId="0" fontId="97" fillId="0" borderId="17" xfId="0" applyFont="1" applyBorder="1"/>
    <xf numFmtId="2" fontId="94" fillId="0" borderId="57" xfId="0" applyNumberFormat="1" applyFont="1" applyBorder="1" applyAlignment="1">
      <alignment horizontal="center"/>
    </xf>
    <xf numFmtId="0" fontId="92" fillId="0" borderId="70" xfId="0" applyFont="1" applyBorder="1"/>
    <xf numFmtId="0" fontId="92" fillId="0" borderId="48" xfId="0" applyFont="1" applyBorder="1"/>
    <xf numFmtId="2" fontId="94" fillId="0" borderId="67" xfId="0" applyNumberFormat="1" applyFont="1" applyBorder="1" applyAlignment="1">
      <alignment horizontal="center"/>
    </xf>
    <xf numFmtId="0" fontId="92" fillId="0" borderId="10" xfId="0" applyFont="1" applyBorder="1"/>
    <xf numFmtId="2" fontId="92" fillId="0" borderId="10" xfId="0" applyNumberFormat="1" applyFont="1" applyBorder="1" applyAlignment="1">
      <alignment horizontal="right" indent="2"/>
    </xf>
    <xf numFmtId="2" fontId="92" fillId="0" borderId="10" xfId="0" applyNumberFormat="1" applyFont="1" applyBorder="1" applyAlignment="1">
      <alignment horizontal="right" indent="3"/>
    </xf>
    <xf numFmtId="0" fontId="92" fillId="0" borderId="10" xfId="0" applyFont="1" applyBorder="1" applyAlignment="1">
      <alignment horizontal="left"/>
    </xf>
    <xf numFmtId="0" fontId="92" fillId="0" borderId="27" xfId="0" applyFont="1" applyBorder="1"/>
    <xf numFmtId="2" fontId="92" fillId="0" borderId="27" xfId="0" applyNumberFormat="1" applyFont="1" applyBorder="1" applyAlignment="1">
      <alignment horizontal="right" indent="2"/>
    </xf>
    <xf numFmtId="2" fontId="92" fillId="0" borderId="27" xfId="0" applyNumberFormat="1" applyFont="1" applyBorder="1" applyAlignment="1">
      <alignment horizontal="right" indent="3"/>
    </xf>
    <xf numFmtId="0" fontId="94" fillId="0" borderId="70" xfId="0" applyFont="1" applyBorder="1"/>
    <xf numFmtId="2" fontId="94" fillId="0" borderId="4" xfId="0" applyNumberFormat="1" applyFont="1" applyBorder="1" applyAlignment="1">
      <alignment horizontal="right" indent="2"/>
    </xf>
    <xf numFmtId="2" fontId="94" fillId="0" borderId="4" xfId="0" applyNumberFormat="1" applyFont="1" applyBorder="1" applyAlignment="1">
      <alignment horizontal="right" indent="3"/>
    </xf>
    <xf numFmtId="176" fontId="92" fillId="0" borderId="0" xfId="2" applyNumberFormat="1" applyFont="1"/>
    <xf numFmtId="9" fontId="92" fillId="0" borderId="0" xfId="2" applyFont="1"/>
    <xf numFmtId="176" fontId="92" fillId="0" borderId="0" xfId="0" applyNumberFormat="1" applyFont="1" applyAlignment="1">
      <alignment horizontal="right" indent="2"/>
    </xf>
    <xf numFmtId="176" fontId="92" fillId="0" borderId="0" xfId="0" applyNumberFormat="1" applyFont="1"/>
    <xf numFmtId="0" fontId="97" fillId="83" borderId="1" xfId="0" applyFont="1" applyFill="1" applyBorder="1"/>
    <xf numFmtId="0" fontId="97" fillId="3" borderId="1" xfId="0" applyFont="1" applyFill="1" applyBorder="1"/>
    <xf numFmtId="0" fontId="97" fillId="82" borderId="1" xfId="0" applyFont="1" applyFill="1" applyBorder="1"/>
    <xf numFmtId="0" fontId="94" fillId="2" borderId="1" xfId="0" applyFont="1" applyFill="1" applyBorder="1"/>
    <xf numFmtId="0" fontId="94" fillId="6" borderId="1" xfId="0" applyFont="1" applyFill="1" applyBorder="1"/>
    <xf numFmtId="0" fontId="92" fillId="6" borderId="1" xfId="0" applyFont="1" applyFill="1" applyBorder="1"/>
    <xf numFmtId="0" fontId="97" fillId="0" borderId="1" xfId="0" applyFont="1" applyBorder="1"/>
    <xf numFmtId="2" fontId="92" fillId="0" borderId="1" xfId="0" applyNumberFormat="1" applyFont="1" applyBorder="1" applyAlignment="1">
      <alignment horizontal="right" indent="2"/>
    </xf>
    <xf numFmtId="2" fontId="92" fillId="0" borderId="1" xfId="0" applyNumberFormat="1" applyFont="1" applyBorder="1" applyAlignment="1">
      <alignment horizontal="right" indent="3"/>
    </xf>
    <xf numFmtId="0" fontId="92" fillId="0" borderId="1" xfId="0" applyFont="1" applyBorder="1" applyAlignment="1">
      <alignment horizontal="left"/>
    </xf>
    <xf numFmtId="2" fontId="94" fillId="0" borderId="1" xfId="0" applyNumberFormat="1" applyFont="1" applyBorder="1" applyAlignment="1">
      <alignment horizontal="right" indent="2"/>
    </xf>
    <xf numFmtId="2" fontId="94" fillId="0" borderId="1" xfId="0" applyNumberFormat="1" applyFont="1" applyBorder="1" applyAlignment="1">
      <alignment horizontal="right" indent="3"/>
    </xf>
    <xf numFmtId="0" fontId="94" fillId="0" borderId="0" xfId="0" applyFont="1"/>
    <xf numFmtId="178" fontId="92" fillId="0" borderId="1" xfId="0" applyNumberFormat="1" applyFont="1" applyBorder="1" applyAlignment="1">
      <alignment horizontal="right" indent="2"/>
    </xf>
    <xf numFmtId="178" fontId="93" fillId="0" borderId="1" xfId="1" applyNumberFormat="1" applyFont="1" applyBorder="1" applyAlignment="1">
      <alignment horizontal="right" indent="2"/>
    </xf>
    <xf numFmtId="178" fontId="94" fillId="0" borderId="1" xfId="0" applyNumberFormat="1" applyFont="1" applyFill="1" applyBorder="1" applyAlignment="1">
      <alignment horizontal="right" indent="2"/>
    </xf>
    <xf numFmtId="178" fontId="93" fillId="0" borderId="1" xfId="0" applyNumberFormat="1" applyFont="1" applyBorder="1" applyAlignment="1">
      <alignment horizontal="right" indent="2"/>
    </xf>
    <xf numFmtId="178" fontId="92" fillId="86" borderId="1" xfId="0" applyNumberFormat="1" applyFont="1" applyFill="1" applyBorder="1" applyAlignment="1">
      <alignment horizontal="right" indent="2"/>
    </xf>
    <xf numFmtId="2" fontId="94" fillId="0" borderId="1" xfId="1" applyNumberFormat="1" applyFont="1" applyBorder="1" applyAlignment="1">
      <alignment horizontal="right" indent="2"/>
    </xf>
    <xf numFmtId="2" fontId="92" fillId="87" borderId="1" xfId="0" applyNumberFormat="1" applyFont="1" applyFill="1" applyBorder="1" applyAlignment="1">
      <alignment horizontal="right" indent="2"/>
    </xf>
    <xf numFmtId="178" fontId="92" fillId="87" borderId="1" xfId="0" applyNumberFormat="1" applyFont="1" applyFill="1" applyBorder="1" applyAlignment="1">
      <alignment horizontal="right" indent="2"/>
    </xf>
    <xf numFmtId="178" fontId="92" fillId="0" borderId="1" xfId="1" applyNumberFormat="1" applyFont="1" applyBorder="1" applyAlignment="1">
      <alignment horizontal="right" indent="2"/>
    </xf>
    <xf numFmtId="178" fontId="92" fillId="12" borderId="1" xfId="1" applyNumberFormat="1" applyFont="1" applyFill="1" applyBorder="1" applyAlignment="1">
      <alignment horizontal="right" indent="2"/>
    </xf>
    <xf numFmtId="167" fontId="94" fillId="0" borderId="1" xfId="1" applyFont="1" applyBorder="1" applyAlignment="1">
      <alignment horizontal="right" wrapText="1" indent="2"/>
    </xf>
    <xf numFmtId="0" fontId="92" fillId="0" borderId="58" xfId="0" applyFont="1" applyBorder="1"/>
    <xf numFmtId="0" fontId="92" fillId="0" borderId="23" xfId="0" applyFont="1" applyBorder="1"/>
    <xf numFmtId="0" fontId="92" fillId="0" borderId="69" xfId="0" applyFont="1" applyBorder="1"/>
    <xf numFmtId="0" fontId="92" fillId="0" borderId="34" xfId="0" applyFont="1" applyBorder="1"/>
    <xf numFmtId="0" fontId="92" fillId="0" borderId="59" xfId="0" applyFont="1" applyBorder="1"/>
    <xf numFmtId="167" fontId="92" fillId="0" borderId="0" xfId="1" applyFont="1" applyBorder="1" applyAlignment="1">
      <alignment wrapText="1"/>
    </xf>
    <xf numFmtId="0" fontId="92" fillId="0" borderId="49" xfId="0" applyFont="1" applyBorder="1"/>
    <xf numFmtId="0" fontId="94" fillId="0" borderId="7" xfId="0" applyFont="1" applyBorder="1"/>
    <xf numFmtId="0" fontId="92" fillId="0" borderId="6" xfId="0" applyFont="1" applyBorder="1"/>
    <xf numFmtId="0" fontId="92" fillId="0" borderId="0" xfId="0" applyFont="1" applyAlignment="1">
      <alignment horizontal="left" indent="6"/>
    </xf>
    <xf numFmtId="0" fontId="92" fillId="0" borderId="0" xfId="0" applyFont="1" applyAlignment="1">
      <alignment wrapText="1"/>
    </xf>
    <xf numFmtId="0" fontId="92" fillId="0" borderId="12" xfId="0" applyFont="1" applyBorder="1"/>
    <xf numFmtId="0" fontId="92" fillId="4" borderId="1" xfId="0" applyFont="1" applyFill="1" applyBorder="1" applyAlignment="1">
      <alignment wrapText="1"/>
    </xf>
    <xf numFmtId="0" fontId="92" fillId="0" borderId="0" xfId="0" applyFont="1" applyFill="1" applyBorder="1" applyAlignment="1">
      <alignment wrapText="1"/>
    </xf>
    <xf numFmtId="0" fontId="92" fillId="0" borderId="0" xfId="0" applyFont="1" applyAlignment="1">
      <alignment horizontal="center" wrapText="1"/>
    </xf>
    <xf numFmtId="0" fontId="92" fillId="7" borderId="0" xfId="0" applyFont="1" applyFill="1"/>
    <xf numFmtId="43" fontId="92" fillId="0" borderId="0" xfId="0" applyNumberFormat="1" applyFont="1" applyFill="1"/>
    <xf numFmtId="0" fontId="94" fillId="5" borderId="7" xfId="0" applyFont="1" applyFill="1" applyBorder="1" applyAlignment="1">
      <alignment horizontal="center"/>
    </xf>
    <xf numFmtId="0" fontId="94" fillId="5" borderId="4" xfId="0" applyFont="1" applyFill="1" applyBorder="1" applyAlignment="1">
      <alignment horizontal="center"/>
    </xf>
    <xf numFmtId="17" fontId="92" fillId="5" borderId="58" xfId="0" applyNumberFormat="1" applyFont="1" applyFill="1" applyBorder="1" applyAlignment="1">
      <alignment horizontal="center"/>
    </xf>
    <xf numFmtId="10" fontId="92" fillId="5" borderId="57" xfId="0" applyNumberFormat="1" applyFont="1" applyFill="1" applyBorder="1"/>
    <xf numFmtId="10" fontId="92" fillId="5" borderId="51" xfId="0" applyNumberFormat="1" applyFont="1" applyFill="1" applyBorder="1"/>
    <xf numFmtId="17" fontId="92" fillId="5" borderId="23" xfId="0" applyNumberFormat="1" applyFont="1" applyFill="1" applyBorder="1" applyAlignment="1">
      <alignment horizontal="center"/>
    </xf>
    <xf numFmtId="10" fontId="92" fillId="5" borderId="9" xfId="0" applyNumberFormat="1" applyFont="1" applyFill="1" applyBorder="1"/>
    <xf numFmtId="10" fontId="92" fillId="5" borderId="53" xfId="0" applyNumberFormat="1" applyFont="1" applyFill="1" applyBorder="1"/>
    <xf numFmtId="17" fontId="92" fillId="5" borderId="43" xfId="0" applyNumberFormat="1" applyFont="1" applyFill="1" applyBorder="1" applyAlignment="1">
      <alignment horizontal="center"/>
    </xf>
    <xf numFmtId="10" fontId="92" fillId="5" borderId="68" xfId="0" applyNumberFormat="1" applyFont="1" applyFill="1" applyBorder="1"/>
    <xf numFmtId="10" fontId="92" fillId="5" borderId="52" xfId="0" applyNumberFormat="1" applyFont="1" applyFill="1" applyBorder="1"/>
    <xf numFmtId="17" fontId="94" fillId="5" borderId="7" xfId="0" applyNumberFormat="1" applyFont="1" applyFill="1" applyBorder="1"/>
    <xf numFmtId="10" fontId="94" fillId="5" borderId="4" xfId="0" applyNumberFormat="1" applyFont="1" applyFill="1" applyBorder="1"/>
    <xf numFmtId="10" fontId="94" fillId="5" borderId="12" xfId="0" applyNumberFormat="1" applyFont="1" applyFill="1" applyBorder="1"/>
    <xf numFmtId="17" fontId="92" fillId="5" borderId="57" xfId="0" applyNumberFormat="1" applyFont="1" applyFill="1" applyBorder="1" applyAlignment="1">
      <alignment horizontal="center"/>
    </xf>
    <xf numFmtId="17" fontId="92" fillId="5" borderId="9" xfId="0" applyNumberFormat="1" applyFont="1" applyFill="1" applyBorder="1" applyAlignment="1">
      <alignment horizontal="center"/>
    </xf>
    <xf numFmtId="10" fontId="92" fillId="5" borderId="67" xfId="0" applyNumberFormat="1" applyFont="1" applyFill="1" applyBorder="1"/>
    <xf numFmtId="17" fontId="94" fillId="5" borderId="4" xfId="0" applyNumberFormat="1" applyFont="1" applyFill="1" applyBorder="1"/>
    <xf numFmtId="17" fontId="92" fillId="5" borderId="67" xfId="0" applyNumberFormat="1" applyFont="1" applyFill="1" applyBorder="1" applyAlignment="1">
      <alignment horizontal="center"/>
    </xf>
    <xf numFmtId="0" fontId="94" fillId="0" borderId="4" xfId="0" applyFont="1" applyBorder="1"/>
    <xf numFmtId="0" fontId="94" fillId="0" borderId="12" xfId="0" applyFont="1" applyBorder="1"/>
    <xf numFmtId="0" fontId="92" fillId="0" borderId="22" xfId="0" applyFont="1" applyBorder="1"/>
    <xf numFmtId="0" fontId="92" fillId="0" borderId="57" xfId="0" applyFont="1" applyBorder="1"/>
    <xf numFmtId="0" fontId="92" fillId="0" borderId="72" xfId="0" applyFont="1" applyBorder="1"/>
    <xf numFmtId="0" fontId="94" fillId="0" borderId="57" xfId="0" applyFont="1" applyBorder="1" applyAlignment="1">
      <alignment horizontal="center"/>
    </xf>
    <xf numFmtId="0" fontId="92" fillId="0" borderId="51" xfId="0" applyFont="1" applyBorder="1"/>
    <xf numFmtId="0" fontId="106" fillId="0" borderId="9" xfId="0" applyFont="1" applyBorder="1"/>
    <xf numFmtId="0" fontId="94" fillId="0" borderId="65" xfId="0" applyFont="1" applyBorder="1"/>
    <xf numFmtId="0" fontId="106" fillId="0" borderId="9" xfId="0" applyFont="1" applyBorder="1" applyAlignment="1">
      <alignment horizontal="center"/>
    </xf>
    <xf numFmtId="0" fontId="92" fillId="0" borderId="53" xfId="0" applyFont="1" applyBorder="1"/>
    <xf numFmtId="0" fontId="92" fillId="0" borderId="9" xfId="0" applyFont="1" applyBorder="1"/>
    <xf numFmtId="0" fontId="92" fillId="0" borderId="65" xfId="0" applyFont="1" applyBorder="1" applyAlignment="1">
      <alignment horizontal="center"/>
    </xf>
    <xf numFmtId="9" fontId="92" fillId="0" borderId="65" xfId="0" applyNumberFormat="1" applyFont="1" applyBorder="1" applyAlignment="1">
      <alignment horizontal="center"/>
    </xf>
    <xf numFmtId="0" fontId="92" fillId="0" borderId="9" xfId="0" applyFont="1" applyBorder="1" applyAlignment="1">
      <alignment horizontal="center"/>
    </xf>
    <xf numFmtId="0" fontId="94" fillId="0" borderId="9" xfId="0" applyFont="1" applyBorder="1" applyAlignment="1">
      <alignment horizontal="center"/>
    </xf>
    <xf numFmtId="16" fontId="92" fillId="0" borderId="65" xfId="0" applyNumberFormat="1" applyFont="1" applyBorder="1" applyAlignment="1">
      <alignment horizontal="center"/>
    </xf>
    <xf numFmtId="2" fontId="92" fillId="0" borderId="9" xfId="0" applyNumberFormat="1" applyFont="1" applyBorder="1" applyAlignment="1">
      <alignment horizontal="center"/>
    </xf>
    <xf numFmtId="10" fontId="92" fillId="0" borderId="9" xfId="2" applyNumberFormat="1" applyFont="1" applyBorder="1" applyAlignment="1">
      <alignment horizontal="center"/>
    </xf>
    <xf numFmtId="9" fontId="92" fillId="0" borderId="53" xfId="0" applyNumberFormat="1" applyFont="1" applyBorder="1"/>
    <xf numFmtId="0" fontId="92" fillId="0" borderId="23" xfId="0" applyFont="1" applyBorder="1" applyAlignment="1">
      <alignment horizontal="center"/>
    </xf>
    <xf numFmtId="0" fontId="92" fillId="0" borderId="9" xfId="0" applyFont="1" applyBorder="1" applyAlignment="1">
      <alignment horizontal="left"/>
    </xf>
    <xf numFmtId="0" fontId="92" fillId="0" borderId="53" xfId="0" applyFont="1" applyBorder="1" applyAlignment="1">
      <alignment horizontal="center"/>
    </xf>
    <xf numFmtId="0" fontId="106" fillId="0" borderId="9" xfId="0" applyFont="1" applyBorder="1" applyAlignment="1">
      <alignment horizontal="left"/>
    </xf>
    <xf numFmtId="0" fontId="94" fillId="0" borderId="65" xfId="0" applyFont="1" applyBorder="1" applyAlignment="1">
      <alignment horizontal="center"/>
    </xf>
    <xf numFmtId="2" fontId="106" fillId="0" borderId="9" xfId="0" applyNumberFormat="1" applyFont="1" applyBorder="1" applyAlignment="1">
      <alignment horizontal="center"/>
    </xf>
    <xf numFmtId="0" fontId="94" fillId="0" borderId="9" xfId="0" applyFont="1" applyBorder="1" applyAlignment="1">
      <alignment horizontal="left"/>
    </xf>
    <xf numFmtId="2" fontId="94" fillId="0" borderId="9" xfId="0" applyNumberFormat="1" applyFont="1" applyBorder="1" applyAlignment="1">
      <alignment horizontal="center"/>
    </xf>
    <xf numFmtId="0" fontId="94" fillId="0" borderId="53" xfId="0" applyFont="1" applyBorder="1" applyAlignment="1">
      <alignment horizontal="center"/>
    </xf>
    <xf numFmtId="9" fontId="92" fillId="0" borderId="9" xfId="0" applyNumberFormat="1" applyFont="1" applyBorder="1" applyAlignment="1">
      <alignment horizontal="center"/>
    </xf>
    <xf numFmtId="0" fontId="92" fillId="0" borderId="43" xfId="0" applyFont="1" applyBorder="1" applyAlignment="1">
      <alignment horizontal="center"/>
    </xf>
    <xf numFmtId="0" fontId="92" fillId="0" borderId="68" xfId="0" applyFont="1" applyBorder="1" applyAlignment="1">
      <alignment horizontal="center"/>
    </xf>
    <xf numFmtId="0" fontId="92" fillId="0" borderId="44" xfId="0" applyFont="1" applyBorder="1" applyAlignment="1">
      <alignment horizontal="center"/>
    </xf>
    <xf numFmtId="0" fontId="92" fillId="0" borderId="52" xfId="0" applyFont="1" applyBorder="1" applyAlignment="1">
      <alignment horizontal="center"/>
    </xf>
    <xf numFmtId="0" fontId="92" fillId="0" borderId="58" xfId="0" applyFont="1" applyBorder="1" applyAlignment="1">
      <alignment horizontal="center"/>
    </xf>
    <xf numFmtId="0" fontId="92" fillId="0" borderId="57" xfId="0" applyFont="1" applyBorder="1" applyAlignment="1">
      <alignment horizontal="center"/>
    </xf>
    <xf numFmtId="0" fontId="92" fillId="0" borderId="64" xfId="0" applyFont="1" applyBorder="1" applyAlignment="1">
      <alignment horizontal="center"/>
    </xf>
    <xf numFmtId="0" fontId="92" fillId="0" borderId="60" xfId="0" applyFont="1" applyBorder="1" applyAlignment="1">
      <alignment horizontal="center"/>
    </xf>
    <xf numFmtId="0" fontId="94" fillId="0" borderId="23" xfId="0" applyFont="1" applyBorder="1" applyAlignment="1">
      <alignment horizontal="center"/>
    </xf>
    <xf numFmtId="2" fontId="94" fillId="0" borderId="65" xfId="0" applyNumberFormat="1" applyFont="1" applyBorder="1" applyAlignment="1">
      <alignment horizontal="center"/>
    </xf>
    <xf numFmtId="0" fontId="94" fillId="0" borderId="69" xfId="0" applyFont="1" applyBorder="1" applyAlignment="1">
      <alignment horizontal="center"/>
    </xf>
    <xf numFmtId="2" fontId="94" fillId="0" borderId="66" xfId="0" applyNumberFormat="1" applyFont="1" applyBorder="1" applyAlignment="1">
      <alignment horizontal="center"/>
    </xf>
    <xf numFmtId="2" fontId="94" fillId="2" borderId="67" xfId="0" applyNumberFormat="1" applyFont="1" applyFill="1" applyBorder="1" applyAlignment="1">
      <alignment horizontal="center"/>
    </xf>
    <xf numFmtId="0" fontId="94" fillId="0" borderId="54" xfId="0" applyFont="1" applyBorder="1" applyAlignment="1">
      <alignment horizontal="center"/>
    </xf>
    <xf numFmtId="2" fontId="92" fillId="0" borderId="0" xfId="0" applyNumberFormat="1" applyFont="1" applyAlignment="1">
      <alignment horizontal="center"/>
    </xf>
    <xf numFmtId="2" fontId="94" fillId="0" borderId="0" xfId="0" applyNumberFormat="1" applyFont="1" applyAlignment="1">
      <alignment horizontal="center"/>
    </xf>
    <xf numFmtId="0" fontId="92" fillId="0" borderId="7" xfId="0" applyFont="1" applyBorder="1"/>
    <xf numFmtId="0" fontId="92" fillId="0" borderId="4" xfId="0" applyFont="1" applyBorder="1"/>
    <xf numFmtId="0" fontId="92" fillId="0" borderId="8" xfId="0" applyFont="1" applyBorder="1" applyAlignment="1">
      <alignment horizontal="center"/>
    </xf>
    <xf numFmtId="0" fontId="92" fillId="0" borderId="72" xfId="0" applyFont="1" applyBorder="1" applyAlignment="1">
      <alignment horizontal="center"/>
    </xf>
    <xf numFmtId="0" fontId="92" fillId="0" borderId="51" xfId="0" applyFont="1" applyBorder="1" applyAlignment="1">
      <alignment horizontal="center"/>
    </xf>
    <xf numFmtId="9" fontId="92" fillId="0" borderId="53" xfId="0" applyNumberFormat="1" applyFont="1" applyBorder="1" applyAlignment="1">
      <alignment horizontal="center"/>
    </xf>
    <xf numFmtId="181" fontId="92" fillId="0" borderId="9" xfId="0" applyNumberFormat="1" applyFont="1" applyBorder="1" applyAlignment="1">
      <alignment horizontal="center"/>
    </xf>
    <xf numFmtId="0" fontId="92" fillId="0" borderId="43" xfId="0" applyFont="1" applyBorder="1"/>
    <xf numFmtId="0" fontId="94" fillId="0" borderId="23" xfId="0" applyFont="1" applyBorder="1"/>
    <xf numFmtId="178" fontId="94" fillId="0" borderId="65" xfId="0" applyNumberFormat="1" applyFont="1" applyBorder="1" applyAlignment="1">
      <alignment horizontal="center"/>
    </xf>
    <xf numFmtId="0" fontId="94" fillId="0" borderId="69" xfId="0" applyFont="1" applyBorder="1"/>
    <xf numFmtId="0" fontId="94" fillId="0" borderId="66" xfId="0" applyFont="1" applyBorder="1" applyAlignment="1">
      <alignment horizontal="center"/>
    </xf>
    <xf numFmtId="0" fontId="92" fillId="0" borderId="54" xfId="0" applyFont="1" applyBorder="1" applyAlignment="1">
      <alignment horizontal="center"/>
    </xf>
    <xf numFmtId="0" fontId="92" fillId="0" borderId="8" xfId="0" applyFont="1" applyBorder="1"/>
    <xf numFmtId="0" fontId="92" fillId="0" borderId="65" xfId="0" applyFont="1" applyBorder="1"/>
    <xf numFmtId="9" fontId="92" fillId="0" borderId="65" xfId="0" applyNumberFormat="1" applyFont="1" applyBorder="1"/>
    <xf numFmtId="0" fontId="105" fillId="0" borderId="9" xfId="0" applyFont="1" applyBorder="1"/>
    <xf numFmtId="0" fontId="94" fillId="0" borderId="9" xfId="0" applyFont="1" applyBorder="1"/>
    <xf numFmtId="0" fontId="107" fillId="0" borderId="0" xfId="0" applyFont="1"/>
    <xf numFmtId="0" fontId="93" fillId="0" borderId="24" xfId="0" applyFont="1" applyBorder="1" applyAlignment="1">
      <alignment horizontal="center"/>
    </xf>
    <xf numFmtId="17" fontId="95" fillId="0" borderId="55" xfId="0" applyNumberFormat="1" applyFont="1" applyBorder="1" applyAlignment="1">
      <alignment horizontal="left" vertical="center"/>
    </xf>
    <xf numFmtId="17" fontId="95" fillId="0" borderId="40" xfId="0" applyNumberFormat="1" applyFont="1" applyBorder="1" applyAlignment="1">
      <alignment horizontal="left" vertical="center"/>
    </xf>
    <xf numFmtId="0" fontId="93" fillId="0" borderId="57" xfId="0" applyFont="1" applyBorder="1" applyAlignment="1">
      <alignment horizontal="center"/>
    </xf>
    <xf numFmtId="0" fontId="93" fillId="0" borderId="64" xfId="0" applyFont="1" applyBorder="1" applyAlignment="1">
      <alignment horizontal="left" vertical="center"/>
    </xf>
    <xf numFmtId="0" fontId="95" fillId="90" borderId="70" xfId="0" applyFont="1" applyFill="1" applyBorder="1" applyAlignment="1">
      <alignment horizontal="center" wrapText="1"/>
    </xf>
    <xf numFmtId="0" fontId="95" fillId="90" borderId="4" xfId="0" applyFont="1" applyFill="1" applyBorder="1" applyAlignment="1">
      <alignment horizontal="center" wrapText="1"/>
    </xf>
    <xf numFmtId="0" fontId="95" fillId="90" borderId="26" xfId="0" applyFont="1" applyFill="1" applyBorder="1" applyAlignment="1">
      <alignment horizontal="center" wrapText="1"/>
    </xf>
    <xf numFmtId="0" fontId="95" fillId="91" borderId="4" xfId="0" applyFont="1" applyFill="1" applyBorder="1" applyAlignment="1">
      <alignment horizontal="center" wrapText="1"/>
    </xf>
    <xf numFmtId="0" fontId="95" fillId="91" borderId="26" xfId="0" applyFont="1" applyFill="1" applyBorder="1" applyAlignment="1">
      <alignment horizontal="center" wrapText="1"/>
    </xf>
    <xf numFmtId="0" fontId="95" fillId="10" borderId="4" xfId="0" applyFont="1" applyFill="1" applyBorder="1" applyAlignment="1">
      <alignment horizontal="center" wrapText="1"/>
    </xf>
    <xf numFmtId="0" fontId="95" fillId="10" borderId="26" xfId="0" applyFont="1" applyFill="1" applyBorder="1" applyAlignment="1">
      <alignment horizontal="center" wrapText="1"/>
    </xf>
    <xf numFmtId="0" fontId="93" fillId="0" borderId="67" xfId="0" applyFont="1" applyBorder="1" applyAlignment="1">
      <alignment horizontal="center"/>
    </xf>
    <xf numFmtId="0" fontId="95" fillId="0" borderId="54" xfId="0" applyFont="1" applyBorder="1" applyAlignment="1">
      <alignment horizontal="left" vertical="center"/>
    </xf>
    <xf numFmtId="167" fontId="95" fillId="90" borderId="17" xfId="1" applyFont="1" applyFill="1" applyBorder="1" applyAlignment="1">
      <alignment horizontal="center" vertical="center"/>
    </xf>
    <xf numFmtId="167" fontId="95" fillId="91" borderId="10" xfId="1" applyFont="1" applyFill="1" applyBorder="1" applyAlignment="1">
      <alignment horizontal="center" vertical="center"/>
    </xf>
    <xf numFmtId="167" fontId="95" fillId="10" borderId="10" xfId="1" applyFont="1" applyFill="1" applyBorder="1" applyAlignment="1">
      <alignment horizontal="center" vertical="center"/>
    </xf>
    <xf numFmtId="0" fontId="93" fillId="0" borderId="4" xfId="0" applyFont="1" applyFill="1" applyBorder="1" applyAlignment="1">
      <alignment horizontal="center"/>
    </xf>
    <xf numFmtId="0" fontId="93" fillId="0" borderId="64" xfId="0" applyFont="1" applyFill="1" applyBorder="1" applyAlignment="1">
      <alignment horizontal="left" vertical="center"/>
    </xf>
    <xf numFmtId="39" fontId="93" fillId="0" borderId="1" xfId="1" applyNumberFormat="1" applyFont="1" applyBorder="1" applyAlignment="1">
      <alignment horizontal="center" vertical="center"/>
    </xf>
    <xf numFmtId="0" fontId="93" fillId="0" borderId="8" xfId="0" applyFont="1" applyBorder="1" applyAlignment="1">
      <alignment horizontal="center"/>
    </xf>
    <xf numFmtId="0" fontId="93" fillId="0" borderId="72" xfId="0" applyFont="1" applyBorder="1" applyAlignment="1">
      <alignment horizontal="left" vertical="center"/>
    </xf>
    <xf numFmtId="0" fontId="93" fillId="0" borderId="65" xfId="0" applyFont="1" applyBorder="1" applyAlignment="1">
      <alignment horizontal="left" vertical="center"/>
    </xf>
    <xf numFmtId="0" fontId="93" fillId="0" borderId="1" xfId="0" applyFont="1" applyFill="1" applyBorder="1" applyAlignment="1">
      <alignment horizontal="left" vertical="center"/>
    </xf>
    <xf numFmtId="39" fontId="93" fillId="0" borderId="1" xfId="1" applyNumberFormat="1" applyFont="1" applyFill="1" applyBorder="1" applyAlignment="1">
      <alignment horizontal="center" vertical="center"/>
    </xf>
    <xf numFmtId="0" fontId="93" fillId="0" borderId="1" xfId="0" applyFont="1" applyBorder="1" applyAlignment="1">
      <alignment horizontal="left" vertical="center"/>
    </xf>
    <xf numFmtId="0" fontId="93" fillId="0" borderId="60" xfId="0" applyFont="1" applyBorder="1" applyAlignment="1">
      <alignment horizontal="left" vertical="center"/>
    </xf>
    <xf numFmtId="0" fontId="95" fillId="0" borderId="24" xfId="0" applyFont="1" applyBorder="1" applyAlignment="1">
      <alignment horizontal="center" vertical="center" wrapText="1"/>
    </xf>
    <xf numFmtId="0" fontId="95" fillId="0" borderId="55" xfId="0" applyFont="1" applyBorder="1" applyAlignment="1">
      <alignment horizontal="center" vertical="center" wrapText="1"/>
    </xf>
    <xf numFmtId="0" fontId="95" fillId="0" borderId="25" xfId="0" applyFont="1" applyBorder="1" applyAlignment="1">
      <alignment horizontal="center" vertical="center" wrapText="1"/>
    </xf>
    <xf numFmtId="167" fontId="95" fillId="0" borderId="7" xfId="1" applyFont="1" applyBorder="1" applyAlignment="1">
      <alignment horizontal="center" vertical="center"/>
    </xf>
    <xf numFmtId="167" fontId="95" fillId="0" borderId="4" xfId="1" applyFont="1" applyBorder="1" applyAlignment="1">
      <alignment horizontal="center" vertical="center"/>
    </xf>
    <xf numFmtId="167" fontId="95" fillId="0" borderId="12" xfId="1" applyFont="1" applyBorder="1" applyAlignment="1">
      <alignment horizontal="center" vertical="center"/>
    </xf>
    <xf numFmtId="0" fontId="93" fillId="0" borderId="57" xfId="0" applyFont="1" applyFill="1" applyBorder="1" applyAlignment="1">
      <alignment horizontal="center"/>
    </xf>
    <xf numFmtId="0" fontId="93" fillId="0" borderId="60" xfId="0" applyFont="1" applyFill="1" applyBorder="1" applyAlignment="1">
      <alignment horizontal="left" vertical="center"/>
    </xf>
    <xf numFmtId="39" fontId="93" fillId="0" borderId="58" xfId="1" applyNumberFormat="1" applyFont="1" applyFill="1" applyBorder="1" applyAlignment="1">
      <alignment horizontal="center" vertical="center"/>
    </xf>
    <xf numFmtId="39" fontId="93" fillId="0" borderId="57" xfId="1" applyNumberFormat="1" applyFont="1" applyFill="1" applyBorder="1" applyAlignment="1">
      <alignment horizontal="center" vertical="center"/>
    </xf>
    <xf numFmtId="0" fontId="93" fillId="0" borderId="51" xfId="0" applyFont="1" applyBorder="1" applyAlignment="1">
      <alignment horizontal="left" vertical="center"/>
    </xf>
    <xf numFmtId="39" fontId="93" fillId="0" borderId="22" xfId="1" applyNumberFormat="1" applyFont="1" applyBorder="1" applyAlignment="1">
      <alignment horizontal="center" vertical="center"/>
    </xf>
    <xf numFmtId="39" fontId="93" fillId="0" borderId="8" xfId="1" applyNumberFormat="1" applyFont="1" applyBorder="1" applyAlignment="1">
      <alignment horizontal="center" vertical="center"/>
    </xf>
    <xf numFmtId="0" fontId="93" fillId="0" borderId="53" xfId="0" applyFont="1" applyBorder="1" applyAlignment="1">
      <alignment horizontal="left" vertical="center"/>
    </xf>
    <xf numFmtId="39" fontId="93" fillId="0" borderId="23" xfId="1" applyNumberFormat="1" applyFont="1" applyBorder="1" applyAlignment="1">
      <alignment horizontal="center" vertical="center"/>
    </xf>
    <xf numFmtId="39" fontId="93" fillId="0" borderId="9" xfId="1" applyNumberFormat="1" applyFont="1" applyBorder="1" applyAlignment="1">
      <alignment horizontal="center" vertical="center"/>
    </xf>
    <xf numFmtId="39" fontId="93" fillId="0" borderId="69" xfId="1" applyNumberFormat="1" applyFont="1" applyBorder="1" applyAlignment="1">
      <alignment horizontal="center" vertical="center"/>
    </xf>
    <xf numFmtId="39" fontId="93" fillId="0" borderId="67" xfId="1" applyNumberFormat="1" applyFont="1" applyBorder="1" applyAlignment="1">
      <alignment horizontal="center" vertical="center"/>
    </xf>
    <xf numFmtId="0" fontId="92" fillId="0" borderId="0" xfId="0" applyFont="1" applyFill="1" applyAlignment="1">
      <alignment horizontal="center"/>
    </xf>
    <xf numFmtId="0" fontId="92" fillId="0" borderId="0" xfId="0" applyFont="1" applyAlignment="1">
      <alignment horizontal="left"/>
    </xf>
    <xf numFmtId="0" fontId="93" fillId="0" borderId="1" xfId="0" applyFont="1" applyBorder="1" applyAlignment="1">
      <alignment horizontal="center"/>
    </xf>
    <xf numFmtId="17" fontId="95" fillId="0" borderId="1" xfId="0" applyNumberFormat="1" applyFont="1" applyBorder="1" applyAlignment="1">
      <alignment horizontal="left" vertical="center"/>
    </xf>
    <xf numFmtId="0" fontId="93" fillId="0" borderId="12" xfId="0" applyFont="1" applyBorder="1" applyAlignment="1">
      <alignment vertical="center" wrapText="1"/>
    </xf>
    <xf numFmtId="0" fontId="93" fillId="0" borderId="0" xfId="0" applyFont="1" applyFill="1" applyBorder="1" applyAlignment="1">
      <alignment horizontal="center" vertical="center" wrapText="1"/>
    </xf>
    <xf numFmtId="0" fontId="95" fillId="0" borderId="1" xfId="0" applyFont="1" applyBorder="1" applyAlignment="1">
      <alignment horizontal="center" wrapText="1"/>
    </xf>
    <xf numFmtId="0" fontId="95" fillId="0" borderId="60" xfId="0" applyFont="1" applyBorder="1" applyAlignment="1">
      <alignment horizontal="center" vertical="center" wrapText="1"/>
    </xf>
    <xf numFmtId="0" fontId="95" fillId="0" borderId="0" xfId="0" applyFont="1" applyFill="1" applyBorder="1" applyAlignment="1">
      <alignment horizontal="center" vertical="center" wrapText="1"/>
    </xf>
    <xf numFmtId="0" fontId="95" fillId="0" borderId="1" xfId="0" applyFont="1" applyBorder="1" applyAlignment="1">
      <alignment horizontal="left" vertical="center"/>
    </xf>
    <xf numFmtId="167" fontId="95" fillId="0" borderId="1" xfId="1" applyFont="1" applyBorder="1" applyAlignment="1">
      <alignment horizontal="center" vertical="center"/>
    </xf>
    <xf numFmtId="167" fontId="95" fillId="0" borderId="54" xfId="1" applyFont="1" applyBorder="1" applyAlignment="1">
      <alignment horizontal="center" vertical="center"/>
    </xf>
    <xf numFmtId="167" fontId="95" fillId="0" borderId="0" xfId="1" applyFont="1" applyFill="1" applyBorder="1" applyAlignment="1">
      <alignment horizontal="center" vertical="center"/>
    </xf>
    <xf numFmtId="167" fontId="95" fillId="0" borderId="34" xfId="1" applyFont="1" applyFill="1" applyBorder="1" applyAlignment="1">
      <alignment horizontal="center" vertical="center"/>
    </xf>
    <xf numFmtId="167" fontId="95" fillId="0" borderId="35" xfId="1" applyFont="1" applyFill="1" applyBorder="1" applyAlignment="1">
      <alignment horizontal="center" vertical="center"/>
    </xf>
    <xf numFmtId="167" fontId="95" fillId="0" borderId="36" xfId="1" applyFont="1" applyFill="1" applyBorder="1" applyAlignment="1">
      <alignment horizontal="center" vertical="center"/>
    </xf>
    <xf numFmtId="167" fontId="95" fillId="0" borderId="59" xfId="1" applyFont="1" applyFill="1" applyBorder="1" applyAlignment="1">
      <alignment horizontal="center" vertical="center"/>
    </xf>
    <xf numFmtId="0" fontId="95" fillId="2" borderId="1" xfId="0" applyFont="1" applyFill="1" applyBorder="1" applyAlignment="1">
      <alignment horizontal="center"/>
    </xf>
    <xf numFmtId="0" fontId="95" fillId="2" borderId="1" xfId="0" applyFont="1" applyFill="1" applyBorder="1" applyAlignment="1">
      <alignment horizontal="left" vertical="center"/>
    </xf>
    <xf numFmtId="39" fontId="95" fillId="2" borderId="1" xfId="1" applyNumberFormat="1" applyFont="1" applyFill="1" applyBorder="1" applyAlignment="1">
      <alignment horizontal="center" vertical="center"/>
    </xf>
    <xf numFmtId="39" fontId="95" fillId="2" borderId="60" xfId="1" applyNumberFormat="1" applyFont="1" applyFill="1" applyBorder="1" applyAlignment="1">
      <alignment horizontal="center" vertical="center"/>
    </xf>
    <xf numFmtId="39" fontId="95" fillId="0" borderId="0" xfId="1" applyNumberFormat="1" applyFont="1" applyFill="1" applyBorder="1" applyAlignment="1">
      <alignment horizontal="center" vertical="center"/>
    </xf>
    <xf numFmtId="39" fontId="92" fillId="0" borderId="15" xfId="0" applyNumberFormat="1" applyFont="1" applyBorder="1"/>
    <xf numFmtId="0" fontId="92" fillId="0" borderId="16" xfId="0" applyFont="1" applyBorder="1"/>
    <xf numFmtId="39" fontId="92" fillId="0" borderId="1" xfId="0" applyNumberFormat="1" applyFont="1" applyBorder="1"/>
    <xf numFmtId="39" fontId="92" fillId="0" borderId="2" xfId="0" applyNumberFormat="1" applyFont="1" applyBorder="1"/>
    <xf numFmtId="39" fontId="92" fillId="0" borderId="16" xfId="0" applyNumberFormat="1" applyFont="1" applyBorder="1"/>
    <xf numFmtId="39" fontId="93" fillId="0" borderId="51" xfId="1" applyNumberFormat="1" applyFont="1" applyBorder="1" applyAlignment="1">
      <alignment horizontal="center" vertical="center"/>
    </xf>
    <xf numFmtId="39" fontId="93" fillId="0" borderId="0" xfId="1" applyNumberFormat="1" applyFont="1" applyFill="1" applyBorder="1" applyAlignment="1">
      <alignment horizontal="center" vertical="center"/>
    </xf>
    <xf numFmtId="39" fontId="92" fillId="0" borderId="19" xfId="0" applyNumberFormat="1" applyFont="1" applyBorder="1"/>
    <xf numFmtId="39" fontId="92" fillId="0" borderId="21" xfId="0" applyNumberFormat="1" applyFont="1" applyBorder="1"/>
    <xf numFmtId="39" fontId="92" fillId="0" borderId="20" xfId="0" applyNumberFormat="1" applyFont="1" applyBorder="1"/>
    <xf numFmtId="39" fontId="92" fillId="0" borderId="49" xfId="0" applyNumberFormat="1" applyFont="1" applyBorder="1"/>
    <xf numFmtId="39" fontId="93" fillId="0" borderId="53" xfId="1" applyNumberFormat="1" applyFont="1" applyBorder="1" applyAlignment="1">
      <alignment horizontal="center" vertical="center"/>
    </xf>
    <xf numFmtId="39" fontId="92" fillId="0" borderId="0" xfId="0" applyNumberFormat="1" applyFont="1"/>
    <xf numFmtId="39" fontId="93" fillId="0" borderId="52" xfId="1" applyNumberFormat="1" applyFont="1" applyBorder="1" applyAlignment="1">
      <alignment horizontal="center" vertical="center"/>
    </xf>
    <xf numFmtId="39" fontId="93" fillId="0" borderId="18" xfId="1" applyNumberFormat="1" applyFont="1" applyBorder="1" applyAlignment="1">
      <alignment horizontal="center" vertical="center"/>
    </xf>
    <xf numFmtId="0" fontId="93" fillId="2" borderId="1" xfId="0" applyFont="1" applyFill="1" applyBorder="1" applyAlignment="1">
      <alignment horizontal="center"/>
    </xf>
    <xf numFmtId="39" fontId="93" fillId="0" borderId="54" xfId="1" applyNumberFormat="1" applyFont="1" applyBorder="1" applyAlignment="1">
      <alignment horizontal="center" vertical="center"/>
    </xf>
    <xf numFmtId="39" fontId="93" fillId="0" borderId="18" xfId="1" applyNumberFormat="1" applyFont="1" applyFill="1" applyBorder="1" applyAlignment="1">
      <alignment horizontal="center" vertical="center"/>
    </xf>
    <xf numFmtId="39" fontId="93" fillId="0" borderId="51" xfId="1" applyNumberFormat="1" applyFont="1" applyFill="1" applyBorder="1" applyAlignment="1">
      <alignment horizontal="center" vertical="center"/>
    </xf>
    <xf numFmtId="39" fontId="93" fillId="0" borderId="53" xfId="1" applyNumberFormat="1" applyFont="1" applyFill="1" applyBorder="1" applyAlignment="1">
      <alignment horizontal="center" vertical="center"/>
    </xf>
    <xf numFmtId="0" fontId="93" fillId="0" borderId="54" xfId="0" applyFont="1" applyBorder="1" applyAlignment="1">
      <alignment horizontal="left" vertical="center"/>
    </xf>
    <xf numFmtId="0" fontId="94" fillId="0" borderId="67" xfId="0" applyFont="1" applyBorder="1" applyAlignment="1">
      <alignment horizontal="center"/>
    </xf>
    <xf numFmtId="0" fontId="94" fillId="0" borderId="61" xfId="0" applyFont="1" applyBorder="1" applyAlignment="1">
      <alignment horizontal="center" wrapText="1"/>
    </xf>
    <xf numFmtId="0" fontId="94" fillId="0" borderId="30" xfId="0" applyFont="1" applyBorder="1" applyAlignment="1">
      <alignment horizontal="center" wrapText="1"/>
    </xf>
    <xf numFmtId="0" fontId="94" fillId="0" borderId="71" xfId="0" applyFont="1" applyBorder="1" applyAlignment="1">
      <alignment horizontal="center" wrapText="1"/>
    </xf>
    <xf numFmtId="0" fontId="100" fillId="0" borderId="23" xfId="0" applyFont="1" applyBorder="1" applyAlignment="1">
      <alignment horizontal="left" indent="2"/>
    </xf>
    <xf numFmtId="2" fontId="100" fillId="0" borderId="13" xfId="0" applyNumberFormat="1" applyFont="1" applyBorder="1" applyAlignment="1">
      <alignment horizontal="left" indent="4"/>
    </xf>
    <xf numFmtId="2" fontId="92" fillId="0" borderId="14" xfId="0" applyNumberFormat="1" applyFont="1" applyBorder="1"/>
    <xf numFmtId="0" fontId="92" fillId="0" borderId="50" xfId="0" applyFont="1" applyBorder="1" applyAlignment="1">
      <alignment horizontal="left" indent="2"/>
    </xf>
    <xf numFmtId="0" fontId="100" fillId="0" borderId="23" xfId="0" applyFont="1" applyFill="1" applyBorder="1" applyAlignment="1">
      <alignment horizontal="left" indent="2"/>
    </xf>
    <xf numFmtId="2" fontId="100" fillId="0" borderId="15" xfId="0" applyNumberFormat="1" applyFont="1" applyFill="1" applyBorder="1" applyAlignment="1">
      <alignment horizontal="left" indent="4"/>
    </xf>
    <xf numFmtId="2" fontId="92" fillId="0" borderId="16" xfId="0" applyNumberFormat="1" applyFont="1" applyFill="1" applyBorder="1"/>
    <xf numFmtId="0" fontId="92" fillId="0" borderId="2" xfId="0" applyFont="1" applyFill="1" applyBorder="1" applyAlignment="1">
      <alignment horizontal="left" indent="2"/>
    </xf>
    <xf numFmtId="0" fontId="94" fillId="0" borderId="0" xfId="0" applyFont="1" applyAlignment="1">
      <alignment horizontal="right"/>
    </xf>
    <xf numFmtId="2" fontId="94" fillId="0" borderId="15" xfId="0" applyNumberFormat="1" applyFont="1" applyBorder="1"/>
    <xf numFmtId="0" fontId="94" fillId="88" borderId="23" xfId="0" applyFont="1" applyFill="1" applyBorder="1"/>
    <xf numFmtId="2" fontId="94" fillId="88" borderId="15" xfId="0" applyNumberFormat="1" applyFont="1" applyFill="1" applyBorder="1"/>
    <xf numFmtId="39" fontId="92" fillId="88" borderId="16" xfId="0" applyNumberFormat="1" applyFont="1" applyFill="1" applyBorder="1"/>
    <xf numFmtId="0" fontId="92" fillId="0" borderId="16" xfId="0" applyFont="1" applyFill="1" applyBorder="1"/>
    <xf numFmtId="0" fontId="94" fillId="0" borderId="3" xfId="0" applyFont="1" applyBorder="1"/>
    <xf numFmtId="0" fontId="94" fillId="0" borderId="2" xfId="0" applyFont="1" applyBorder="1"/>
    <xf numFmtId="2" fontId="92" fillId="0" borderId="15" xfId="0" applyNumberFormat="1" applyFont="1" applyFill="1" applyBorder="1"/>
    <xf numFmtId="0" fontId="92" fillId="0" borderId="23" xfId="0" applyFont="1" applyBorder="1" applyAlignment="1">
      <alignment horizontal="left" indent="2"/>
    </xf>
    <xf numFmtId="0" fontId="92" fillId="0" borderId="2" xfId="0" applyFont="1" applyFill="1" applyBorder="1"/>
    <xf numFmtId="0" fontId="92" fillId="0" borderId="2" xfId="0" applyFont="1" applyBorder="1" applyAlignment="1">
      <alignment horizontal="left" indent="2"/>
    </xf>
    <xf numFmtId="0" fontId="94" fillId="0" borderId="23" xfId="0" applyFont="1" applyBorder="1" applyAlignment="1">
      <alignment horizontal="left" indent="2"/>
    </xf>
    <xf numFmtId="2" fontId="94" fillId="0" borderId="15" xfId="0" applyNumberFormat="1" applyFont="1" applyFill="1" applyBorder="1"/>
    <xf numFmtId="0" fontId="94" fillId="0" borderId="2" xfId="0" applyFont="1" applyBorder="1" applyAlignment="1">
      <alignment horizontal="left" indent="2"/>
    </xf>
    <xf numFmtId="0" fontId="94" fillId="0" borderId="23" xfId="0" applyFont="1" applyFill="1" applyBorder="1"/>
    <xf numFmtId="0" fontId="94" fillId="0" borderId="2" xfId="0" applyFont="1" applyFill="1" applyBorder="1"/>
    <xf numFmtId="0" fontId="100" fillId="0" borderId="23" xfId="0" applyFont="1" applyBorder="1" applyAlignment="1">
      <alignment horizontal="left" indent="5"/>
    </xf>
    <xf numFmtId="0" fontId="100" fillId="0" borderId="16" xfId="0" applyFont="1" applyBorder="1"/>
    <xf numFmtId="0" fontId="100" fillId="0" borderId="2" xfId="0" applyFont="1" applyFill="1" applyBorder="1"/>
    <xf numFmtId="0" fontId="94" fillId="0" borderId="16" xfId="0" applyFont="1" applyBorder="1"/>
    <xf numFmtId="2" fontId="94" fillId="0" borderId="3" xfId="0" applyNumberFormat="1" applyFont="1" applyFill="1" applyBorder="1"/>
    <xf numFmtId="2" fontId="92" fillId="0" borderId="16" xfId="0" applyNumberFormat="1" applyFont="1" applyBorder="1" applyAlignment="1">
      <alignment horizontal="right"/>
    </xf>
    <xf numFmtId="2" fontId="94" fillId="0" borderId="3" xfId="0" applyNumberFormat="1" applyFont="1" applyBorder="1"/>
    <xf numFmtId="2" fontId="92" fillId="0" borderId="16" xfId="0" applyNumberFormat="1" applyFont="1" applyBorder="1"/>
    <xf numFmtId="0" fontId="94" fillId="0" borderId="69" xfId="0" applyFont="1" applyFill="1" applyBorder="1"/>
    <xf numFmtId="2" fontId="94" fillId="0" borderId="19" xfId="0" applyNumberFormat="1" applyFont="1" applyBorder="1" applyAlignment="1">
      <alignment horizontal="right"/>
    </xf>
    <xf numFmtId="2" fontId="92" fillId="0" borderId="20" xfId="0" applyNumberFormat="1" applyFont="1" applyBorder="1"/>
    <xf numFmtId="0" fontId="94" fillId="0" borderId="4" xfId="0" applyFont="1" applyFill="1" applyBorder="1"/>
    <xf numFmtId="2" fontId="94" fillId="0" borderId="61" xfId="0" applyNumberFormat="1" applyFont="1" applyBorder="1"/>
    <xf numFmtId="2" fontId="94" fillId="0" borderId="93" xfId="0" applyNumberFormat="1" applyFont="1" applyBorder="1"/>
    <xf numFmtId="2" fontId="94" fillId="0" borderId="63" xfId="0" applyNumberFormat="1" applyFont="1" applyBorder="1"/>
    <xf numFmtId="0" fontId="92" fillId="88" borderId="23" xfId="0" applyFont="1" applyFill="1" applyBorder="1" applyAlignment="1">
      <alignment horizontal="left" indent="2"/>
    </xf>
    <xf numFmtId="2" fontId="92" fillId="88" borderId="15" xfId="0" applyNumberFormat="1" applyFont="1" applyFill="1" applyBorder="1"/>
    <xf numFmtId="0" fontId="92" fillId="88" borderId="3" xfId="0" applyFont="1" applyFill="1" applyBorder="1"/>
    <xf numFmtId="0" fontId="94" fillId="0" borderId="23" xfId="0" applyFont="1" applyFill="1" applyBorder="1" applyAlignment="1">
      <alignment horizontal="left" indent="2"/>
    </xf>
    <xf numFmtId="2" fontId="92" fillId="0" borderId="92" xfId="0" applyNumberFormat="1" applyFont="1" applyFill="1" applyBorder="1"/>
    <xf numFmtId="2" fontId="92" fillId="0" borderId="92" xfId="0" applyNumberFormat="1" applyFont="1" applyBorder="1"/>
    <xf numFmtId="0" fontId="94" fillId="0" borderId="23" xfId="0" applyFont="1" applyFill="1" applyBorder="1" applyAlignment="1">
      <alignment horizontal="left" indent="6"/>
    </xf>
    <xf numFmtId="0" fontId="94" fillId="0" borderId="92" xfId="0" applyFont="1" applyBorder="1"/>
    <xf numFmtId="2" fontId="94" fillId="0" borderId="92" xfId="0" applyNumberFormat="1" applyFont="1" applyBorder="1"/>
    <xf numFmtId="0" fontId="94" fillId="0" borderId="69" xfId="0" applyFont="1" applyFill="1" applyBorder="1" applyAlignment="1">
      <alignment horizontal="left" indent="2"/>
    </xf>
    <xf numFmtId="0" fontId="94" fillId="87" borderId="27" xfId="0" applyFont="1" applyFill="1" applyBorder="1"/>
    <xf numFmtId="2" fontId="94" fillId="87" borderId="61" xfId="0" applyNumberFormat="1" applyFont="1" applyFill="1" applyBorder="1"/>
    <xf numFmtId="0" fontId="94" fillId="87" borderId="12" xfId="0" applyFont="1" applyFill="1" applyBorder="1"/>
    <xf numFmtId="2" fontId="94" fillId="87" borderId="7" xfId="0" applyNumberFormat="1" applyFont="1" applyFill="1" applyBorder="1"/>
    <xf numFmtId="2" fontId="94" fillId="87" borderId="12" xfId="0" applyNumberFormat="1" applyFont="1" applyFill="1" applyBorder="1"/>
    <xf numFmtId="0" fontId="94" fillId="0" borderId="0" xfId="0" applyFont="1" applyFill="1" applyBorder="1"/>
    <xf numFmtId="2" fontId="94" fillId="0" borderId="0" xfId="0" applyNumberFormat="1" applyFont="1" applyBorder="1"/>
    <xf numFmtId="0" fontId="97" fillId="0" borderId="0" xfId="0" applyFont="1" applyFill="1" applyBorder="1"/>
    <xf numFmtId="2" fontId="97" fillId="0" borderId="0" xfId="0" applyNumberFormat="1" applyFont="1" applyBorder="1"/>
    <xf numFmtId="0" fontId="94" fillId="2" borderId="55" xfId="0" applyFont="1" applyFill="1" applyBorder="1"/>
    <xf numFmtId="2" fontId="92" fillId="2" borderId="55" xfId="0" applyNumberFormat="1" applyFont="1" applyFill="1" applyBorder="1"/>
    <xf numFmtId="0" fontId="94" fillId="89" borderId="4" xfId="0" applyFont="1" applyFill="1" applyBorder="1"/>
    <xf numFmtId="2" fontId="92" fillId="89" borderId="4" xfId="0" applyNumberFormat="1" applyFont="1" applyFill="1" applyBorder="1"/>
    <xf numFmtId="0" fontId="94" fillId="4" borderId="27" xfId="0" applyFont="1" applyFill="1" applyBorder="1"/>
    <xf numFmtId="10" fontId="94" fillId="4" borderId="27" xfId="2" applyNumberFormat="1" applyFont="1" applyFill="1" applyBorder="1"/>
    <xf numFmtId="2" fontId="94" fillId="0" borderId="0" xfId="0" applyNumberFormat="1" applyFont="1"/>
    <xf numFmtId="0" fontId="92" fillId="83" borderId="7" xfId="0" applyFont="1" applyFill="1" applyBorder="1"/>
    <xf numFmtId="2" fontId="92" fillId="83" borderId="4" xfId="0" applyNumberFormat="1" applyFont="1" applyFill="1" applyBorder="1"/>
    <xf numFmtId="9" fontId="92" fillId="0" borderId="0" xfId="0" applyNumberFormat="1" applyFont="1" applyAlignment="1">
      <alignment horizontal="center"/>
    </xf>
    <xf numFmtId="16" fontId="92" fillId="0" borderId="0" xfId="0" applyNumberFormat="1" applyFont="1"/>
    <xf numFmtId="0" fontId="92" fillId="0" borderId="0" xfId="0" applyFont="1" applyAlignment="1">
      <alignment horizontal="right"/>
    </xf>
    <xf numFmtId="0" fontId="94" fillId="3" borderId="61" xfId="0" applyFont="1" applyFill="1" applyBorder="1" applyAlignment="1">
      <alignment horizontal="center"/>
    </xf>
    <xf numFmtId="0" fontId="94" fillId="3" borderId="62" xfId="0" applyFont="1" applyFill="1" applyBorder="1" applyAlignment="1">
      <alignment horizontal="center"/>
    </xf>
    <xf numFmtId="0" fontId="94" fillId="3" borderId="63" xfId="0" applyFont="1" applyFill="1" applyBorder="1" applyAlignment="1">
      <alignment horizontal="center"/>
    </xf>
    <xf numFmtId="17" fontId="94" fillId="2" borderId="7" xfId="0" applyNumberFormat="1" applyFont="1" applyFill="1" applyBorder="1" applyAlignment="1">
      <alignment horizontal="left"/>
    </xf>
    <xf numFmtId="172" fontId="94" fillId="2" borderId="70" xfId="0" applyNumberFormat="1" applyFont="1" applyFill="1" applyBorder="1" applyAlignment="1">
      <alignment horizontal="right"/>
    </xf>
    <xf numFmtId="172" fontId="94" fillId="2" borderId="27" xfId="0" applyNumberFormat="1" applyFont="1" applyFill="1" applyBorder="1" applyAlignment="1">
      <alignment horizontal="right"/>
    </xf>
    <xf numFmtId="172" fontId="94" fillId="2" borderId="26" xfId="0" applyNumberFormat="1" applyFont="1" applyFill="1" applyBorder="1" applyAlignment="1">
      <alignment horizontal="right"/>
    </xf>
    <xf numFmtId="172" fontId="94" fillId="0" borderId="17" xfId="0" applyNumberFormat="1" applyFont="1" applyBorder="1" applyAlignment="1">
      <alignment horizontal="right"/>
    </xf>
    <xf numFmtId="172" fontId="94" fillId="0" borderId="10" xfId="0" applyNumberFormat="1" applyFont="1" applyBorder="1" applyAlignment="1">
      <alignment horizontal="right"/>
    </xf>
    <xf numFmtId="172" fontId="94" fillId="0" borderId="18" xfId="0" applyNumberFormat="1" applyFont="1" applyBorder="1" applyAlignment="1">
      <alignment horizontal="right"/>
    </xf>
    <xf numFmtId="17" fontId="94" fillId="84" borderId="7" xfId="0" applyNumberFormat="1" applyFont="1" applyFill="1" applyBorder="1" applyAlignment="1">
      <alignment horizontal="left"/>
    </xf>
    <xf numFmtId="172" fontId="94" fillId="84" borderId="7" xfId="0" applyNumberFormat="1" applyFont="1" applyFill="1" applyBorder="1" applyAlignment="1">
      <alignment horizontal="right"/>
    </xf>
    <xf numFmtId="172" fontId="94" fillId="84" borderId="4" xfId="0" applyNumberFormat="1" applyFont="1" applyFill="1" applyBorder="1" applyAlignment="1">
      <alignment horizontal="right"/>
    </xf>
    <xf numFmtId="172" fontId="94" fillId="84" borderId="12" xfId="0" applyNumberFormat="1" applyFont="1" applyFill="1" applyBorder="1" applyAlignment="1">
      <alignment horizontal="right"/>
    </xf>
    <xf numFmtId="0" fontId="94" fillId="85" borderId="7" xfId="0" applyFont="1" applyFill="1" applyBorder="1"/>
    <xf numFmtId="172" fontId="94" fillId="85" borderId="7" xfId="0" applyNumberFormat="1" applyFont="1" applyFill="1" applyBorder="1" applyAlignment="1">
      <alignment horizontal="right"/>
    </xf>
    <xf numFmtId="172" fontId="94" fillId="85" borderId="4" xfId="0" applyNumberFormat="1" applyFont="1" applyFill="1" applyBorder="1" applyAlignment="1">
      <alignment horizontal="right"/>
    </xf>
    <xf numFmtId="0" fontId="94" fillId="0" borderId="17" xfId="0" applyFont="1" applyBorder="1"/>
    <xf numFmtId="0" fontId="94" fillId="0" borderId="10" xfId="0" applyFont="1" applyBorder="1"/>
    <xf numFmtId="0" fontId="94" fillId="0" borderId="18" xfId="0" applyFont="1" applyBorder="1"/>
    <xf numFmtId="167" fontId="94" fillId="85" borderId="7" xfId="1" applyFont="1" applyFill="1" applyBorder="1"/>
    <xf numFmtId="167" fontId="94" fillId="85" borderId="4" xfId="1" applyFont="1" applyFill="1" applyBorder="1"/>
    <xf numFmtId="167" fontId="94" fillId="85" borderId="12" xfId="1" applyFont="1" applyFill="1" applyBorder="1"/>
    <xf numFmtId="0" fontId="94" fillId="84" borderId="6" xfId="0" applyFont="1" applyFill="1" applyBorder="1"/>
    <xf numFmtId="0" fontId="94" fillId="85" borderId="6" xfId="0" applyFont="1" applyFill="1" applyBorder="1"/>
    <xf numFmtId="172" fontId="94" fillId="85" borderId="12" xfId="0" applyNumberFormat="1" applyFont="1" applyFill="1" applyBorder="1" applyAlignment="1">
      <alignment horizontal="right"/>
    </xf>
    <xf numFmtId="172" fontId="92" fillId="0" borderId="0" xfId="0" applyNumberFormat="1" applyFont="1" applyAlignment="1">
      <alignment horizontal="right"/>
    </xf>
    <xf numFmtId="0" fontId="92" fillId="12" borderId="1" xfId="0" applyFont="1" applyFill="1" applyBorder="1" applyAlignment="1">
      <alignment horizontal="center"/>
    </xf>
    <xf numFmtId="181" fontId="92" fillId="0" borderId="16" xfId="0" applyNumberFormat="1" applyFont="1" applyBorder="1" applyAlignment="1">
      <alignment horizontal="right"/>
    </xf>
    <xf numFmtId="237" fontId="94" fillId="0" borderId="19" xfId="0" applyNumberFormat="1" applyFont="1" applyBorder="1" applyAlignment="1">
      <alignment horizontal="right"/>
    </xf>
    <xf numFmtId="2" fontId="94" fillId="92" borderId="61" xfId="0" applyNumberFormat="1" applyFont="1" applyFill="1" applyBorder="1"/>
    <xf numFmtId="235" fontId="92" fillId="0" borderId="0" xfId="0" applyNumberFormat="1" applyFont="1"/>
    <xf numFmtId="39" fontId="92" fillId="0" borderId="0" xfId="0" applyNumberFormat="1" applyFont="1" applyAlignment="1">
      <alignment horizontal="right"/>
    </xf>
    <xf numFmtId="39" fontId="94" fillId="87" borderId="12" xfId="0" applyNumberFormat="1" applyFont="1" applyFill="1" applyBorder="1"/>
    <xf numFmtId="178" fontId="94" fillId="0" borderId="19" xfId="0" applyNumberFormat="1" applyFont="1" applyBorder="1" applyAlignment="1">
      <alignment horizontal="right"/>
    </xf>
    <xf numFmtId="167" fontId="99" fillId="0" borderId="0" xfId="1" applyFont="1"/>
    <xf numFmtId="0" fontId="108" fillId="0" borderId="0" xfId="0" applyFont="1"/>
    <xf numFmtId="43" fontId="94" fillId="0" borderId="0" xfId="0" applyNumberFormat="1" applyFont="1" applyAlignment="1">
      <alignment horizontal="center"/>
    </xf>
    <xf numFmtId="0" fontId="94" fillId="0" borderId="0" xfId="0" applyFont="1" applyAlignment="1">
      <alignment horizontal="center"/>
    </xf>
    <xf numFmtId="0" fontId="98" fillId="0" borderId="4" xfId="0" applyFont="1" applyBorder="1"/>
    <xf numFmtId="0" fontId="92" fillId="0" borderId="55" xfId="0" applyFont="1" applyBorder="1"/>
    <xf numFmtId="0" fontId="92" fillId="0" borderId="24" xfId="0" applyFont="1" applyBorder="1"/>
    <xf numFmtId="0" fontId="94" fillId="0" borderId="39" xfId="0" applyFont="1" applyBorder="1" applyAlignment="1">
      <alignment horizontal="center"/>
    </xf>
    <xf numFmtId="174" fontId="94" fillId="0" borderId="39" xfId="0" applyNumberFormat="1" applyFont="1" applyBorder="1" applyAlignment="1">
      <alignment horizontal="center"/>
    </xf>
    <xf numFmtId="0" fontId="109" fillId="0" borderId="4" xfId="0" applyFont="1" applyFill="1" applyBorder="1"/>
    <xf numFmtId="174" fontId="94" fillId="0" borderId="4" xfId="0" applyNumberFormat="1" applyFont="1" applyBorder="1"/>
    <xf numFmtId="0" fontId="94" fillId="0" borderId="4" xfId="0" applyFont="1" applyBorder="1" applyAlignment="1">
      <alignment horizontal="center" vertical="center"/>
    </xf>
    <xf numFmtId="0" fontId="94" fillId="0" borderId="0" xfId="0" applyFont="1" applyFill="1" applyBorder="1" applyAlignment="1">
      <alignment wrapText="1"/>
    </xf>
    <xf numFmtId="17" fontId="94" fillId="0" borderId="17" xfId="0" applyNumberFormat="1" applyFont="1" applyFill="1" applyBorder="1" applyAlignment="1">
      <alignment horizontal="left"/>
    </xf>
    <xf numFmtId="174" fontId="92" fillId="0" borderId="0" xfId="1" applyNumberFormat="1" applyFont="1" applyBorder="1"/>
    <xf numFmtId="167" fontId="92" fillId="0" borderId="18" xfId="1" applyFont="1" applyBorder="1"/>
    <xf numFmtId="0" fontId="92" fillId="0" borderId="15" xfId="0" applyFont="1" applyFill="1" applyBorder="1"/>
    <xf numFmtId="167" fontId="92" fillId="2" borderId="34" xfId="1" applyNumberFormat="1" applyFont="1" applyFill="1" applyBorder="1"/>
    <xf numFmtId="174" fontId="92" fillId="0" borderId="3" xfId="1" applyNumberFormat="1" applyFont="1" applyBorder="1"/>
    <xf numFmtId="170" fontId="92" fillId="0" borderId="16" xfId="1" applyNumberFormat="1" applyFont="1" applyBorder="1"/>
    <xf numFmtId="167" fontId="99" fillId="0" borderId="0" xfId="1" applyFont="1" applyBorder="1"/>
    <xf numFmtId="0" fontId="93" fillId="8" borderId="17" xfId="0" applyFont="1" applyFill="1" applyBorder="1"/>
    <xf numFmtId="169" fontId="92" fillId="8" borderId="17" xfId="1" applyNumberFormat="1" applyFont="1" applyFill="1" applyBorder="1"/>
    <xf numFmtId="167" fontId="92" fillId="8" borderId="0" xfId="1" applyFont="1" applyFill="1" applyBorder="1"/>
    <xf numFmtId="174" fontId="92" fillId="8" borderId="0" xfId="1" applyNumberFormat="1" applyFont="1" applyFill="1" applyBorder="1"/>
    <xf numFmtId="167" fontId="92" fillId="8" borderId="0" xfId="1" applyNumberFormat="1" applyFont="1" applyFill="1" applyBorder="1"/>
    <xf numFmtId="167" fontId="99" fillId="0" borderId="0" xfId="1" applyFont="1" applyFill="1" applyBorder="1"/>
    <xf numFmtId="0" fontId="92" fillId="0" borderId="10" xfId="0" applyFont="1" applyFill="1" applyBorder="1"/>
    <xf numFmtId="0" fontId="92" fillId="0" borderId="17" xfId="0" applyFont="1" applyFill="1" applyBorder="1"/>
    <xf numFmtId="43" fontId="98" fillId="0" borderId="0" xfId="1" applyNumberFormat="1" applyFont="1" applyBorder="1"/>
    <xf numFmtId="167" fontId="94" fillId="0" borderId="18" xfId="1" applyFont="1" applyBorder="1"/>
    <xf numFmtId="167" fontId="94" fillId="0" borderId="17" xfId="1" applyFont="1" applyBorder="1"/>
    <xf numFmtId="167" fontId="94" fillId="0" borderId="70" xfId="1" applyFont="1" applyBorder="1"/>
    <xf numFmtId="167" fontId="92" fillId="0" borderId="48" xfId="1" applyFont="1" applyBorder="1"/>
    <xf numFmtId="174" fontId="92" fillId="0" borderId="48" xfId="1" applyNumberFormat="1" applyFont="1" applyBorder="1"/>
    <xf numFmtId="167" fontId="94" fillId="0" borderId="26" xfId="1" applyFont="1" applyBorder="1"/>
    <xf numFmtId="0" fontId="92" fillId="0" borderId="27" xfId="0" applyFont="1" applyFill="1" applyBorder="1"/>
    <xf numFmtId="0" fontId="94" fillId="0" borderId="56" xfId="0" applyFont="1" applyBorder="1" applyAlignment="1">
      <alignment horizontal="center"/>
    </xf>
    <xf numFmtId="0" fontId="94" fillId="0" borderId="35" xfId="0" applyFont="1" applyBorder="1" applyAlignment="1">
      <alignment horizontal="center"/>
    </xf>
    <xf numFmtId="174" fontId="94" fillId="0" borderId="35" xfId="0" applyNumberFormat="1" applyFont="1" applyBorder="1" applyAlignment="1">
      <alignment horizontal="center"/>
    </xf>
    <xf numFmtId="0" fontId="94" fillId="0" borderId="36" xfId="0" applyFont="1" applyBorder="1" applyAlignment="1">
      <alignment horizontal="center"/>
    </xf>
    <xf numFmtId="0" fontId="109" fillId="0" borderId="9" xfId="0" applyFont="1" applyBorder="1"/>
    <xf numFmtId="0" fontId="94" fillId="0" borderId="8" xfId="0" applyFont="1" applyBorder="1" applyAlignment="1">
      <alignment horizontal="center"/>
    </xf>
    <xf numFmtId="167" fontId="94" fillId="0" borderId="19" xfId="1" applyFont="1" applyBorder="1"/>
    <xf numFmtId="174" fontId="92" fillId="0" borderId="21" xfId="1" applyNumberFormat="1" applyFont="1" applyBorder="1"/>
    <xf numFmtId="0" fontId="94" fillId="0" borderId="21" xfId="0" applyFont="1" applyBorder="1" applyAlignment="1">
      <alignment horizontal="center" vertical="center"/>
    </xf>
    <xf numFmtId="0" fontId="94" fillId="0" borderId="21" xfId="0" applyFont="1" applyBorder="1"/>
    <xf numFmtId="0" fontId="94" fillId="0" borderId="20" xfId="0" applyFont="1" applyBorder="1" applyAlignment="1">
      <alignment horizontal="center"/>
    </xf>
    <xf numFmtId="167" fontId="92" fillId="0" borderId="17" xfId="1" applyFont="1" applyBorder="1"/>
    <xf numFmtId="17" fontId="95" fillId="0" borderId="10" xfId="0" applyNumberFormat="1" applyFont="1" applyBorder="1" applyAlignment="1">
      <alignment horizontal="left"/>
    </xf>
    <xf numFmtId="167" fontId="92" fillId="2" borderId="4" xfId="1" applyFont="1" applyFill="1" applyBorder="1"/>
    <xf numFmtId="167" fontId="92" fillId="2" borderId="4" xfId="1" applyNumberFormat="1" applyFont="1" applyFill="1" applyBorder="1"/>
    <xf numFmtId="171" fontId="92" fillId="0" borderId="0" xfId="1" applyNumberFormat="1" applyFont="1" applyBorder="1"/>
    <xf numFmtId="167" fontId="92" fillId="0" borderId="0" xfId="1" applyNumberFormat="1" applyFont="1" applyBorder="1"/>
    <xf numFmtId="0" fontId="93" fillId="0" borderId="10" xfId="0" applyFont="1" applyBorder="1"/>
    <xf numFmtId="0" fontId="99" fillId="0" borderId="0" xfId="0" applyFont="1"/>
    <xf numFmtId="167" fontId="94" fillId="0" borderId="7" xfId="1" applyFont="1" applyBorder="1"/>
    <xf numFmtId="167" fontId="92" fillId="0" borderId="6" xfId="1" applyFont="1" applyBorder="1"/>
    <xf numFmtId="174" fontId="92" fillId="0" borderId="6" xfId="1" applyNumberFormat="1" applyFont="1" applyBorder="1"/>
    <xf numFmtId="167" fontId="94" fillId="0" borderId="4" xfId="1" applyFont="1" applyBorder="1"/>
    <xf numFmtId="167" fontId="98" fillId="9" borderId="17" xfId="1" applyFont="1" applyFill="1" applyBorder="1"/>
    <xf numFmtId="167" fontId="99" fillId="9" borderId="0" xfId="1" applyNumberFormat="1" applyFont="1" applyFill="1" applyBorder="1"/>
    <xf numFmtId="167" fontId="94" fillId="0" borderId="27" xfId="1" applyFont="1" applyBorder="1"/>
    <xf numFmtId="167" fontId="98" fillId="0" borderId="6" xfId="0" applyNumberFormat="1" applyFont="1" applyBorder="1"/>
    <xf numFmtId="174" fontId="92" fillId="0" borderId="6" xfId="0" applyNumberFormat="1" applyFont="1" applyBorder="1"/>
    <xf numFmtId="2" fontId="98" fillId="0" borderId="4" xfId="0" applyNumberFormat="1" applyFont="1" applyBorder="1" applyAlignment="1">
      <alignment horizontal="center" vertical="center"/>
    </xf>
    <xf numFmtId="0" fontId="94" fillId="0" borderId="34" xfId="0" applyFont="1" applyBorder="1" applyAlignment="1">
      <alignment horizontal="center"/>
    </xf>
    <xf numFmtId="0" fontId="109" fillId="0" borderId="23" xfId="0" applyFont="1" applyFill="1" applyBorder="1"/>
    <xf numFmtId="0" fontId="94" fillId="0" borderId="43" xfId="0" applyFont="1" applyBorder="1" applyAlignment="1">
      <alignment horizontal="center"/>
    </xf>
    <xf numFmtId="174" fontId="92" fillId="0" borderId="1" xfId="0" applyNumberFormat="1" applyFont="1" applyBorder="1"/>
    <xf numFmtId="0" fontId="94" fillId="0" borderId="1" xfId="0" applyFont="1" applyBorder="1" applyAlignment="1">
      <alignment horizontal="center" vertical="center"/>
    </xf>
    <xf numFmtId="0" fontId="109" fillId="0" borderId="43" xfId="0" applyFont="1" applyFill="1" applyBorder="1"/>
    <xf numFmtId="0" fontId="94" fillId="0" borderId="19" xfId="0" applyFont="1" applyBorder="1" applyAlignment="1">
      <alignment horizontal="center"/>
    </xf>
    <xf numFmtId="0" fontId="94" fillId="0" borderId="21" xfId="0" applyFont="1" applyBorder="1" applyAlignment="1">
      <alignment horizontal="center"/>
    </xf>
    <xf numFmtId="174" fontId="94" fillId="0" borderId="21" xfId="0" applyNumberFormat="1" applyFont="1" applyBorder="1" applyAlignment="1">
      <alignment horizontal="center"/>
    </xf>
    <xf numFmtId="167" fontId="92" fillId="0" borderId="18" xfId="1" applyNumberFormat="1" applyFont="1" applyBorder="1"/>
    <xf numFmtId="167" fontId="92" fillId="2" borderId="34" xfId="1" applyFont="1" applyFill="1" applyBorder="1"/>
    <xf numFmtId="167" fontId="92" fillId="0" borderId="16" xfId="1" applyNumberFormat="1" applyFont="1" applyBorder="1"/>
    <xf numFmtId="167" fontId="94" fillId="0" borderId="0" xfId="1" applyNumberFormat="1" applyFont="1" applyBorder="1"/>
    <xf numFmtId="167" fontId="94" fillId="0" borderId="18" xfId="1" applyNumberFormat="1" applyFont="1" applyBorder="1"/>
    <xf numFmtId="0" fontId="92" fillId="0" borderId="9" xfId="0" applyFont="1" applyFill="1" applyBorder="1"/>
    <xf numFmtId="0" fontId="94" fillId="0" borderId="3" xfId="0" applyFont="1" applyBorder="1" applyAlignment="1">
      <alignment horizontal="center"/>
    </xf>
    <xf numFmtId="174" fontId="94" fillId="0" borderId="1" xfId="0" applyNumberFormat="1" applyFont="1" applyBorder="1" applyAlignment="1">
      <alignment horizontal="center"/>
    </xf>
    <xf numFmtId="0" fontId="109" fillId="0" borderId="23" xfId="0" applyFont="1" applyBorder="1"/>
    <xf numFmtId="167" fontId="94" fillId="0" borderId="3" xfId="1" applyFont="1" applyBorder="1"/>
    <xf numFmtId="174" fontId="92" fillId="0" borderId="1" xfId="1" applyNumberFormat="1" applyFont="1" applyBorder="1"/>
    <xf numFmtId="0" fontId="92" fillId="0" borderId="17" xfId="0" applyFont="1" applyBorder="1"/>
    <xf numFmtId="17" fontId="95" fillId="0" borderId="70" xfId="0" applyNumberFormat="1" applyFont="1" applyBorder="1" applyAlignment="1">
      <alignment horizontal="left"/>
    </xf>
    <xf numFmtId="167" fontId="92" fillId="2" borderId="12" xfId="1" applyFont="1" applyFill="1" applyBorder="1"/>
    <xf numFmtId="171" fontId="92" fillId="0" borderId="48" xfId="1" applyNumberFormat="1" applyFont="1" applyBorder="1"/>
    <xf numFmtId="167" fontId="92" fillId="0" borderId="48" xfId="1" applyNumberFormat="1" applyFont="1" applyBorder="1"/>
    <xf numFmtId="167" fontId="92" fillId="0" borderId="26" xfId="1" applyFont="1" applyBorder="1"/>
    <xf numFmtId="0" fontId="93" fillId="0" borderId="17" xfId="0" applyFont="1" applyBorder="1"/>
    <xf numFmtId="167" fontId="94" fillId="0" borderId="0" xfId="1" applyFont="1" applyBorder="1"/>
    <xf numFmtId="167" fontId="94" fillId="0" borderId="6" xfId="1" applyFont="1" applyBorder="1"/>
    <xf numFmtId="167" fontId="98" fillId="9" borderId="0" xfId="1" applyFont="1" applyFill="1" applyBorder="1"/>
    <xf numFmtId="167" fontId="94" fillId="0" borderId="27" xfId="1" applyNumberFormat="1" applyFont="1" applyBorder="1"/>
    <xf numFmtId="0" fontId="99" fillId="0" borderId="7" xfId="0" applyFont="1" applyBorder="1"/>
    <xf numFmtId="0" fontId="99" fillId="0" borderId="0" xfId="0" applyFont="1" applyBorder="1"/>
    <xf numFmtId="167" fontId="92" fillId="0" borderId="0" xfId="0" applyNumberFormat="1" applyFont="1" applyBorder="1"/>
    <xf numFmtId="167" fontId="98" fillId="0" borderId="0" xfId="0" applyNumberFormat="1" applyFont="1" applyBorder="1"/>
    <xf numFmtId="174" fontId="92" fillId="0" borderId="0" xfId="0" applyNumberFormat="1" applyFont="1" applyBorder="1"/>
    <xf numFmtId="2" fontId="98" fillId="0" borderId="0" xfId="0" applyNumberFormat="1" applyFont="1" applyBorder="1" applyAlignment="1">
      <alignment horizontal="center" vertical="center"/>
    </xf>
    <xf numFmtId="0" fontId="92" fillId="0" borderId="0" xfId="0" applyFont="1" applyFill="1" applyBorder="1"/>
    <xf numFmtId="167" fontId="92" fillId="0" borderId="0" xfId="1" applyNumberFormat="1" applyFont="1" applyFill="1" applyBorder="1"/>
    <xf numFmtId="0" fontId="93" fillId="0" borderId="0" xfId="0" applyFont="1" applyFill="1" applyBorder="1" applyAlignment="1">
      <alignment horizontal="center"/>
    </xf>
    <xf numFmtId="0" fontId="92" fillId="0" borderId="60" xfId="0" applyFont="1" applyBorder="1"/>
    <xf numFmtId="0" fontId="109" fillId="0" borderId="10" xfId="0" applyFont="1" applyFill="1" applyBorder="1"/>
    <xf numFmtId="0" fontId="92" fillId="0" borderId="3" xfId="0" applyFont="1" applyBorder="1"/>
    <xf numFmtId="0" fontId="109" fillId="0" borderId="68" xfId="0" applyFont="1" applyFill="1" applyBorder="1"/>
    <xf numFmtId="0" fontId="94" fillId="0" borderId="94" xfId="0" applyFont="1" applyBorder="1" applyAlignment="1">
      <alignment horizontal="center"/>
    </xf>
    <xf numFmtId="0" fontId="94" fillId="0" borderId="45" xfId="0" applyFont="1" applyBorder="1" applyAlignment="1">
      <alignment horizontal="center"/>
    </xf>
    <xf numFmtId="174" fontId="94" fillId="0" borderId="45" xfId="0" applyNumberFormat="1" applyFont="1" applyBorder="1" applyAlignment="1">
      <alignment horizontal="center"/>
    </xf>
    <xf numFmtId="0" fontId="94" fillId="0" borderId="46" xfId="0" applyFont="1" applyBorder="1" applyAlignment="1">
      <alignment horizontal="center"/>
    </xf>
    <xf numFmtId="174" fontId="92" fillId="0" borderId="35" xfId="1" applyNumberFormat="1" applyFont="1" applyBorder="1"/>
    <xf numFmtId="167" fontId="92" fillId="0" borderId="36" xfId="1" applyFont="1" applyBorder="1"/>
    <xf numFmtId="174" fontId="92" fillId="0" borderId="1" xfId="1" applyNumberFormat="1" applyFont="1" applyFill="1" applyBorder="1"/>
    <xf numFmtId="173" fontId="92" fillId="0" borderId="0" xfId="1" applyNumberFormat="1" applyFont="1" applyBorder="1"/>
    <xf numFmtId="174" fontId="92" fillId="0" borderId="0" xfId="1" applyNumberFormat="1" applyFont="1" applyFill="1" applyBorder="1"/>
    <xf numFmtId="167" fontId="98" fillId="0" borderId="4" xfId="1" applyFont="1" applyBorder="1"/>
    <xf numFmtId="167" fontId="99" fillId="10" borderId="6" xfId="0" applyNumberFormat="1" applyFont="1" applyFill="1" applyBorder="1"/>
    <xf numFmtId="167" fontId="99" fillId="10" borderId="0" xfId="1" applyFont="1" applyFill="1" applyBorder="1"/>
    <xf numFmtId="167" fontId="92" fillId="0" borderId="6" xfId="0" applyNumberFormat="1" applyFont="1" applyBorder="1"/>
    <xf numFmtId="0" fontId="98" fillId="0" borderId="7" xfId="0" applyFont="1" applyBorder="1"/>
    <xf numFmtId="0" fontId="94" fillId="0" borderId="11" xfId="0" applyFont="1" applyBorder="1" applyAlignment="1">
      <alignment horizontal="center"/>
    </xf>
    <xf numFmtId="0" fontId="94" fillId="0" borderId="5" xfId="0" applyFont="1" applyBorder="1" applyAlignment="1">
      <alignment horizontal="center"/>
    </xf>
    <xf numFmtId="174" fontId="94" fillId="0" borderId="5" xfId="0" applyNumberFormat="1" applyFont="1" applyBorder="1" applyAlignment="1">
      <alignment horizontal="center"/>
    </xf>
    <xf numFmtId="0" fontId="94" fillId="0" borderId="14" xfId="0" applyFont="1" applyBorder="1" applyAlignment="1">
      <alignment horizontal="center"/>
    </xf>
    <xf numFmtId="0" fontId="109" fillId="0" borderId="19" xfId="0" applyFont="1" applyFill="1" applyBorder="1"/>
    <xf numFmtId="0" fontId="94" fillId="0" borderId="10" xfId="0" applyFont="1" applyFill="1" applyBorder="1"/>
    <xf numFmtId="170" fontId="92" fillId="0" borderId="18" xfId="1" applyNumberFormat="1" applyFont="1" applyBorder="1"/>
    <xf numFmtId="17" fontId="95" fillId="11" borderId="17" xfId="0" applyNumberFormat="1" applyFont="1" applyFill="1" applyBorder="1" applyAlignment="1">
      <alignment horizontal="left"/>
    </xf>
    <xf numFmtId="0" fontId="92" fillId="11" borderId="10" xfId="0" applyFont="1" applyFill="1" applyBorder="1"/>
    <xf numFmtId="167" fontId="92" fillId="11" borderId="4" xfId="1" applyFont="1" applyFill="1" applyBorder="1"/>
    <xf numFmtId="174" fontId="92" fillId="11" borderId="0" xfId="1" applyNumberFormat="1" applyFont="1" applyFill="1" applyBorder="1"/>
    <xf numFmtId="171" fontId="92" fillId="11" borderId="0" xfId="1" applyNumberFormat="1" applyFont="1" applyFill="1" applyBorder="1"/>
    <xf numFmtId="167" fontId="92" fillId="11" borderId="0" xfId="1" applyFont="1" applyFill="1" applyBorder="1"/>
    <xf numFmtId="167" fontId="92" fillId="11" borderId="18" xfId="1" applyFont="1" applyFill="1" applyBorder="1"/>
    <xf numFmtId="167" fontId="92" fillId="11" borderId="0" xfId="1" applyNumberFormat="1" applyFont="1" applyFill="1" applyBorder="1"/>
    <xf numFmtId="167" fontId="98" fillId="6" borderId="0" xfId="1" applyFont="1" applyFill="1"/>
    <xf numFmtId="170" fontId="92" fillId="0" borderId="0" xfId="1" applyNumberFormat="1" applyFont="1"/>
    <xf numFmtId="167" fontId="94" fillId="0" borderId="0" xfId="1" applyNumberFormat="1" applyFont="1"/>
    <xf numFmtId="170" fontId="92" fillId="0" borderId="0" xfId="0" applyNumberFormat="1" applyFont="1"/>
    <xf numFmtId="39" fontId="95" fillId="0" borderId="0" xfId="3" applyFont="1"/>
    <xf numFmtId="39" fontId="94" fillId="0" borderId="0" xfId="3" applyFont="1"/>
    <xf numFmtId="169" fontId="92" fillId="0" borderId="0" xfId="1" applyNumberFormat="1" applyFont="1" applyBorder="1"/>
    <xf numFmtId="2" fontId="100" fillId="0" borderId="13" xfId="0" applyNumberFormat="1" applyFont="1" applyBorder="1" applyAlignment="1">
      <alignment horizontal="right" indent="4"/>
    </xf>
    <xf numFmtId="2" fontId="100" fillId="0" borderId="15" xfId="0" applyNumberFormat="1" applyFont="1" applyFill="1" applyBorder="1" applyAlignment="1">
      <alignment horizontal="right" indent="4"/>
    </xf>
    <xf numFmtId="0" fontId="93" fillId="0" borderId="0" xfId="0" applyFont="1" applyFill="1"/>
    <xf numFmtId="9" fontId="93" fillId="5" borderId="0" xfId="0" applyNumberFormat="1" applyFont="1" applyFill="1" applyBorder="1" applyAlignment="1">
      <alignment horizontal="center"/>
    </xf>
    <xf numFmtId="9" fontId="93" fillId="2" borderId="0" xfId="2" applyFont="1" applyFill="1" applyBorder="1" applyAlignment="1">
      <alignment horizontal="center"/>
    </xf>
    <xf numFmtId="0" fontId="93" fillId="2" borderId="0" xfId="0" applyFont="1" applyFill="1" applyBorder="1" applyAlignment="1">
      <alignment horizontal="center"/>
    </xf>
    <xf numFmtId="2" fontId="103" fillId="2" borderId="0" xfId="0" applyNumberFormat="1" applyFont="1" applyFill="1" applyBorder="1" applyAlignment="1">
      <alignment horizontal="center"/>
    </xf>
    <xf numFmtId="181" fontId="93" fillId="2" borderId="0" xfId="0" applyNumberFormat="1" applyFont="1" applyFill="1" applyBorder="1" applyAlignment="1">
      <alignment horizontal="center"/>
    </xf>
    <xf numFmtId="234" fontId="99" fillId="0" borderId="0" xfId="0" applyNumberFormat="1" applyFont="1"/>
    <xf numFmtId="234" fontId="94" fillId="0" borderId="0" xfId="0" applyNumberFormat="1" applyFont="1"/>
    <xf numFmtId="0" fontId="92" fillId="0" borderId="0" xfId="0" applyFont="1" applyFill="1" applyAlignment="1">
      <alignment wrapText="1"/>
    </xf>
    <xf numFmtId="174" fontId="92" fillId="6" borderId="12" xfId="1" applyNumberFormat="1" applyFont="1" applyFill="1" applyBorder="1"/>
    <xf numFmtId="174" fontId="94" fillId="2" borderId="26" xfId="0" applyNumberFormat="1" applyFont="1" applyFill="1" applyBorder="1"/>
    <xf numFmtId="167" fontId="98" fillId="0" borderId="0" xfId="1" applyNumberFormat="1" applyFont="1" applyBorder="1"/>
    <xf numFmtId="0" fontId="94" fillId="0" borderId="29" xfId="0" applyFont="1" applyBorder="1" applyAlignment="1">
      <alignment horizontal="center"/>
    </xf>
    <xf numFmtId="0" fontId="94" fillId="0" borderId="30" xfId="0" applyFont="1" applyBorder="1" applyAlignment="1">
      <alignment horizontal="center"/>
    </xf>
    <xf numFmtId="17" fontId="94" fillId="0" borderId="24" xfId="0" applyNumberFormat="1" applyFont="1" applyFill="1" applyBorder="1" applyAlignment="1">
      <alignment horizontal="left"/>
    </xf>
    <xf numFmtId="167" fontId="92" fillId="0" borderId="40" xfId="1" applyFont="1" applyBorder="1"/>
    <xf numFmtId="167" fontId="92" fillId="0" borderId="25" xfId="1" applyFont="1" applyBorder="1"/>
    <xf numFmtId="167" fontId="92" fillId="0" borderId="3" xfId="1" applyFont="1" applyBorder="1"/>
    <xf numFmtId="174" fontId="94" fillId="0" borderId="29" xfId="0" applyNumberFormat="1" applyFont="1" applyBorder="1" applyAlignment="1">
      <alignment horizontal="center"/>
    </xf>
    <xf numFmtId="0" fontId="109" fillId="0" borderId="28" xfId="0" applyFont="1" applyFill="1" applyBorder="1"/>
    <xf numFmtId="0" fontId="94" fillId="0" borderId="35" xfId="0" applyFont="1" applyFill="1" applyBorder="1"/>
    <xf numFmtId="167" fontId="92" fillId="0" borderId="39" xfId="1" applyFont="1" applyBorder="1"/>
    <xf numFmtId="167" fontId="95" fillId="2" borderId="3" xfId="1" applyNumberFormat="1" applyFont="1" applyFill="1" applyBorder="1" applyAlignment="1">
      <alignment horizontal="center"/>
    </xf>
    <xf numFmtId="0" fontId="94" fillId="84" borderId="4" xfId="0" applyFont="1" applyFill="1" applyBorder="1"/>
    <xf numFmtId="0" fontId="94" fillId="85" borderId="4" xfId="0" applyFont="1" applyFill="1" applyBorder="1"/>
    <xf numFmtId="0" fontId="94" fillId="85" borderId="4" xfId="0" applyFont="1" applyFill="1" applyBorder="1" applyAlignment="1">
      <alignment horizontal="center"/>
    </xf>
    <xf numFmtId="239" fontId="94" fillId="0" borderId="0" xfId="1" applyNumberFormat="1" applyFont="1" applyAlignment="1">
      <alignment horizontal="center"/>
    </xf>
    <xf numFmtId="0" fontId="97" fillId="0" borderId="0" xfId="0" applyFont="1" applyAlignment="1">
      <alignment horizontal="center"/>
    </xf>
    <xf numFmtId="0" fontId="92" fillId="0" borderId="3" xfId="0" applyFont="1" applyFill="1" applyBorder="1"/>
    <xf numFmtId="2" fontId="92" fillId="0" borderId="3" xfId="0" applyNumberFormat="1" applyFont="1" applyFill="1" applyBorder="1"/>
    <xf numFmtId="0" fontId="93" fillId="0" borderId="27" xfId="0" applyFont="1" applyBorder="1" applyAlignment="1">
      <alignment horizontal="center"/>
    </xf>
    <xf numFmtId="179" fontId="92" fillId="5" borderId="9" xfId="0" applyNumberFormat="1" applyFont="1" applyFill="1" applyBorder="1"/>
    <xf numFmtId="179" fontId="92" fillId="5" borderId="57" xfId="0" applyNumberFormat="1" applyFont="1" applyFill="1" applyBorder="1"/>
    <xf numFmtId="179" fontId="94" fillId="5" borderId="4" xfId="0" applyNumberFormat="1" applyFont="1" applyFill="1" applyBorder="1"/>
    <xf numFmtId="179" fontId="93" fillId="0" borderId="0" xfId="0" applyNumberFormat="1" applyFont="1" applyAlignment="1">
      <alignment horizontal="center"/>
    </xf>
    <xf numFmtId="0" fontId="94" fillId="0" borderId="1" xfId="0" applyFont="1" applyBorder="1" applyAlignment="1">
      <alignment horizontal="center"/>
    </xf>
    <xf numFmtId="169" fontId="94" fillId="0" borderId="0" xfId="1" applyNumberFormat="1" applyFont="1"/>
    <xf numFmtId="241" fontId="92" fillId="0" borderId="0" xfId="0" applyNumberFormat="1" applyFont="1"/>
    <xf numFmtId="0" fontId="92" fillId="0" borderId="1" xfId="0" applyFont="1" applyBorder="1" applyAlignment="1">
      <alignment horizontal="center"/>
    </xf>
    <xf numFmtId="17" fontId="94" fillId="0" borderId="58" xfId="0" applyNumberFormat="1" applyFont="1" applyFill="1" applyBorder="1" applyAlignment="1">
      <alignment horizontal="left"/>
    </xf>
    <xf numFmtId="0" fontId="92" fillId="0" borderId="23" xfId="0" applyFont="1" applyFill="1" applyBorder="1"/>
    <xf numFmtId="17" fontId="95" fillId="0" borderId="17" xfId="0" applyNumberFormat="1" applyFont="1" applyBorder="1" applyAlignment="1">
      <alignment horizontal="left"/>
    </xf>
    <xf numFmtId="0" fontId="93" fillId="0" borderId="70" xfId="0" applyFont="1" applyBorder="1"/>
    <xf numFmtId="167" fontId="92" fillId="0" borderId="56" xfId="1" applyFont="1" applyBorder="1"/>
    <xf numFmtId="167" fontId="92" fillId="2" borderId="3" xfId="1" applyFont="1" applyFill="1" applyBorder="1"/>
    <xf numFmtId="167" fontId="94" fillId="0" borderId="12" xfId="1" applyFont="1" applyBorder="1"/>
    <xf numFmtId="0" fontId="92" fillId="0" borderId="57" xfId="0" applyFont="1" applyFill="1" applyBorder="1"/>
    <xf numFmtId="242" fontId="92" fillId="0" borderId="0" xfId="2" applyNumberFormat="1" applyFont="1"/>
    <xf numFmtId="0" fontId="92" fillId="85" borderId="2" xfId="0" applyFont="1" applyFill="1" applyBorder="1"/>
    <xf numFmtId="0" fontId="92" fillId="85" borderId="2" xfId="0" applyFont="1" applyFill="1" applyBorder="1" applyAlignment="1">
      <alignment horizontal="left"/>
    </xf>
    <xf numFmtId="0" fontId="92" fillId="85" borderId="15" xfId="0" applyFont="1" applyFill="1" applyBorder="1"/>
    <xf numFmtId="178" fontId="92" fillId="85" borderId="1" xfId="0" applyNumberFormat="1" applyFont="1" applyFill="1" applyBorder="1" applyAlignment="1">
      <alignment horizontal="right" indent="2"/>
    </xf>
    <xf numFmtId="0" fontId="92" fillId="85" borderId="15" xfId="0" applyFont="1" applyFill="1" applyBorder="1" applyAlignment="1">
      <alignment horizontal="left"/>
    </xf>
    <xf numFmtId="178" fontId="92" fillId="85" borderId="1" xfId="1" applyNumberFormat="1" applyFont="1" applyFill="1" applyBorder="1" applyAlignment="1">
      <alignment horizontal="right" indent="2"/>
    </xf>
    <xf numFmtId="169" fontId="92" fillId="0" borderId="0" xfId="0" applyNumberFormat="1" applyFont="1"/>
    <xf numFmtId="174" fontId="94" fillId="0" borderId="0" xfId="1" applyNumberFormat="1" applyFont="1"/>
    <xf numFmtId="0" fontId="95" fillId="0" borderId="1" xfId="0" applyFont="1" applyBorder="1" applyAlignment="1">
      <alignment horizontal="center" vertical="center" wrapText="1"/>
    </xf>
    <xf numFmtId="1" fontId="102" fillId="0" borderId="0" xfId="0" applyNumberFormat="1" applyFont="1"/>
    <xf numFmtId="39" fontId="93" fillId="0" borderId="0" xfId="1" applyNumberFormat="1" applyFont="1" applyBorder="1" applyAlignment="1">
      <alignment horizontal="center" vertical="center"/>
    </xf>
    <xf numFmtId="167" fontId="92" fillId="0" borderId="1" xfId="0" applyNumberFormat="1" applyFont="1" applyBorder="1" applyAlignment="1">
      <alignment horizontal="left"/>
    </xf>
    <xf numFmtId="39" fontId="95" fillId="6" borderId="0" xfId="1" applyNumberFormat="1" applyFont="1" applyFill="1" applyBorder="1" applyAlignment="1">
      <alignment horizontal="center" vertical="center"/>
    </xf>
    <xf numFmtId="39" fontId="93" fillId="6" borderId="1" xfId="1" applyNumberFormat="1" applyFont="1" applyFill="1" applyBorder="1" applyAlignment="1">
      <alignment horizontal="center" vertical="center"/>
    </xf>
    <xf numFmtId="43" fontId="103" fillId="0" borderId="0" xfId="0" applyNumberFormat="1" applyFont="1" applyFill="1" applyBorder="1" applyAlignment="1">
      <alignment horizontal="center"/>
    </xf>
    <xf numFmtId="43" fontId="101" fillId="0" borderId="0" xfId="0" applyNumberFormat="1" applyFont="1"/>
    <xf numFmtId="167" fontId="92" fillId="0" borderId="0" xfId="1" applyNumberFormat="1" applyFont="1"/>
    <xf numFmtId="167" fontId="94" fillId="0" borderId="0" xfId="0" applyNumberFormat="1" applyFont="1"/>
    <xf numFmtId="0" fontId="95" fillId="90" borderId="1" xfId="0" applyFont="1" applyFill="1" applyBorder="1" applyAlignment="1">
      <alignment horizontal="center" wrapText="1"/>
    </xf>
    <xf numFmtId="0" fontId="95" fillId="91" borderId="1" xfId="0" applyFont="1" applyFill="1" applyBorder="1" applyAlignment="1">
      <alignment horizontal="center" wrapText="1"/>
    </xf>
    <xf numFmtId="0" fontId="95" fillId="10" borderId="1" xfId="0" applyFont="1" applyFill="1" applyBorder="1" applyAlignment="1">
      <alignment horizontal="center" wrapText="1"/>
    </xf>
    <xf numFmtId="167" fontId="95" fillId="90" borderId="1" xfId="1" applyFont="1" applyFill="1" applyBorder="1" applyAlignment="1">
      <alignment horizontal="center" vertical="center"/>
    </xf>
    <xf numFmtId="167" fontId="95" fillId="91" borderId="1" xfId="1" applyFont="1" applyFill="1" applyBorder="1" applyAlignment="1">
      <alignment horizontal="center" vertical="center"/>
    </xf>
    <xf numFmtId="167" fontId="95" fillId="10" borderId="1" xfId="1" applyFont="1" applyFill="1" applyBorder="1" applyAlignment="1">
      <alignment horizontal="center" vertical="center"/>
    </xf>
    <xf numFmtId="0" fontId="93" fillId="0" borderId="0" xfId="0" applyFont="1" applyBorder="1" applyAlignment="1">
      <alignment vertical="center" wrapText="1"/>
    </xf>
    <xf numFmtId="0" fontId="95" fillId="0" borderId="0" xfId="0" applyFont="1" applyBorder="1" applyAlignment="1">
      <alignment horizontal="center" vertical="center" wrapText="1"/>
    </xf>
    <xf numFmtId="167" fontId="95" fillId="0" borderId="0" xfId="1" applyFont="1" applyBorder="1" applyAlignment="1">
      <alignment horizontal="center" vertical="center"/>
    </xf>
    <xf numFmtId="39" fontId="95" fillId="2" borderId="0" xfId="1" applyNumberFormat="1" applyFont="1" applyFill="1" applyBorder="1" applyAlignment="1">
      <alignment horizontal="center" vertical="center"/>
    </xf>
    <xf numFmtId="39" fontId="94" fillId="0" borderId="15" xfId="0" applyNumberFormat="1" applyFont="1" applyBorder="1"/>
    <xf numFmtId="39" fontId="94" fillId="0" borderId="1" xfId="0" applyNumberFormat="1" applyFont="1" applyBorder="1"/>
    <xf numFmtId="39" fontId="94" fillId="0" borderId="2" xfId="0" applyNumberFormat="1" applyFont="1" applyBorder="1"/>
    <xf numFmtId="39" fontId="94" fillId="0" borderId="16" xfId="0" applyNumberFormat="1" applyFont="1" applyBorder="1"/>
    <xf numFmtId="39" fontId="94" fillId="0" borderId="0" xfId="0" applyNumberFormat="1" applyFont="1"/>
    <xf numFmtId="0" fontId="92" fillId="0" borderId="1" xfId="0" applyFont="1" applyFill="1" applyBorder="1"/>
    <xf numFmtId="0" fontId="92" fillId="0" borderId="1" xfId="0" applyFont="1" applyFill="1" applyBorder="1" applyAlignment="1">
      <alignment wrapText="1"/>
    </xf>
    <xf numFmtId="0" fontId="92" fillId="0" borderId="1" xfId="0" applyFont="1" applyBorder="1" applyAlignment="1">
      <alignment horizontal="center" vertical="center"/>
    </xf>
    <xf numFmtId="15" fontId="93" fillId="0" borderId="1" xfId="3" applyNumberFormat="1" applyFont="1" applyBorder="1" applyAlignment="1">
      <alignment horizontal="center"/>
    </xf>
    <xf numFmtId="167" fontId="92" fillId="6" borderId="1" xfId="1" applyFont="1" applyFill="1" applyBorder="1" applyAlignment="1">
      <alignment vertical="center"/>
    </xf>
    <xf numFmtId="167" fontId="92" fillId="0" borderId="1" xfId="1" applyFont="1" applyFill="1" applyBorder="1" applyAlignment="1">
      <alignment vertical="center"/>
    </xf>
    <xf numFmtId="167" fontId="92" fillId="0" borderId="1" xfId="1" applyNumberFormat="1" applyFont="1" applyFill="1" applyBorder="1" applyAlignment="1">
      <alignment vertical="center"/>
    </xf>
    <xf numFmtId="167" fontId="94" fillId="2" borderId="1" xfId="1" applyFont="1" applyFill="1" applyBorder="1"/>
    <xf numFmtId="167" fontId="94" fillId="2" borderId="1" xfId="1" applyNumberFormat="1" applyFont="1" applyFill="1" applyBorder="1"/>
    <xf numFmtId="167" fontId="92" fillId="2" borderId="1" xfId="1" applyFont="1" applyFill="1" applyBorder="1" applyAlignment="1">
      <alignment wrapText="1"/>
    </xf>
    <xf numFmtId="0" fontId="92" fillId="0" borderId="1" xfId="0" applyFont="1" applyFill="1" applyBorder="1" applyAlignment="1">
      <alignment horizontal="center" vertical="center"/>
    </xf>
    <xf numFmtId="39" fontId="92" fillId="0" borderId="16" xfId="0" applyNumberFormat="1" applyFont="1" applyFill="1" applyBorder="1"/>
    <xf numFmtId="39" fontId="94" fillId="0" borderId="16" xfId="0" applyNumberFormat="1" applyFont="1" applyFill="1" applyBorder="1"/>
    <xf numFmtId="0" fontId="94" fillId="0" borderId="61" xfId="0" applyFont="1" applyBorder="1" applyAlignment="1">
      <alignment horizontal="center" wrapText="1"/>
    </xf>
    <xf numFmtId="0" fontId="94" fillId="0" borderId="16" xfId="0" applyFont="1" applyFill="1" applyBorder="1"/>
    <xf numFmtId="2" fontId="94" fillId="0" borderId="92" xfId="0" applyNumberFormat="1" applyFont="1" applyFill="1" applyBorder="1"/>
    <xf numFmtId="0" fontId="92" fillId="0" borderId="23" xfId="0" applyFont="1" applyFill="1" applyBorder="1" applyAlignment="1">
      <alignment horizontal="left" indent="2"/>
    </xf>
    <xf numFmtId="2" fontId="94" fillId="0" borderId="16" xfId="0" applyNumberFormat="1" applyFont="1" applyFill="1" applyBorder="1"/>
    <xf numFmtId="2" fontId="100" fillId="0" borderId="16" xfId="0" applyNumberFormat="1" applyFont="1" applyBorder="1"/>
    <xf numFmtId="238" fontId="92" fillId="0" borderId="1" xfId="0" applyNumberFormat="1" applyFont="1" applyBorder="1" applyAlignment="1">
      <alignment horizontal="center" vertical="center" wrapText="1"/>
    </xf>
    <xf numFmtId="0" fontId="92" fillId="0" borderId="0" xfId="0" applyFont="1" applyFill="1" applyBorder="1" applyAlignment="1">
      <alignment horizontal="center" vertical="center"/>
    </xf>
    <xf numFmtId="0" fontId="94" fillId="85" borderId="0" xfId="0" applyFont="1" applyFill="1" applyBorder="1"/>
    <xf numFmtId="167" fontId="94" fillId="85" borderId="0" xfId="1" applyFont="1" applyFill="1" applyBorder="1"/>
    <xf numFmtId="172" fontId="92" fillId="0" borderId="1" xfId="0" applyNumberFormat="1" applyFont="1" applyBorder="1"/>
    <xf numFmtId="2" fontId="92" fillId="0" borderId="1" xfId="0" applyNumberFormat="1" applyFont="1" applyBorder="1"/>
    <xf numFmtId="167" fontId="92" fillId="0" borderId="1" xfId="1" applyFont="1" applyBorder="1" applyAlignment="1">
      <alignment horizontal="center"/>
    </xf>
    <xf numFmtId="167" fontId="94" fillId="0" borderId="1" xfId="1" applyFont="1" applyBorder="1" applyAlignment="1">
      <alignment horizontal="center"/>
    </xf>
    <xf numFmtId="2" fontId="92" fillId="2" borderId="0" xfId="0" applyNumberFormat="1" applyFont="1" applyFill="1"/>
    <xf numFmtId="2" fontId="92" fillId="2" borderId="1" xfId="0" applyNumberFormat="1" applyFont="1" applyFill="1" applyBorder="1" applyAlignment="1">
      <alignment horizontal="center"/>
    </xf>
    <xf numFmtId="237" fontId="92" fillId="0" borderId="0" xfId="0" applyNumberFormat="1" applyFont="1"/>
    <xf numFmtId="174" fontId="92" fillId="0" borderId="12" xfId="0" applyNumberFormat="1" applyFont="1" applyBorder="1" applyAlignment="1">
      <alignment horizontal="right" wrapText="1"/>
    </xf>
    <xf numFmtId="174" fontId="92" fillId="2" borderId="26" xfId="0" applyNumberFormat="1" applyFont="1" applyFill="1" applyBorder="1" applyAlignment="1">
      <alignment horizontal="right" wrapText="1"/>
    </xf>
    <xf numFmtId="0" fontId="94" fillId="11" borderId="1" xfId="0" applyFont="1" applyFill="1" applyBorder="1" applyAlignment="1">
      <alignment horizontal="center" wrapText="1"/>
    </xf>
    <xf numFmtId="0" fontId="94" fillId="0" borderId="1" xfId="0" applyFont="1" applyBorder="1" applyAlignment="1">
      <alignment wrapText="1"/>
    </xf>
    <xf numFmtId="0" fontId="92" fillId="0" borderId="1" xfId="0" applyFont="1" applyBorder="1" applyAlignment="1">
      <alignment wrapText="1"/>
    </xf>
    <xf numFmtId="0" fontId="92" fillId="12" borderId="1" xfId="0" applyFont="1" applyFill="1" applyBorder="1" applyAlignment="1">
      <alignment horizontal="center" vertical="center"/>
    </xf>
    <xf numFmtId="0" fontId="93" fillId="5" borderId="1" xfId="0" applyFont="1" applyFill="1" applyBorder="1" applyAlignment="1">
      <alignment horizontal="center" vertical="center"/>
    </xf>
    <xf numFmtId="181" fontId="94" fillId="2" borderId="1" xfId="0" applyNumberFormat="1" applyFont="1" applyFill="1" applyBorder="1" applyAlignment="1">
      <alignment horizontal="center" wrapText="1"/>
    </xf>
    <xf numFmtId="178" fontId="94" fillId="0" borderId="1" xfId="0" applyNumberFormat="1" applyFont="1" applyFill="1" applyBorder="1" applyAlignment="1">
      <alignment wrapText="1"/>
    </xf>
    <xf numFmtId="0" fontId="92" fillId="86" borderId="1" xfId="0" applyFont="1" applyFill="1" applyBorder="1"/>
    <xf numFmtId="169" fontId="92" fillId="89" borderId="1" xfId="0" applyNumberFormat="1" applyFont="1" applyFill="1" applyBorder="1" applyAlignment="1">
      <alignment wrapText="1"/>
    </xf>
    <xf numFmtId="178" fontId="94" fillId="0" borderId="1" xfId="1" applyNumberFormat="1" applyFont="1" applyBorder="1" applyAlignment="1">
      <alignment wrapText="1"/>
    </xf>
    <xf numFmtId="0" fontId="92" fillId="0" borderId="1" xfId="0" applyFont="1" applyBorder="1" applyAlignment="1"/>
    <xf numFmtId="0" fontId="92" fillId="7" borderId="1" xfId="0" applyFont="1" applyFill="1" applyBorder="1"/>
    <xf numFmtId="169" fontId="92" fillId="7" borderId="1" xfId="0" applyNumberFormat="1" applyFont="1" applyFill="1" applyBorder="1" applyAlignment="1">
      <alignment wrapText="1"/>
    </xf>
    <xf numFmtId="0" fontId="92" fillId="7" borderId="1" xfId="0" applyFont="1" applyFill="1" applyBorder="1" applyAlignment="1">
      <alignment horizontal="left"/>
    </xf>
    <xf numFmtId="0" fontId="92" fillId="12" borderId="1" xfId="0" applyFont="1" applyFill="1" applyBorder="1" applyAlignment="1">
      <alignment horizontal="left"/>
    </xf>
    <xf numFmtId="169" fontId="92" fillId="12" borderId="1" xfId="1" applyNumberFormat="1" applyFont="1" applyFill="1" applyBorder="1" applyAlignment="1">
      <alignment horizontal="right"/>
    </xf>
    <xf numFmtId="169" fontId="92" fillId="12" borderId="1" xfId="1" applyNumberFormat="1" applyFont="1" applyFill="1" applyBorder="1"/>
    <xf numFmtId="170" fontId="92" fillId="0" borderId="1" xfId="0" applyNumberFormat="1" applyFont="1" applyBorder="1" applyAlignment="1">
      <alignment wrapText="1"/>
    </xf>
    <xf numFmtId="167" fontId="92" fillId="0" borderId="1" xfId="1" applyFont="1" applyBorder="1" applyAlignment="1">
      <alignment wrapText="1"/>
    </xf>
    <xf numFmtId="0" fontId="92" fillId="2" borderId="1" xfId="0" applyFont="1" applyFill="1" applyBorder="1" applyAlignment="1">
      <alignment wrapText="1"/>
    </xf>
    <xf numFmtId="243" fontId="92" fillId="0" borderId="0" xfId="0" applyNumberFormat="1" applyFont="1"/>
    <xf numFmtId="167" fontId="92" fillId="2" borderId="0" xfId="1" applyFont="1" applyFill="1" applyBorder="1" applyAlignment="1">
      <alignment vertical="center"/>
    </xf>
    <xf numFmtId="232" fontId="95" fillId="66" borderId="0" xfId="0" applyNumberFormat="1" applyFont="1" applyFill="1" applyBorder="1" applyAlignment="1" applyProtection="1">
      <alignment horizontal="center"/>
    </xf>
    <xf numFmtId="174" fontId="99" fillId="0" borderId="53" xfId="1" applyNumberFormat="1" applyFont="1" applyBorder="1"/>
    <xf numFmtId="0" fontId="92" fillId="12" borderId="1" xfId="0" applyFont="1" applyFill="1" applyBorder="1" applyAlignment="1">
      <alignment horizontal="center" wrapText="1"/>
    </xf>
    <xf numFmtId="0" fontId="93" fillId="5" borderId="1" xfId="0" applyFont="1" applyFill="1" applyBorder="1" applyAlignment="1">
      <alignment horizontal="center" vertical="center" wrapText="1"/>
    </xf>
    <xf numFmtId="181" fontId="94" fillId="2" borderId="1" xfId="0" applyNumberFormat="1" applyFont="1" applyFill="1" applyBorder="1" applyAlignment="1">
      <alignment horizontal="center"/>
    </xf>
    <xf numFmtId="178" fontId="94" fillId="0" borderId="1" xfId="0" applyNumberFormat="1" applyFont="1" applyFill="1" applyBorder="1"/>
    <xf numFmtId="2" fontId="94" fillId="0" borderId="1" xfId="1" applyNumberFormat="1" applyFont="1" applyBorder="1"/>
    <xf numFmtId="178" fontId="92" fillId="0" borderId="1" xfId="0" applyNumberFormat="1" applyFont="1" applyBorder="1"/>
    <xf numFmtId="178" fontId="93" fillId="85" borderId="1" xfId="0" applyNumberFormat="1" applyFont="1" applyFill="1" applyBorder="1"/>
    <xf numFmtId="178" fontId="92" fillId="12" borderId="1" xfId="1" applyNumberFormat="1" applyFont="1" applyFill="1" applyBorder="1"/>
    <xf numFmtId="178" fontId="93" fillId="0" borderId="1" xfId="0" applyNumberFormat="1" applyFont="1" applyFill="1" applyBorder="1"/>
    <xf numFmtId="178" fontId="92" fillId="0" borderId="1" xfId="1" applyNumberFormat="1" applyFont="1" applyBorder="1"/>
    <xf numFmtId="181" fontId="92" fillId="6" borderId="1" xfId="0" applyNumberFormat="1" applyFont="1" applyFill="1" applyBorder="1"/>
    <xf numFmtId="170" fontId="92" fillId="6" borderId="1" xfId="1" applyNumberFormat="1" applyFont="1" applyFill="1" applyBorder="1"/>
    <xf numFmtId="17" fontId="92" fillId="5" borderId="68" xfId="0" applyNumberFormat="1" applyFont="1" applyFill="1" applyBorder="1" applyAlignment="1">
      <alignment horizontal="center"/>
    </xf>
    <xf numFmtId="179" fontId="92" fillId="5" borderId="68" xfId="0" applyNumberFormat="1" applyFont="1" applyFill="1" applyBorder="1"/>
    <xf numFmtId="17" fontId="94" fillId="5" borderId="1" xfId="0" applyNumberFormat="1" applyFont="1" applyFill="1" applyBorder="1"/>
    <xf numFmtId="179" fontId="94" fillId="5" borderId="1" xfId="0" applyNumberFormat="1" applyFont="1" applyFill="1" applyBorder="1"/>
    <xf numFmtId="10" fontId="94" fillId="5" borderId="1" xfId="0" applyNumberFormat="1" applyFont="1" applyFill="1" applyBorder="1"/>
    <xf numFmtId="17" fontId="92" fillId="5" borderId="1" xfId="0" applyNumberFormat="1" applyFont="1" applyFill="1" applyBorder="1" applyAlignment="1">
      <alignment horizontal="center"/>
    </xf>
    <xf numFmtId="179" fontId="94" fillId="5" borderId="9" xfId="0" applyNumberFormat="1" applyFont="1" applyFill="1" applyBorder="1"/>
    <xf numFmtId="10" fontId="94" fillId="5" borderId="57" xfId="0" applyNumberFormat="1" applyFont="1" applyFill="1" applyBorder="1"/>
    <xf numFmtId="2" fontId="92" fillId="0" borderId="0" xfId="0" applyNumberFormat="1" applyFont="1" applyFill="1"/>
    <xf numFmtId="0" fontId="93" fillId="0" borderId="1" xfId="0" applyFont="1" applyFill="1" applyBorder="1" applyAlignment="1">
      <alignment vertical="center"/>
    </xf>
    <xf numFmtId="236" fontId="92" fillId="0" borderId="1" xfId="0" applyNumberFormat="1" applyFont="1" applyBorder="1" applyAlignment="1">
      <alignment horizontal="center" vertical="center"/>
    </xf>
    <xf numFmtId="167" fontId="92" fillId="0" borderId="1" xfId="1" applyNumberFormat="1" applyFont="1" applyFill="1" applyBorder="1"/>
    <xf numFmtId="167" fontId="92" fillId="0" borderId="1" xfId="1" applyFont="1" applyFill="1" applyBorder="1" applyAlignment="1">
      <alignment horizontal="left" vertical="top"/>
    </xf>
    <xf numFmtId="167" fontId="92" fillId="2" borderId="1" xfId="0" applyNumberFormat="1" applyFont="1" applyFill="1" applyBorder="1" applyAlignment="1"/>
    <xf numFmtId="0" fontId="94" fillId="4" borderId="0" xfId="0" applyFont="1" applyFill="1" applyBorder="1" applyAlignment="1">
      <alignment horizontal="center" wrapText="1"/>
    </xf>
    <xf numFmtId="174" fontId="94" fillId="6" borderId="12" xfId="1" applyNumberFormat="1" applyFont="1" applyFill="1" applyBorder="1"/>
    <xf numFmtId="0" fontId="94" fillId="8" borderId="1" xfId="0" applyFont="1" applyFill="1" applyBorder="1" applyAlignment="1">
      <alignment horizontal="center" wrapText="1"/>
    </xf>
    <xf numFmtId="0" fontId="94" fillId="2" borderId="1" xfId="0" applyFont="1" applyFill="1" applyBorder="1" applyAlignment="1">
      <alignment horizontal="center"/>
    </xf>
    <xf numFmtId="178" fontId="92" fillId="0" borderId="1" xfId="0" applyNumberFormat="1" applyFont="1" applyBorder="1" applyAlignment="1">
      <alignment horizontal="right" wrapText="1" indent="2"/>
    </xf>
    <xf numFmtId="178" fontId="92" fillId="6" borderId="1" xfId="0" applyNumberFormat="1" applyFont="1" applyFill="1" applyBorder="1" applyAlignment="1">
      <alignment horizontal="right" indent="2"/>
    </xf>
    <xf numFmtId="170" fontId="92" fillId="0" borderId="1" xfId="1" applyNumberFormat="1" applyFont="1" applyBorder="1" applyAlignment="1">
      <alignment horizontal="right" wrapText="1" indent="2"/>
    </xf>
    <xf numFmtId="0" fontId="94" fillId="2" borderId="1" xfId="0" applyFont="1" applyFill="1" applyBorder="1" applyAlignment="1">
      <alignment horizontal="right" indent="2"/>
    </xf>
    <xf numFmtId="181" fontId="92" fillId="4" borderId="1" xfId="0" applyNumberFormat="1" applyFont="1" applyFill="1" applyBorder="1" applyAlignment="1">
      <alignment horizontal="right" wrapText="1" indent="2"/>
    </xf>
    <xf numFmtId="181" fontId="92" fillId="0" borderId="1" xfId="0" applyNumberFormat="1" applyFont="1" applyBorder="1" applyAlignment="1">
      <alignment horizontal="right" wrapText="1" indent="2"/>
    </xf>
    <xf numFmtId="167" fontId="92" fillId="0" borderId="1" xfId="1" applyFont="1" applyBorder="1" applyAlignment="1">
      <alignment horizontal="right" wrapText="1" indent="2"/>
    </xf>
    <xf numFmtId="43" fontId="92" fillId="0" borderId="1" xfId="0" applyNumberFormat="1" applyFont="1" applyBorder="1" applyAlignment="1">
      <alignment horizontal="right" wrapText="1" indent="2"/>
    </xf>
    <xf numFmtId="178" fontId="94" fillId="0" borderId="1" xfId="0" applyNumberFormat="1" applyFont="1" applyBorder="1" applyAlignment="1">
      <alignment wrapText="1"/>
    </xf>
    <xf numFmtId="178" fontId="92" fillId="0" borderId="1" xfId="0" applyNumberFormat="1" applyFont="1" applyBorder="1" applyAlignment="1">
      <alignment horizontal="right" wrapText="1" indent="3"/>
    </xf>
    <xf numFmtId="178" fontId="94" fillId="0" borderId="1" xfId="0" applyNumberFormat="1" applyFont="1" applyBorder="1" applyAlignment="1">
      <alignment horizontal="right" wrapText="1" indent="3"/>
    </xf>
    <xf numFmtId="178" fontId="100" fillId="0" borderId="1" xfId="0" applyNumberFormat="1" applyFont="1" applyBorder="1" applyAlignment="1">
      <alignment horizontal="right" wrapText="1" indent="6"/>
    </xf>
    <xf numFmtId="180" fontId="94" fillId="87" borderId="12" xfId="0" applyNumberFormat="1" applyFont="1" applyFill="1" applyBorder="1"/>
    <xf numFmtId="39" fontId="93" fillId="0" borderId="1" xfId="1" quotePrefix="1" applyNumberFormat="1" applyFont="1" applyBorder="1" applyAlignment="1">
      <alignment horizontal="center" vertical="center"/>
    </xf>
    <xf numFmtId="9" fontId="92" fillId="0" borderId="0" xfId="0" applyNumberFormat="1" applyFont="1"/>
    <xf numFmtId="245" fontId="94" fillId="0" borderId="0" xfId="0" applyNumberFormat="1" applyFont="1"/>
    <xf numFmtId="10" fontId="94" fillId="85" borderId="7" xfId="2" applyNumberFormat="1" applyFont="1" applyFill="1" applyBorder="1"/>
    <xf numFmtId="10" fontId="94" fillId="85" borderId="4" xfId="2" applyNumberFormat="1" applyFont="1" applyFill="1" applyBorder="1"/>
    <xf numFmtId="10" fontId="94" fillId="85" borderId="12" xfId="2" applyNumberFormat="1" applyFont="1" applyFill="1" applyBorder="1"/>
    <xf numFmtId="234" fontId="94" fillId="0" borderId="19" xfId="0" applyNumberFormat="1" applyFont="1" applyBorder="1" applyAlignment="1">
      <alignment horizontal="right"/>
    </xf>
    <xf numFmtId="9" fontId="92" fillId="0" borderId="0" xfId="2" applyNumberFormat="1" applyFont="1"/>
    <xf numFmtId="0" fontId="93" fillId="85" borderId="1" xfId="0" applyFont="1" applyFill="1" applyBorder="1"/>
    <xf numFmtId="0" fontId="93" fillId="0" borderId="1" xfId="0" applyFont="1" applyBorder="1" applyAlignment="1">
      <alignment horizontal="left"/>
    </xf>
    <xf numFmtId="0" fontId="93" fillId="0" borderId="1" xfId="0" applyFont="1" applyFill="1" applyBorder="1" applyAlignment="1">
      <alignment horizontal="left"/>
    </xf>
    <xf numFmtId="2" fontId="92" fillId="0" borderId="1" xfId="0" applyNumberFormat="1" applyFont="1" applyBorder="1" applyAlignment="1">
      <alignment wrapText="1"/>
    </xf>
    <xf numFmtId="178" fontId="92" fillId="0" borderId="1" xfId="0" applyNumberFormat="1" applyFont="1" applyBorder="1" applyAlignment="1">
      <alignment wrapText="1"/>
    </xf>
    <xf numFmtId="43" fontId="92" fillId="0" borderId="1" xfId="0" applyNumberFormat="1" applyFont="1" applyBorder="1" applyAlignment="1">
      <alignment wrapText="1"/>
    </xf>
    <xf numFmtId="0" fontId="92" fillId="0" borderId="1" xfId="0" applyFont="1" applyBorder="1" applyAlignment="1">
      <alignment horizontal="left" indent="4"/>
    </xf>
    <xf numFmtId="0" fontId="94" fillId="0" borderId="1" xfId="0" applyFont="1" applyBorder="1" applyAlignment="1">
      <alignment horizontal="left" indent="4"/>
    </xf>
    <xf numFmtId="0" fontId="100" fillId="0" borderId="1" xfId="0" applyFont="1" applyBorder="1" applyAlignment="1">
      <alignment horizontal="left" indent="6"/>
    </xf>
    <xf numFmtId="178" fontId="100" fillId="0" borderId="1" xfId="0" applyNumberFormat="1" applyFont="1" applyBorder="1" applyAlignment="1">
      <alignment horizontal="right" wrapText="1" indent="4"/>
    </xf>
    <xf numFmtId="0" fontId="92" fillId="0" borderId="1" xfId="0" applyFont="1" applyBorder="1" applyAlignment="1">
      <alignment horizontal="left" indent="6"/>
    </xf>
    <xf numFmtId="170" fontId="94" fillId="0" borderId="0" xfId="1" applyNumberFormat="1" applyFont="1" applyFill="1" applyBorder="1" applyAlignment="1">
      <alignment wrapText="1"/>
    </xf>
    <xf numFmtId="167" fontId="92" fillId="90" borderId="0" xfId="1" applyFont="1" applyFill="1"/>
    <xf numFmtId="178" fontId="94" fillId="0" borderId="15" xfId="0" applyNumberFormat="1" applyFont="1" applyBorder="1"/>
    <xf numFmtId="245" fontId="94" fillId="87" borderId="12" xfId="0" applyNumberFormat="1" applyFont="1" applyFill="1" applyBorder="1"/>
    <xf numFmtId="173" fontId="92" fillId="12" borderId="1" xfId="1" applyNumberFormat="1" applyFont="1" applyFill="1" applyBorder="1" applyAlignment="1">
      <alignment horizontal="right"/>
    </xf>
    <xf numFmtId="247" fontId="92" fillId="0" borderId="0" xfId="0" applyNumberFormat="1" applyFont="1"/>
    <xf numFmtId="43" fontId="92" fillId="0" borderId="0" xfId="0" applyNumberFormat="1" applyFont="1"/>
    <xf numFmtId="0" fontId="94" fillId="4" borderId="18" xfId="0" applyFont="1" applyFill="1" applyBorder="1" applyAlignment="1">
      <alignment horizontal="center" wrapText="1"/>
    </xf>
    <xf numFmtId="232" fontId="95" fillId="0" borderId="1" xfId="0" applyNumberFormat="1" applyFont="1" applyFill="1" applyBorder="1" applyAlignment="1" applyProtection="1">
      <alignment horizontal="center"/>
    </xf>
    <xf numFmtId="232" fontId="95" fillId="0" borderId="1" xfId="0" applyNumberFormat="1" applyFont="1" applyFill="1" applyBorder="1" applyAlignment="1" applyProtection="1">
      <alignment horizontal="center" vertical="center"/>
    </xf>
    <xf numFmtId="173" fontId="94" fillId="0" borderId="17" xfId="1" applyNumberFormat="1" applyFont="1" applyBorder="1"/>
    <xf numFmtId="248" fontId="92" fillId="0" borderId="1" xfId="0" applyNumberFormat="1" applyFont="1" applyBorder="1" applyAlignment="1">
      <alignment horizontal="center" vertical="center"/>
    </xf>
    <xf numFmtId="249" fontId="92" fillId="0" borderId="0" xfId="0" applyNumberFormat="1" applyFont="1"/>
    <xf numFmtId="49" fontId="94" fillId="11" borderId="1" xfId="0" applyNumberFormat="1" applyFont="1" applyFill="1" applyBorder="1" applyAlignment="1">
      <alignment horizontal="center" wrapText="1"/>
    </xf>
    <xf numFmtId="0" fontId="94" fillId="0" borderId="7" xfId="0" applyFont="1" applyBorder="1" applyAlignment="1">
      <alignment horizontal="center" wrapText="1"/>
    </xf>
    <xf numFmtId="0" fontId="94" fillId="0" borderId="6" xfId="0" applyFont="1" applyBorder="1" applyAlignment="1">
      <alignment horizontal="center" wrapText="1"/>
    </xf>
    <xf numFmtId="0" fontId="94" fillId="0" borderId="12" xfId="0" applyFont="1" applyBorder="1" applyAlignment="1">
      <alignment horizontal="center" wrapText="1"/>
    </xf>
    <xf numFmtId="0" fontId="94" fillId="0" borderId="7" xfId="0" applyFont="1" applyBorder="1" applyAlignment="1">
      <alignment horizontal="center"/>
    </xf>
    <xf numFmtId="0" fontId="94" fillId="0" borderId="12" xfId="0" applyFont="1" applyBorder="1" applyAlignment="1">
      <alignment horizontal="center"/>
    </xf>
    <xf numFmtId="0" fontId="94" fillId="0" borderId="6" xfId="0" applyFont="1" applyBorder="1" applyAlignment="1">
      <alignment horizontal="center"/>
    </xf>
    <xf numFmtId="0" fontId="94" fillId="0" borderId="48" xfId="0" applyFont="1" applyBorder="1" applyAlignment="1">
      <alignment horizontal="center"/>
    </xf>
    <xf numFmtId="0" fontId="94" fillId="0" borderId="26" xfId="0" applyFont="1" applyBorder="1" applyAlignment="1">
      <alignment horizontal="center"/>
    </xf>
    <xf numFmtId="0" fontId="94" fillId="0" borderId="70" xfId="0" applyFont="1" applyBorder="1" applyAlignment="1">
      <alignment horizontal="center"/>
    </xf>
    <xf numFmtId="250" fontId="92" fillId="0" borderId="0" xfId="0" applyNumberFormat="1" applyFont="1"/>
    <xf numFmtId="181" fontId="93" fillId="5" borderId="1" xfId="0" applyNumberFormat="1" applyFont="1" applyFill="1" applyBorder="1"/>
    <xf numFmtId="251" fontId="93" fillId="0" borderId="0" xfId="0" applyNumberFormat="1" applyFont="1" applyAlignment="1">
      <alignment horizontal="center"/>
    </xf>
    <xf numFmtId="252" fontId="92" fillId="0" borderId="0" xfId="0" applyNumberFormat="1" applyFont="1" applyFill="1"/>
    <xf numFmtId="167" fontId="92" fillId="0" borderId="0" xfId="1" applyFont="1" applyFill="1"/>
    <xf numFmtId="0" fontId="92" fillId="0" borderId="1" xfId="0" applyFont="1" applyBorder="1" applyAlignment="1">
      <alignment horizontal="left"/>
    </xf>
    <xf numFmtId="0" fontId="95" fillId="0" borderId="1" xfId="0" applyFont="1" applyFill="1" applyBorder="1" applyAlignment="1">
      <alignment horizontal="center" wrapText="1"/>
    </xf>
    <xf numFmtId="167" fontId="95" fillId="0" borderId="1" xfId="1" applyFont="1" applyFill="1" applyBorder="1" applyAlignment="1">
      <alignment horizontal="center" vertical="center"/>
    </xf>
    <xf numFmtId="167" fontId="97" fillId="83" borderId="1" xfId="1" applyFont="1" applyFill="1" applyBorder="1" applyAlignment="1">
      <alignment horizontal="center"/>
    </xf>
    <xf numFmtId="0" fontId="111" fillId="2" borderId="26" xfId="0" applyFont="1" applyFill="1" applyBorder="1" applyAlignment="1">
      <alignment horizontal="center" vertical="center"/>
    </xf>
    <xf numFmtId="0" fontId="111" fillId="0" borderId="26" xfId="0" applyFont="1" applyBorder="1" applyAlignment="1">
      <alignment horizontal="center" vertical="center"/>
    </xf>
    <xf numFmtId="0" fontId="111" fillId="93" borderId="26" xfId="0" applyFont="1" applyFill="1" applyBorder="1" applyAlignment="1">
      <alignment horizontal="center" vertical="center"/>
    </xf>
    <xf numFmtId="169" fontId="93" fillId="8" borderId="10" xfId="0" applyNumberFormat="1" applyFont="1" applyFill="1" applyBorder="1"/>
    <xf numFmtId="240" fontId="93" fillId="0" borderId="51" xfId="0" applyNumberFormat="1" applyFont="1" applyBorder="1" applyAlignment="1">
      <alignment horizontal="center"/>
    </xf>
    <xf numFmtId="240" fontId="93" fillId="0" borderId="13" xfId="0" applyNumberFormat="1" applyFont="1" applyBorder="1"/>
    <xf numFmtId="240" fontId="93" fillId="0" borderId="14" xfId="0" applyNumberFormat="1" applyFont="1" applyBorder="1"/>
    <xf numFmtId="0" fontId="93" fillId="0" borderId="11" xfId="0" applyFont="1" applyBorder="1"/>
    <xf numFmtId="0" fontId="93" fillId="0" borderId="50" xfId="0" applyFont="1" applyBorder="1"/>
    <xf numFmtId="0" fontId="93" fillId="0" borderId="13" xfId="0" applyFont="1" applyBorder="1"/>
    <xf numFmtId="0" fontId="93" fillId="0" borderId="14" xfId="0" applyFont="1" applyBorder="1"/>
    <xf numFmtId="0" fontId="93" fillId="0" borderId="0" xfId="0" applyFont="1" applyAlignment="1">
      <alignment horizontal="center" vertical="center"/>
    </xf>
    <xf numFmtId="4" fontId="93" fillId="0" borderId="0" xfId="0" applyNumberFormat="1" applyFont="1"/>
    <xf numFmtId="14" fontId="93" fillId="0" borderId="0" xfId="0" applyNumberFormat="1" applyFont="1"/>
    <xf numFmtId="0" fontId="93" fillId="0" borderId="0" xfId="0" applyFont="1" applyBorder="1" applyAlignment="1">
      <alignment vertical="center"/>
    </xf>
    <xf numFmtId="0" fontId="93" fillId="6" borderId="1" xfId="0" applyFont="1" applyFill="1" applyBorder="1" applyAlignment="1">
      <alignment horizontal="center" vertical="center"/>
    </xf>
    <xf numFmtId="0" fontId="95" fillId="0" borderId="12" xfId="0" applyFont="1" applyBorder="1" applyAlignment="1">
      <alignment horizontal="center"/>
    </xf>
    <xf numFmtId="0" fontId="95" fillId="12" borderId="1" xfId="0" applyFont="1" applyFill="1" applyBorder="1" applyAlignment="1">
      <alignment horizontal="center" wrapText="1"/>
    </xf>
    <xf numFmtId="0" fontId="93" fillId="6" borderId="1" xfId="0" applyFont="1" applyFill="1" applyBorder="1" applyAlignment="1">
      <alignment horizontal="center" vertical="center" wrapText="1"/>
    </xf>
    <xf numFmtId="14" fontId="93" fillId="0" borderId="1" xfId="0" applyNumberFormat="1" applyFont="1" applyFill="1" applyBorder="1" applyAlignment="1">
      <alignment horizontal="center" vertical="center"/>
    </xf>
    <xf numFmtId="2" fontId="93" fillId="0" borderId="1" xfId="0" applyNumberFormat="1" applyFont="1" applyBorder="1" applyAlignment="1"/>
    <xf numFmtId="4" fontId="93" fillId="0" borderId="1" xfId="1" applyNumberFormat="1" applyFont="1" applyFill="1" applyBorder="1" applyAlignment="1">
      <alignment horizontal="center"/>
    </xf>
    <xf numFmtId="2" fontId="92" fillId="10" borderId="1" xfId="0" applyNumberFormat="1" applyFont="1" applyFill="1" applyBorder="1" applyAlignment="1">
      <alignment horizontal="center"/>
    </xf>
    <xf numFmtId="246" fontId="92" fillId="0" borderId="1" xfId="0" applyNumberFormat="1" applyFont="1" applyFill="1" applyBorder="1" applyAlignment="1">
      <alignment wrapText="1"/>
    </xf>
    <xf numFmtId="167" fontId="92" fillId="2" borderId="36" xfId="1" applyNumberFormat="1" applyFont="1" applyFill="1" applyBorder="1"/>
    <xf numFmtId="2" fontId="94" fillId="2" borderId="60" xfId="0" applyNumberFormat="1" applyFont="1" applyFill="1" applyBorder="1"/>
    <xf numFmtId="176" fontId="94" fillId="0" borderId="0" xfId="0" applyNumberFormat="1" applyFont="1"/>
    <xf numFmtId="167" fontId="94" fillId="4" borderId="0" xfId="1" applyFont="1" applyFill="1" applyBorder="1" applyAlignment="1">
      <alignment horizontal="center" wrapText="1"/>
    </xf>
    <xf numFmtId="167" fontId="95" fillId="0" borderId="1" xfId="1" applyFont="1" applyFill="1" applyBorder="1" applyAlignment="1" applyProtection="1">
      <alignment horizontal="center"/>
    </xf>
    <xf numFmtId="242" fontId="92" fillId="0" borderId="0" xfId="0" applyNumberFormat="1" applyFont="1" applyAlignment="1">
      <alignment horizontal="right" indent="2"/>
    </xf>
    <xf numFmtId="169" fontId="92" fillId="8" borderId="18" xfId="1" applyNumberFormat="1" applyFont="1" applyFill="1" applyBorder="1"/>
    <xf numFmtId="241" fontId="93" fillId="2" borderId="4" xfId="0" applyNumberFormat="1" applyFont="1" applyFill="1" applyBorder="1" applyAlignment="1">
      <alignment horizontal="center"/>
    </xf>
    <xf numFmtId="2" fontId="93" fillId="0" borderId="0" xfId="0" applyNumberFormat="1" applyFont="1"/>
    <xf numFmtId="14" fontId="93" fillId="0" borderId="1" xfId="0" applyNumberFormat="1" applyFont="1" applyBorder="1"/>
    <xf numFmtId="246" fontId="92" fillId="0" borderId="0" xfId="0" applyNumberFormat="1" applyFont="1"/>
    <xf numFmtId="0" fontId="92" fillId="2" borderId="0" xfId="0" applyFont="1" applyFill="1"/>
    <xf numFmtId="167" fontId="92" fillId="2" borderId="0" xfId="1" applyFont="1" applyFill="1"/>
    <xf numFmtId="10" fontId="92" fillId="0" borderId="0" xfId="2" applyNumberFormat="1" applyFont="1"/>
    <xf numFmtId="174" fontId="94" fillId="6" borderId="51" xfId="1" applyNumberFormat="1" applyFont="1" applyFill="1" applyBorder="1"/>
    <xf numFmtId="234" fontId="99" fillId="0" borderId="12" xfId="0" applyNumberFormat="1" applyFont="1" applyFill="1" applyBorder="1" applyAlignment="1">
      <alignment horizontal="right"/>
    </xf>
    <xf numFmtId="174" fontId="99" fillId="6" borderId="52" xfId="1" applyNumberFormat="1" applyFont="1" applyFill="1" applyBorder="1"/>
    <xf numFmtId="167" fontId="92" fillId="84" borderId="0" xfId="1" applyFont="1" applyFill="1"/>
    <xf numFmtId="240" fontId="93" fillId="0" borderId="0" xfId="0" applyNumberFormat="1" applyFont="1" applyBorder="1" applyAlignment="1">
      <alignment horizontal="center"/>
    </xf>
    <xf numFmtId="240" fontId="93" fillId="0" borderId="0" xfId="0" applyNumberFormat="1" applyFont="1" applyBorder="1"/>
    <xf numFmtId="0" fontId="93" fillId="0" borderId="0" xfId="0" applyFont="1" applyBorder="1"/>
    <xf numFmtId="169" fontId="92" fillId="0" borderId="0" xfId="0" applyNumberFormat="1" applyFont="1" applyFill="1"/>
    <xf numFmtId="0" fontId="94" fillId="0" borderId="1" xfId="0" applyFont="1" applyBorder="1" applyAlignment="1">
      <alignment horizontal="center"/>
    </xf>
    <xf numFmtId="169" fontId="94" fillId="0" borderId="1" xfId="1" applyNumberFormat="1" applyFont="1" applyBorder="1" applyAlignment="1">
      <alignment horizontal="center"/>
    </xf>
    <xf numFmtId="169" fontId="94" fillId="0" borderId="1" xfId="1" applyNumberFormat="1" applyFont="1" applyBorder="1" applyAlignment="1">
      <alignment horizontal="center" vertical="center"/>
    </xf>
    <xf numFmtId="0" fontId="94" fillId="4" borderId="18" xfId="0" applyFont="1" applyFill="1" applyBorder="1" applyAlignment="1">
      <alignment horizontal="center" wrapText="1"/>
    </xf>
    <xf numFmtId="0" fontId="92" fillId="0" borderId="1" xfId="0" applyFont="1" applyBorder="1" applyAlignment="1">
      <alignment horizontal="center"/>
    </xf>
    <xf numFmtId="178" fontId="92" fillId="0" borderId="0" xfId="0" applyNumberFormat="1" applyFont="1" applyBorder="1" applyAlignment="1">
      <alignment horizontal="right" wrapText="1" indent="2"/>
    </xf>
    <xf numFmtId="178" fontId="92" fillId="0" borderId="0" xfId="0" applyNumberFormat="1" applyFont="1" applyBorder="1" applyAlignment="1">
      <alignment horizontal="right" indent="2"/>
    </xf>
    <xf numFmtId="178" fontId="93" fillId="0" borderId="0" xfId="1" applyNumberFormat="1" applyFont="1" applyBorder="1" applyAlignment="1">
      <alignment horizontal="right" indent="2"/>
    </xf>
    <xf numFmtId="178" fontId="93" fillId="0" borderId="0" xfId="0" applyNumberFormat="1" applyFont="1" applyBorder="1" applyAlignment="1">
      <alignment horizontal="right" indent="2"/>
    </xf>
    <xf numFmtId="178" fontId="92" fillId="86" borderId="0" xfId="0" applyNumberFormat="1" applyFont="1" applyFill="1" applyBorder="1" applyAlignment="1">
      <alignment horizontal="right" indent="2"/>
    </xf>
    <xf numFmtId="0" fontId="94" fillId="2" borderId="72" xfId="0" applyFont="1" applyFill="1" applyBorder="1" applyAlignment="1">
      <alignment horizontal="right" indent="2"/>
    </xf>
    <xf numFmtId="0" fontId="94" fillId="2" borderId="0" xfId="0" applyFont="1" applyFill="1" applyBorder="1" applyAlignment="1">
      <alignment horizontal="right" indent="2"/>
    </xf>
    <xf numFmtId="0" fontId="92" fillId="0" borderId="28" xfId="0" applyFont="1" applyBorder="1" applyAlignment="1">
      <alignment horizontal="center"/>
    </xf>
    <xf numFmtId="0" fontId="92" fillId="0" borderId="71" xfId="0" applyFont="1" applyBorder="1" applyAlignment="1">
      <alignment horizontal="center"/>
    </xf>
    <xf numFmtId="0" fontId="92" fillId="0" borderId="1" xfId="0" applyNumberFormat="1" applyFont="1" applyFill="1" applyBorder="1" applyAlignment="1">
      <alignment wrapText="1"/>
    </xf>
    <xf numFmtId="167" fontId="92" fillId="90" borderId="0" xfId="1" applyNumberFormat="1" applyFont="1" applyFill="1"/>
    <xf numFmtId="253" fontId="92" fillId="0" borderId="0" xfId="0" applyNumberFormat="1" applyFont="1"/>
    <xf numFmtId="0" fontId="93" fillId="0" borderId="1" xfId="0" applyFont="1" applyBorder="1" applyAlignment="1">
      <alignment horizontal="center"/>
    </xf>
    <xf numFmtId="0" fontId="94" fillId="0" borderId="1" xfId="0" applyFont="1" applyFill="1" applyBorder="1" applyAlignment="1">
      <alignment horizontal="center"/>
    </xf>
    <xf numFmtId="0" fontId="94" fillId="0" borderId="1" xfId="0" applyFont="1" applyBorder="1" applyAlignment="1">
      <alignment horizontal="center" wrapText="1"/>
    </xf>
    <xf numFmtId="0" fontId="94" fillId="0" borderId="1" xfId="0" applyFont="1" applyBorder="1" applyAlignment="1">
      <alignment horizontal="center"/>
    </xf>
    <xf numFmtId="169" fontId="94" fillId="0" borderId="1" xfId="1" applyNumberFormat="1" applyFont="1" applyBorder="1" applyAlignment="1">
      <alignment horizontal="center"/>
    </xf>
    <xf numFmtId="169" fontId="94" fillId="0" borderId="1" xfId="1" applyNumberFormat="1" applyFont="1" applyBorder="1" applyAlignment="1">
      <alignment horizontal="center" vertical="center"/>
    </xf>
    <xf numFmtId="0" fontId="94" fillId="2" borderId="1" xfId="0" applyFont="1" applyFill="1" applyBorder="1" applyAlignment="1">
      <alignment horizontal="left"/>
    </xf>
    <xf numFmtId="0" fontId="92" fillId="0" borderId="1" xfId="0" applyFont="1" applyBorder="1" applyAlignment="1">
      <alignment horizontal="left"/>
    </xf>
    <xf numFmtId="0" fontId="92" fillId="0" borderId="1" xfId="0" applyFont="1" applyBorder="1" applyAlignment="1">
      <alignment horizontal="center"/>
    </xf>
    <xf numFmtId="170" fontId="92" fillId="0" borderId="1" xfId="0" applyNumberFormat="1" applyFont="1" applyFill="1" applyBorder="1" applyAlignment="1">
      <alignment wrapText="1"/>
    </xf>
    <xf numFmtId="246" fontId="92" fillId="0" borderId="1" xfId="0" applyNumberFormat="1" applyFont="1" applyBorder="1" applyAlignment="1">
      <alignment wrapText="1"/>
    </xf>
    <xf numFmtId="244" fontId="92" fillId="0" borderId="1" xfId="0" applyNumberFormat="1" applyFont="1" applyBorder="1" applyAlignment="1">
      <alignment wrapText="1"/>
    </xf>
    <xf numFmtId="237" fontId="94" fillId="0" borderId="1" xfId="0" applyNumberFormat="1" applyFont="1" applyBorder="1" applyAlignment="1">
      <alignment wrapText="1"/>
    </xf>
    <xf numFmtId="43" fontId="94" fillId="2" borderId="25" xfId="0" applyNumberFormat="1" applyFont="1" applyFill="1" applyBorder="1" applyAlignment="1">
      <alignment horizontal="right"/>
    </xf>
    <xf numFmtId="0" fontId="92" fillId="0" borderId="45" xfId="0" applyFont="1" applyBorder="1" applyAlignment="1">
      <alignment horizontal="center"/>
    </xf>
    <xf numFmtId="0" fontId="92" fillId="85" borderId="1" xfId="0" applyFont="1" applyFill="1" applyBorder="1"/>
    <xf numFmtId="0" fontId="92" fillId="85" borderId="1" xfId="0" applyFont="1" applyFill="1" applyBorder="1" applyAlignment="1">
      <alignment horizontal="left"/>
    </xf>
    <xf numFmtId="167" fontId="95" fillId="0" borderId="0" xfId="1" applyFont="1" applyFill="1" applyBorder="1" applyAlignment="1" applyProtection="1">
      <alignment horizontal="center"/>
    </xf>
    <xf numFmtId="236" fontId="92" fillId="0" borderId="1" xfId="0" applyNumberFormat="1" applyFont="1" applyFill="1" applyBorder="1" applyAlignment="1">
      <alignment horizontal="center" vertical="center"/>
    </xf>
    <xf numFmtId="14" fontId="93" fillId="0" borderId="1" xfId="0" applyNumberFormat="1" applyFont="1" applyFill="1" applyBorder="1"/>
    <xf numFmtId="0" fontId="93" fillId="0" borderId="1" xfId="0" applyFont="1" applyBorder="1" applyAlignment="1">
      <alignment horizontal="center"/>
    </xf>
    <xf numFmtId="14" fontId="95" fillId="0" borderId="61" xfId="0" applyNumberFormat="1" applyFont="1" applyBorder="1" applyAlignment="1">
      <alignment horizontal="center"/>
    </xf>
    <xf numFmtId="0" fontId="95" fillId="0" borderId="63" xfId="0" applyFont="1" applyBorder="1" applyAlignment="1">
      <alignment horizontal="center"/>
    </xf>
    <xf numFmtId="14" fontId="95" fillId="0" borderId="93" xfId="0" applyNumberFormat="1" applyFont="1" applyBorder="1" applyAlignment="1">
      <alignment horizontal="center"/>
    </xf>
    <xf numFmtId="0" fontId="95" fillId="0" borderId="91" xfId="0" applyFont="1" applyBorder="1" applyAlignment="1">
      <alignment horizontal="center"/>
    </xf>
    <xf numFmtId="0" fontId="94" fillId="0" borderId="1" xfId="0" applyFont="1" applyFill="1" applyBorder="1" applyAlignment="1">
      <alignment horizontal="center" wrapText="1"/>
    </xf>
    <xf numFmtId="0" fontId="94" fillId="0" borderId="1" xfId="0" applyFont="1" applyFill="1" applyBorder="1" applyAlignment="1">
      <alignment horizontal="center"/>
    </xf>
    <xf numFmtId="173" fontId="94" fillId="0" borderId="1" xfId="1" applyNumberFormat="1" applyFont="1" applyFill="1" applyBorder="1" applyAlignment="1">
      <alignment horizontal="center"/>
    </xf>
    <xf numFmtId="0" fontId="94" fillId="0" borderId="1" xfId="0" applyFont="1" applyFill="1" applyBorder="1" applyAlignment="1">
      <alignment horizontal="center" vertical="center"/>
    </xf>
    <xf numFmtId="0" fontId="94" fillId="0" borderId="1" xfId="0" applyFont="1" applyBorder="1" applyAlignment="1">
      <alignment horizontal="center" wrapText="1"/>
    </xf>
    <xf numFmtId="0" fontId="94" fillId="0" borderId="1" xfId="0" applyFont="1" applyBorder="1" applyAlignment="1">
      <alignment horizontal="center"/>
    </xf>
    <xf numFmtId="169" fontId="94" fillId="0" borderId="1" xfId="1" applyNumberFormat="1" applyFont="1" applyBorder="1" applyAlignment="1">
      <alignment horizontal="center"/>
    </xf>
    <xf numFmtId="169" fontId="94" fillId="0" borderId="1" xfId="1" applyNumberFormat="1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173" fontId="94" fillId="0" borderId="1" xfId="1" applyNumberFormat="1" applyFont="1" applyBorder="1" applyAlignment="1">
      <alignment horizontal="center"/>
    </xf>
    <xf numFmtId="0" fontId="94" fillId="4" borderId="55" xfId="0" applyFont="1" applyFill="1" applyBorder="1" applyAlignment="1">
      <alignment horizontal="center" wrapText="1"/>
    </xf>
    <xf numFmtId="0" fontId="94" fillId="4" borderId="10" xfId="0" applyFont="1" applyFill="1" applyBorder="1" applyAlignment="1">
      <alignment horizontal="center" wrapText="1"/>
    </xf>
    <xf numFmtId="0" fontId="94" fillId="0" borderId="0" xfId="0" applyFont="1" applyFill="1" applyBorder="1" applyAlignment="1">
      <alignment horizontal="center" wrapText="1"/>
    </xf>
    <xf numFmtId="0" fontId="98" fillId="0" borderId="7" xfId="0" applyFont="1" applyBorder="1" applyAlignment="1">
      <alignment horizontal="center"/>
    </xf>
    <xf numFmtId="0" fontId="98" fillId="0" borderId="6" xfId="0" applyFont="1" applyBorder="1" applyAlignment="1">
      <alignment horizontal="center"/>
    </xf>
    <xf numFmtId="0" fontId="98" fillId="0" borderId="12" xfId="0" applyFont="1" applyBorder="1" applyAlignment="1">
      <alignment horizontal="center"/>
    </xf>
    <xf numFmtId="0" fontId="94" fillId="4" borderId="24" xfId="0" applyFont="1" applyFill="1" applyBorder="1" applyAlignment="1">
      <alignment horizontal="center" wrapText="1"/>
    </xf>
    <xf numFmtId="0" fontId="94" fillId="4" borderId="17" xfId="0" applyFont="1" applyFill="1" applyBorder="1" applyAlignment="1">
      <alignment horizontal="center" wrapText="1"/>
    </xf>
    <xf numFmtId="0" fontId="94" fillId="4" borderId="25" xfId="0" applyFont="1" applyFill="1" applyBorder="1" applyAlignment="1">
      <alignment horizontal="center" wrapText="1"/>
    </xf>
    <xf numFmtId="0" fontId="94" fillId="4" borderId="18" xfId="0" applyFont="1" applyFill="1" applyBorder="1" applyAlignment="1">
      <alignment horizontal="center" wrapText="1"/>
    </xf>
    <xf numFmtId="0" fontId="98" fillId="0" borderId="7" xfId="0" applyFont="1" applyBorder="1" applyAlignment="1">
      <alignment horizontal="center" wrapText="1"/>
    </xf>
    <xf numFmtId="0" fontId="98" fillId="0" borderId="6" xfId="0" applyFont="1" applyBorder="1" applyAlignment="1">
      <alignment horizontal="center" wrapText="1"/>
    </xf>
    <xf numFmtId="0" fontId="98" fillId="0" borderId="12" xfId="0" applyFont="1" applyBorder="1" applyAlignment="1">
      <alignment horizontal="center" wrapText="1"/>
    </xf>
    <xf numFmtId="0" fontId="92" fillId="0" borderId="6" xfId="0" applyFont="1" applyBorder="1" applyAlignment="1">
      <alignment wrapText="1"/>
    </xf>
    <xf numFmtId="0" fontId="92" fillId="0" borderId="12" xfId="0" applyFont="1" applyBorder="1" applyAlignment="1">
      <alignment wrapText="1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94" fillId="2" borderId="1" xfId="0" applyFont="1" applyFill="1" applyBorder="1" applyAlignment="1">
      <alignment horizontal="left"/>
    </xf>
    <xf numFmtId="0" fontId="92" fillId="0" borderId="1" xfId="0" applyFont="1" applyBorder="1" applyAlignment="1">
      <alignment horizontal="left"/>
    </xf>
    <xf numFmtId="0" fontId="92" fillId="0" borderId="1" xfId="0" applyFont="1" applyBorder="1" applyAlignment="1">
      <alignment horizontal="center"/>
    </xf>
    <xf numFmtId="0" fontId="92" fillId="6" borderId="1" xfId="0" applyFont="1" applyFill="1" applyBorder="1" applyAlignment="1">
      <alignment horizontal="left"/>
    </xf>
    <xf numFmtId="0" fontId="92" fillId="0" borderId="61" xfId="0" applyFont="1" applyBorder="1" applyAlignment="1">
      <alignment horizontal="left"/>
    </xf>
    <xf numFmtId="0" fontId="92" fillId="0" borderId="91" xfId="0" applyFont="1" applyBorder="1" applyAlignment="1">
      <alignment horizontal="left"/>
    </xf>
    <xf numFmtId="0" fontId="94" fillId="2" borderId="34" xfId="0" applyFont="1" applyFill="1" applyBorder="1" applyAlignment="1">
      <alignment horizontal="left"/>
    </xf>
    <xf numFmtId="0" fontId="94" fillId="2" borderId="59" xfId="0" applyFont="1" applyFill="1" applyBorder="1" applyAlignment="1">
      <alignment horizontal="left"/>
    </xf>
    <xf numFmtId="0" fontId="92" fillId="0" borderId="61" xfId="0" applyFont="1" applyBorder="1" applyAlignment="1">
      <alignment horizontal="center"/>
    </xf>
    <xf numFmtId="0" fontId="92" fillId="0" borderId="91" xfId="0" applyFont="1" applyBorder="1" applyAlignment="1">
      <alignment horizontal="center"/>
    </xf>
    <xf numFmtId="0" fontId="94" fillId="2" borderId="13" xfId="0" applyFont="1" applyFill="1" applyBorder="1" applyAlignment="1">
      <alignment horizontal="left"/>
    </xf>
    <xf numFmtId="0" fontId="94" fillId="2" borderId="50" xfId="0" applyFont="1" applyFill="1" applyBorder="1" applyAlignment="1">
      <alignment horizontal="left"/>
    </xf>
    <xf numFmtId="0" fontId="94" fillId="0" borderId="15" xfId="0" applyFont="1" applyBorder="1" applyAlignment="1">
      <alignment horizontal="center"/>
    </xf>
    <xf numFmtId="0" fontId="94" fillId="0" borderId="2" xfId="0" applyFont="1" applyBorder="1" applyAlignment="1">
      <alignment horizontal="center"/>
    </xf>
    <xf numFmtId="0" fontId="94" fillId="2" borderId="15" xfId="0" applyFont="1" applyFill="1" applyBorder="1" applyAlignment="1">
      <alignment horizontal="left"/>
    </xf>
    <xf numFmtId="0" fontId="94" fillId="2" borderId="2" xfId="0" applyFont="1" applyFill="1" applyBorder="1" applyAlignment="1">
      <alignment horizontal="left"/>
    </xf>
    <xf numFmtId="0" fontId="92" fillId="6" borderId="19" xfId="0" applyFont="1" applyFill="1" applyBorder="1" applyAlignment="1">
      <alignment horizontal="left"/>
    </xf>
    <xf numFmtId="0" fontId="92" fillId="6" borderId="49" xfId="0" applyFont="1" applyFill="1" applyBorder="1" applyAlignment="1">
      <alignment horizontal="left"/>
    </xf>
    <xf numFmtId="0" fontId="92" fillId="0" borderId="1" xfId="0" applyFont="1" applyBorder="1" applyAlignment="1">
      <alignment horizontal="center" wrapText="1"/>
    </xf>
    <xf numFmtId="0" fontId="92" fillId="82" borderId="45" xfId="0" applyFont="1" applyFill="1" applyBorder="1" applyAlignment="1">
      <alignment horizontal="left" vertical="center"/>
    </xf>
    <xf numFmtId="0" fontId="92" fillId="82" borderId="5" xfId="0" applyFont="1" applyFill="1" applyBorder="1" applyAlignment="1">
      <alignment horizontal="left" vertical="center"/>
    </xf>
    <xf numFmtId="0" fontId="94" fillId="0" borderId="58" xfId="0" applyFont="1" applyBorder="1" applyAlignment="1">
      <alignment horizontal="center" wrapText="1"/>
    </xf>
    <xf numFmtId="0" fontId="94" fillId="0" borderId="64" xfId="0" applyFont="1" applyBorder="1" applyAlignment="1">
      <alignment horizontal="center" wrapText="1"/>
    </xf>
    <xf numFmtId="0" fontId="92" fillId="0" borderId="60" xfId="0" applyFont="1" applyBorder="1" applyAlignment="1">
      <alignment horizontal="center" wrapText="1"/>
    </xf>
    <xf numFmtId="0" fontId="94" fillId="0" borderId="7" xfId="0" applyFont="1" applyBorder="1" applyAlignment="1">
      <alignment horizontal="center" wrapText="1"/>
    </xf>
    <xf numFmtId="0" fontId="94" fillId="0" borderId="6" xfId="0" applyFont="1" applyBorder="1" applyAlignment="1">
      <alignment horizontal="center" wrapText="1"/>
    </xf>
    <xf numFmtId="0" fontId="94" fillId="0" borderId="12" xfId="0" applyFont="1" applyBorder="1" applyAlignment="1">
      <alignment horizontal="center" wrapText="1"/>
    </xf>
    <xf numFmtId="0" fontId="94" fillId="0" borderId="7" xfId="0" applyFont="1" applyBorder="1" applyAlignment="1">
      <alignment horizontal="center"/>
    </xf>
    <xf numFmtId="0" fontId="94" fillId="0" borderId="12" xfId="0" applyFont="1" applyBorder="1" applyAlignment="1">
      <alignment horizontal="center"/>
    </xf>
    <xf numFmtId="0" fontId="94" fillId="0" borderId="6" xfId="0" applyFont="1" applyBorder="1" applyAlignment="1">
      <alignment horizontal="center"/>
    </xf>
    <xf numFmtId="0" fontId="94" fillId="0" borderId="48" xfId="0" applyFont="1" applyBorder="1" applyAlignment="1">
      <alignment horizontal="center"/>
    </xf>
    <xf numFmtId="0" fontId="94" fillId="0" borderId="26" xfId="0" applyFont="1" applyBorder="1" applyAlignment="1">
      <alignment horizontal="center"/>
    </xf>
    <xf numFmtId="0" fontId="94" fillId="0" borderId="70" xfId="0" applyFont="1" applyBorder="1" applyAlignment="1">
      <alignment horizontal="center"/>
    </xf>
    <xf numFmtId="0" fontId="94" fillId="5" borderId="7" xfId="0" applyFont="1" applyFill="1" applyBorder="1" applyAlignment="1">
      <alignment horizontal="center"/>
    </xf>
    <xf numFmtId="0" fontId="94" fillId="5" borderId="6" xfId="0" applyFont="1" applyFill="1" applyBorder="1" applyAlignment="1">
      <alignment horizontal="center"/>
    </xf>
    <xf numFmtId="0" fontId="94" fillId="5" borderId="12" xfId="0" applyFont="1" applyFill="1" applyBorder="1" applyAlignment="1">
      <alignment horizontal="center"/>
    </xf>
    <xf numFmtId="0" fontId="95" fillId="0" borderId="7" xfId="0" applyFont="1" applyFill="1" applyBorder="1" applyAlignment="1">
      <alignment horizontal="center" vertical="center" wrapText="1"/>
    </xf>
    <xf numFmtId="0" fontId="95" fillId="0" borderId="6" xfId="0" applyFont="1" applyFill="1" applyBorder="1" applyAlignment="1">
      <alignment horizontal="center" vertical="center" wrapText="1"/>
    </xf>
    <xf numFmtId="0" fontId="95" fillId="0" borderId="12" xfId="0" applyFont="1" applyFill="1" applyBorder="1" applyAlignment="1">
      <alignment horizontal="center" vertical="center" wrapText="1"/>
    </xf>
    <xf numFmtId="0" fontId="95" fillId="0" borderId="24" xfId="0" applyFont="1" applyFill="1" applyBorder="1" applyAlignment="1">
      <alignment horizontal="center" vertical="center" wrapText="1"/>
    </xf>
    <xf numFmtId="0" fontId="95" fillId="0" borderId="40" xfId="0" applyFont="1" applyFill="1" applyBorder="1" applyAlignment="1">
      <alignment horizontal="center" vertical="center" wrapText="1"/>
    </xf>
    <xf numFmtId="0" fontId="95" fillId="0" borderId="25" xfId="0" applyFont="1" applyFill="1" applyBorder="1" applyAlignment="1">
      <alignment horizontal="center" vertical="center" wrapText="1"/>
    </xf>
    <xf numFmtId="0" fontId="95" fillId="0" borderId="1" xfId="0" applyFont="1" applyBorder="1" applyAlignment="1">
      <alignment horizontal="center" vertical="center" wrapText="1"/>
    </xf>
    <xf numFmtId="0" fontId="95" fillId="0" borderId="7" xfId="0" applyFont="1" applyBorder="1" applyAlignment="1">
      <alignment horizontal="center" vertical="center" wrapText="1"/>
    </xf>
    <xf numFmtId="0" fontId="95" fillId="0" borderId="6" xfId="0" applyFont="1" applyBorder="1" applyAlignment="1">
      <alignment horizontal="center" vertical="center" wrapText="1"/>
    </xf>
    <xf numFmtId="0" fontId="95" fillId="0" borderId="12" xfId="0" applyFont="1" applyBorder="1" applyAlignment="1">
      <alignment horizontal="center" vertical="center" wrapText="1"/>
    </xf>
    <xf numFmtId="0" fontId="95" fillId="90" borderId="1" xfId="0" applyFont="1" applyFill="1" applyBorder="1" applyAlignment="1">
      <alignment horizontal="center" wrapText="1"/>
    </xf>
    <xf numFmtId="0" fontId="95" fillId="91" borderId="1" xfId="0" applyFont="1" applyFill="1" applyBorder="1" applyAlignment="1">
      <alignment horizontal="center" vertical="center" wrapText="1"/>
    </xf>
    <xf numFmtId="0" fontId="95" fillId="10" borderId="1" xfId="0" applyFont="1" applyFill="1" applyBorder="1" applyAlignment="1">
      <alignment horizontal="center" vertical="center" wrapText="1"/>
    </xf>
    <xf numFmtId="0" fontId="95" fillId="90" borderId="7" xfId="0" applyFont="1" applyFill="1" applyBorder="1" applyAlignment="1">
      <alignment horizontal="center" vertical="center" wrapText="1"/>
    </xf>
    <xf numFmtId="0" fontId="95" fillId="90" borderId="6" xfId="0" applyFont="1" applyFill="1" applyBorder="1" applyAlignment="1">
      <alignment horizontal="center" vertical="center" wrapText="1"/>
    </xf>
    <xf numFmtId="0" fontId="95" fillId="90" borderId="12" xfId="0" applyFont="1" applyFill="1" applyBorder="1" applyAlignment="1">
      <alignment horizontal="center" vertical="center" wrapText="1"/>
    </xf>
    <xf numFmtId="0" fontId="95" fillId="91" borderId="7" xfId="0" applyFont="1" applyFill="1" applyBorder="1" applyAlignment="1">
      <alignment horizontal="center" vertical="center" wrapText="1"/>
    </xf>
    <xf numFmtId="0" fontId="95" fillId="91" borderId="6" xfId="0" applyFont="1" applyFill="1" applyBorder="1" applyAlignment="1">
      <alignment horizontal="center" vertical="center" wrapText="1"/>
    </xf>
    <xf numFmtId="0" fontId="95" fillId="91" borderId="12" xfId="0" applyFont="1" applyFill="1" applyBorder="1" applyAlignment="1">
      <alignment horizontal="center" vertical="center" wrapText="1"/>
    </xf>
    <xf numFmtId="0" fontId="95" fillId="10" borderId="7" xfId="0" applyFont="1" applyFill="1" applyBorder="1" applyAlignment="1">
      <alignment horizontal="center" vertical="center" wrapText="1"/>
    </xf>
    <xf numFmtId="0" fontId="95" fillId="10" borderId="6" xfId="0" applyFont="1" applyFill="1" applyBorder="1" applyAlignment="1">
      <alignment horizontal="center" vertical="center" wrapText="1"/>
    </xf>
    <xf numFmtId="0" fontId="95" fillId="10" borderId="12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/>
    </xf>
    <xf numFmtId="0" fontId="10" fillId="0" borderId="58" xfId="0" applyFont="1" applyBorder="1" applyAlignment="1">
      <alignment wrapText="1"/>
    </xf>
    <xf numFmtId="0" fontId="10" fillId="0" borderId="64" xfId="0" applyFont="1" applyBorder="1" applyAlignment="1">
      <alignment wrapText="1"/>
    </xf>
    <xf numFmtId="0" fontId="8" fillId="0" borderId="60" xfId="0" applyFont="1" applyBorder="1" applyAlignment="1">
      <alignment wrapText="1"/>
    </xf>
    <xf numFmtId="0" fontId="111" fillId="2" borderId="95" xfId="0" applyFont="1" applyFill="1" applyBorder="1" applyAlignment="1">
      <alignment horizontal="center" vertical="center" wrapText="1" readingOrder="1"/>
    </xf>
    <xf numFmtId="0" fontId="111" fillId="0" borderId="95" xfId="0" applyFont="1" applyBorder="1" applyAlignment="1">
      <alignment horizontal="center" vertical="center" wrapText="1" readingOrder="1"/>
    </xf>
    <xf numFmtId="0" fontId="111" fillId="93" borderId="95" xfId="0" applyFont="1" applyFill="1" applyBorder="1" applyAlignment="1">
      <alignment horizontal="center" vertical="center" wrapText="1" readingOrder="1"/>
    </xf>
    <xf numFmtId="245" fontId="92" fillId="0" borderId="0" xfId="0" applyNumberFormat="1" applyFont="1"/>
  </cellXfs>
  <cellStyles count="3005">
    <cellStyle name="%" xfId="21" xr:uid="{00000000-0005-0000-0000-000000000000}"/>
    <cellStyle name="_~1881608" xfId="22" xr:uid="{00000000-0005-0000-0000-000001000000}"/>
    <cellStyle name="_~7690850" xfId="23" xr:uid="{00000000-0005-0000-0000-000002000000}"/>
    <cellStyle name="_Agency Staff IBS21July2006" xfId="24" xr:uid="{00000000-0005-0000-0000-000003000000}"/>
    <cellStyle name="_Allocation" xfId="25" xr:uid="{00000000-0005-0000-0000-000004000000}"/>
    <cellStyle name="_Bulk London Commitments_18.07.06" xfId="26" xr:uid="{00000000-0005-0000-0000-000005000000}"/>
    <cellStyle name="_Cash_flow_08" xfId="27" xr:uid="{00000000-0005-0000-0000-000006000000}"/>
    <cellStyle name="_Closing Stock 31.07.2009" xfId="28" xr:uid="{00000000-0005-0000-0000-000007000000}"/>
    <cellStyle name="_Closing Stock 31.07.2009_FINAL Gapco Kenya - Management Accounts-February 2010-new format--FINAL ken " xfId="29" xr:uid="{00000000-0005-0000-0000-000008000000}"/>
    <cellStyle name="_Closing Stock 31.07.2009_Forex - Feb GKL summary" xfId="30" xr:uid="{00000000-0005-0000-0000-000009000000}"/>
    <cellStyle name="_Closing Stock 31.07.2009_Forex Feb. 2010F" xfId="31" xr:uid="{00000000-0005-0000-0000-00000A000000}"/>
    <cellStyle name="_Closing Stock 31.07.2009_Forex working- March-  ken Final-dav" xfId="32" xr:uid="{00000000-0005-0000-0000-00000B000000}"/>
    <cellStyle name="_Closing Stock 31.07.2009_Gapco Kenya - Management Accounts-February 2010-new format-FinalS" xfId="33" xr:uid="{00000000-0005-0000-0000-00000C000000}"/>
    <cellStyle name="_Closing Stock 31.07.2009_Montly Average Exchange Rates" xfId="34" xr:uid="{00000000-0005-0000-0000-00000D000000}"/>
    <cellStyle name="_Closing Stock 31.07.2009_Summary Forex Working Feb; 2010" xfId="35" xr:uid="{00000000-0005-0000-0000-00000E000000}"/>
    <cellStyle name="_Consl-weekly_MIS_07042010" xfId="36" xr:uid="{00000000-0005-0000-0000-00000F000000}"/>
    <cellStyle name="_Control Room  - MIS - Dealer feedback -15 June 2007" xfId="37" xr:uid="{00000000-0005-0000-0000-000010000000}"/>
    <cellStyle name="_Employees information - 1.4.2006" xfId="38" xr:uid="{00000000-0005-0000-0000-000011000000}"/>
    <cellStyle name="_Employees information - 1.4.2006_Drs-GSL" xfId="39" xr:uid="{00000000-0005-0000-0000-000012000000}"/>
    <cellStyle name="_Employees information - 1.4.2006_FINAL Gapco Kenya - Management Accounts-February 2010-new format--FINAL ken " xfId="40" xr:uid="{00000000-0005-0000-0000-000013000000}"/>
    <cellStyle name="_Employees information - 1.4.2006_Forex - Feb GKL summary" xfId="41" xr:uid="{00000000-0005-0000-0000-000014000000}"/>
    <cellStyle name="_Employees information - 1.4.2006_Forex Feb. 2010F" xfId="42" xr:uid="{00000000-0005-0000-0000-000015000000}"/>
    <cellStyle name="_Employees information - 1.4.2006_Forex working- March-  ken Final-dav" xfId="43" xr:uid="{00000000-0005-0000-0000-000016000000}"/>
    <cellStyle name="_Employees information - 1.4.2006_Gapco Kenya - Management Accounts-February 2010-new format-FinalS" xfId="44" xr:uid="{00000000-0005-0000-0000-000017000000}"/>
    <cellStyle name="_Employees information - 1.4.2006_GAPCO Weekly Report-23072008" xfId="45" xr:uid="{00000000-0005-0000-0000-000018000000}"/>
    <cellStyle name="_Employees information - 1.4.2006_Montly Average Exchange Rates" xfId="46" xr:uid="{00000000-0005-0000-0000-000019000000}"/>
    <cellStyle name="_Employees information - 1.4.2006_Summary Forex Working Feb; 2010" xfId="47" xr:uid="{00000000-0005-0000-0000-00001A000000}"/>
    <cellStyle name="_Employees information - 1.4.2006_WC-GSL" xfId="48" xr:uid="{00000000-0005-0000-0000-00001B000000}"/>
    <cellStyle name="_FOR RS" xfId="49" xr:uid="{00000000-0005-0000-0000-00001C000000}"/>
    <cellStyle name="_Form 3CD (A.Y.06-07)-merged(revised)" xfId="50" xr:uid="{00000000-0005-0000-0000-00001D000000}"/>
    <cellStyle name="_GTIL_BS-JUNE 05" xfId="51" xr:uid="{00000000-0005-0000-0000-00001E000000}"/>
    <cellStyle name="_gyan employee list revised for retail" xfId="52" xr:uid="{00000000-0005-0000-0000-00001F000000}"/>
    <cellStyle name="_JEP MIS 008- 040706 - CF(06) - Responsibility" xfId="53" xr:uid="{00000000-0005-0000-0000-000020000000}"/>
    <cellStyle name="_JEP MIS 008- 120606 - CF(06) - Responsibility" xfId="54" xr:uid="{00000000-0005-0000-0000-000021000000}"/>
    <cellStyle name="_JEP MIS 008- 170706 - CF(06) - Responsibility" xfId="55" xr:uid="{00000000-0005-0000-0000-000022000000}"/>
    <cellStyle name="_JEP MIS 008- 170706 - CF(06) - Responsibility_r" xfId="56" xr:uid="{00000000-0005-0000-0000-000023000000}"/>
    <cellStyle name="_JEP MIS 008- 220606 - CF(06) - Responsibility" xfId="57" xr:uid="{00000000-0005-0000-0000-000024000000}"/>
    <cellStyle name="_MOU PAY" xfId="58" xr:uid="{00000000-0005-0000-0000-000025000000}"/>
    <cellStyle name="_MOU PAYMENT" xfId="59" xr:uid="{00000000-0005-0000-0000-000026000000}"/>
    <cellStyle name="_Rel Info  31st March 2005 - FINAL with Reserve 45 IC of RBI" xfId="60" xr:uid="{00000000-0005-0000-0000-000027000000}"/>
    <cellStyle name="_RIL Assign 31st January07" xfId="61" xr:uid="{00000000-0005-0000-0000-000028000000}"/>
    <cellStyle name="_RIL Daily Estimate Apr08" xfId="62" xr:uid="{00000000-0005-0000-0000-000029000000}"/>
    <cellStyle name="_RJIL March 07 - First Cut" xfId="63" xr:uid="{00000000-0005-0000-0000-00002A000000}"/>
    <cellStyle name="_RPL Cash MAY 0809" xfId="64" xr:uid="{00000000-0005-0000-0000-00002B000000}"/>
    <cellStyle name="_RRL Consol Mar 07" xfId="65" xr:uid="{00000000-0005-0000-0000-00002C000000}"/>
    <cellStyle name="_summary of bulk - indg - 20.07.06" xfId="66" xr:uid="{00000000-0005-0000-0000-00002D000000}"/>
    <cellStyle name="_Summary_060606" xfId="67" xr:uid="{00000000-0005-0000-0000-00002E000000}"/>
    <cellStyle name="_Summary_160506" xfId="68" xr:uid="{00000000-0005-0000-0000-00002F000000}"/>
    <cellStyle name="_Summary_180706" xfId="69" xr:uid="{00000000-0005-0000-0000-000030000000}"/>
    <cellStyle name="_Summary_210606" xfId="70" xr:uid="{00000000-0005-0000-0000-000031000000}"/>
    <cellStyle name="_Summary_300506" xfId="71" xr:uid="{00000000-0005-0000-0000-000032000000}"/>
    <cellStyle name="_TCH MIS 06.12.2006" xfId="72" xr:uid="{00000000-0005-0000-0000-000033000000}"/>
    <cellStyle name="_TCH MIS 07.02.2007" xfId="73" xr:uid="{00000000-0005-0000-0000-000034000000}"/>
    <cellStyle name="_TCH MIS 07.03.2007" xfId="74" xr:uid="{00000000-0005-0000-0000-000035000000}"/>
    <cellStyle name="_TCH MIS 08.11.2006" xfId="75" xr:uid="{00000000-0005-0000-0000-000036000000}"/>
    <cellStyle name="_TCH MIS 09.05.2007" xfId="76" xr:uid="{00000000-0005-0000-0000-000037000000}"/>
    <cellStyle name="_TCH MIS 10.01.2007" xfId="77" xr:uid="{00000000-0005-0000-0000-000038000000}"/>
    <cellStyle name="_TCH MIS 11.04.2007" xfId="78" xr:uid="{00000000-0005-0000-0000-000039000000}"/>
    <cellStyle name="_TCH MIS 13.12.2006" xfId="79" xr:uid="{00000000-0005-0000-0000-00003A000000}"/>
    <cellStyle name="_TCH MIS 14.02.2007" xfId="80" xr:uid="{00000000-0005-0000-0000-00003B000000}"/>
    <cellStyle name="_TCH MIS 14.03.2007" xfId="81" xr:uid="{00000000-0005-0000-0000-00003C000000}"/>
    <cellStyle name="_TCH MIS 15.11.2006" xfId="82" xr:uid="{00000000-0005-0000-0000-00003D000000}"/>
    <cellStyle name="_TCH MIS 16.05.2007" xfId="83" xr:uid="{00000000-0005-0000-0000-00003E000000}"/>
    <cellStyle name="_TCH MIS 17.01.2007" xfId="84" xr:uid="{00000000-0005-0000-0000-00003F000000}"/>
    <cellStyle name="_TCH MIS 18(1).04.2007" xfId="85" xr:uid="{00000000-0005-0000-0000-000040000000}"/>
    <cellStyle name="_TCH MIS 18.10.2006" xfId="86" xr:uid="{00000000-0005-0000-0000-000041000000}"/>
    <cellStyle name="_TCH MIS 20.12.2006" xfId="87" xr:uid="{00000000-0005-0000-0000-000042000000}"/>
    <cellStyle name="_TCH MIS 21.02.2007" xfId="88" xr:uid="{00000000-0005-0000-0000-000043000000}"/>
    <cellStyle name="_TCH MIS 21.03.2007" xfId="89" xr:uid="{00000000-0005-0000-0000-000044000000}"/>
    <cellStyle name="_TCH MIS 22.11.2006" xfId="90" xr:uid="{00000000-0005-0000-0000-000045000000}"/>
    <cellStyle name="_TCH MIS 23.01.2007" xfId="91" xr:uid="{00000000-0005-0000-0000-000046000000}"/>
    <cellStyle name="_TCH MIS 23.05.2007" xfId="92" xr:uid="{00000000-0005-0000-0000-000047000000}"/>
    <cellStyle name="_TCH MIS 23.10.2006" xfId="93" xr:uid="{00000000-0005-0000-0000-000048000000}"/>
    <cellStyle name="_TCH MIS 25.04.2007" xfId="94" xr:uid="{00000000-0005-0000-0000-000049000000}"/>
    <cellStyle name="_TCH MIS 27.12.2006" xfId="95" xr:uid="{00000000-0005-0000-0000-00004A000000}"/>
    <cellStyle name="_TCH MIS 28.02.2007" xfId="96" xr:uid="{00000000-0005-0000-0000-00004B000000}"/>
    <cellStyle name="_TCH MIS 28.03.2007" xfId="97" xr:uid="{00000000-0005-0000-0000-00004C000000}"/>
    <cellStyle name="_TCH MIS 29.11.2006" xfId="98" xr:uid="{00000000-0005-0000-0000-00004D000000}"/>
    <cellStyle name="_TCH MIS 30.04.2007" xfId="99" xr:uid="{00000000-0005-0000-0000-00004E000000}"/>
    <cellStyle name="_TCH MIS 30.05.2007" xfId="100" xr:uid="{00000000-0005-0000-0000-00004F000000}"/>
    <cellStyle name="_TCH MIS 31.01.2007" xfId="101" xr:uid="{00000000-0005-0000-0000-000050000000}"/>
    <cellStyle name="_TCH MIS 31.03.2007" xfId="102" xr:uid="{00000000-0005-0000-0000-000051000000}"/>
    <cellStyle name="_TCH MIS 31.05.2007" xfId="103" xr:uid="{00000000-0005-0000-0000-000052000000}"/>
    <cellStyle name="_TCH MIS 31.10.2006" xfId="104" xr:uid="{00000000-0005-0000-0000-000053000000}"/>
    <cellStyle name="_TCH MIS 31.12.2006" xfId="105" xr:uid="{00000000-0005-0000-0000-000054000000}"/>
    <cellStyle name="_Weekly Cost Variation Summary Report - 040706" xfId="106" xr:uid="{00000000-0005-0000-0000-000055000000}"/>
    <cellStyle name="_Weekly Cost Variation Summary Report - 220606" xfId="107" xr:uid="{00000000-0005-0000-0000-000056000000}"/>
    <cellStyle name="_Weekly PBDT" xfId="108" xr:uid="{00000000-0005-0000-0000-000057000000}"/>
    <cellStyle name="_Weekly PBDT_Drs-GSL" xfId="109" xr:uid="{00000000-0005-0000-0000-000058000000}"/>
    <cellStyle name="_Weekly PBDT_FINAL Gapco Kenya - Management Accounts-February 2010-new format--FINAL ken " xfId="110" xr:uid="{00000000-0005-0000-0000-000059000000}"/>
    <cellStyle name="_Weekly PBDT_Forex - Feb GKL summary" xfId="111" xr:uid="{00000000-0005-0000-0000-00005A000000}"/>
    <cellStyle name="_Weekly PBDT_Forex Feb. 2010F" xfId="112" xr:uid="{00000000-0005-0000-0000-00005B000000}"/>
    <cellStyle name="_Weekly PBDT_Forex working- March-  ken Final-dav" xfId="113" xr:uid="{00000000-0005-0000-0000-00005C000000}"/>
    <cellStyle name="_Weekly PBDT_Gapco Kenya - Management Accounts-February 2010-new format-FinalS" xfId="114" xr:uid="{00000000-0005-0000-0000-00005D000000}"/>
    <cellStyle name="_Weekly PBDT_GAPCO Weekly Report-23072008" xfId="115" xr:uid="{00000000-0005-0000-0000-00005E000000}"/>
    <cellStyle name="_Weekly PBDT_Montly Average Exchange Rates" xfId="116" xr:uid="{00000000-0005-0000-0000-00005F000000}"/>
    <cellStyle name="_Weekly PBDT_Summary Forex Working Feb; 2010" xfId="117" xr:uid="{00000000-0005-0000-0000-000060000000}"/>
    <cellStyle name="_Weekly PBDT_WC-GSL" xfId="118" xr:uid="{00000000-0005-0000-0000-000061000000}"/>
    <cellStyle name="20 % - Accent1" xfId="119" xr:uid="{00000000-0005-0000-0000-000062000000}"/>
    <cellStyle name="20 % - Accent1 2" xfId="120" xr:uid="{00000000-0005-0000-0000-000063000000}"/>
    <cellStyle name="20 % - Accent2" xfId="121" xr:uid="{00000000-0005-0000-0000-000064000000}"/>
    <cellStyle name="20 % - Accent2 2" xfId="122" xr:uid="{00000000-0005-0000-0000-000065000000}"/>
    <cellStyle name="20 % - Accent3" xfId="123" xr:uid="{00000000-0005-0000-0000-000066000000}"/>
    <cellStyle name="20 % - Accent3 2" xfId="124" xr:uid="{00000000-0005-0000-0000-000067000000}"/>
    <cellStyle name="20 % - Accent4" xfId="125" xr:uid="{00000000-0005-0000-0000-000068000000}"/>
    <cellStyle name="20 % - Accent4 2" xfId="126" xr:uid="{00000000-0005-0000-0000-000069000000}"/>
    <cellStyle name="20 % - Accent5" xfId="127" xr:uid="{00000000-0005-0000-0000-00006A000000}"/>
    <cellStyle name="20 % - Accent5 2" xfId="128" xr:uid="{00000000-0005-0000-0000-00006B000000}"/>
    <cellStyle name="20 % - Accent6" xfId="129" xr:uid="{00000000-0005-0000-0000-00006C000000}"/>
    <cellStyle name="20 % - Accent6 2" xfId="130" xr:uid="{00000000-0005-0000-0000-00006D000000}"/>
    <cellStyle name="20% - Accent1 2" xfId="131" xr:uid="{00000000-0005-0000-0000-00006E000000}"/>
    <cellStyle name="20% - Accent1 2 2" xfId="132" xr:uid="{00000000-0005-0000-0000-00006F000000}"/>
    <cellStyle name="20% - Accent1 3" xfId="133" xr:uid="{00000000-0005-0000-0000-000070000000}"/>
    <cellStyle name="20% - Accent1 3 2" xfId="1427" xr:uid="{00000000-0005-0000-0000-000071000000}"/>
    <cellStyle name="20% - Accent1 3 3" xfId="1428" xr:uid="{00000000-0005-0000-0000-000072000000}"/>
    <cellStyle name="20% - Accent1 3_AGO Import" xfId="1697" xr:uid="{00000000-0005-0000-0000-000073000000}"/>
    <cellStyle name="20% - Accent1 4" xfId="134" xr:uid="{00000000-0005-0000-0000-000074000000}"/>
    <cellStyle name="20% - Accent2 2" xfId="135" xr:uid="{00000000-0005-0000-0000-000075000000}"/>
    <cellStyle name="20% - Accent2 2 2" xfId="136" xr:uid="{00000000-0005-0000-0000-000076000000}"/>
    <cellStyle name="20% - Accent2 3" xfId="137" xr:uid="{00000000-0005-0000-0000-000077000000}"/>
    <cellStyle name="20% - Accent2 3 2" xfId="1424" xr:uid="{00000000-0005-0000-0000-000078000000}"/>
    <cellStyle name="20% - Accent2 3 3" xfId="1425" xr:uid="{00000000-0005-0000-0000-000079000000}"/>
    <cellStyle name="20% - Accent2 3_AGO Import" xfId="1696" xr:uid="{00000000-0005-0000-0000-00007A000000}"/>
    <cellStyle name="20% - Accent2 4" xfId="138" xr:uid="{00000000-0005-0000-0000-00007B000000}"/>
    <cellStyle name="20% - Accent3 2" xfId="139" xr:uid="{00000000-0005-0000-0000-00007C000000}"/>
    <cellStyle name="20% - Accent3 2 2" xfId="140" xr:uid="{00000000-0005-0000-0000-00007D000000}"/>
    <cellStyle name="20% - Accent3 3" xfId="141" xr:uid="{00000000-0005-0000-0000-00007E000000}"/>
    <cellStyle name="20% - Accent3 3 2" xfId="1422" xr:uid="{00000000-0005-0000-0000-00007F000000}"/>
    <cellStyle name="20% - Accent3 3 3" xfId="1423" xr:uid="{00000000-0005-0000-0000-000080000000}"/>
    <cellStyle name="20% - Accent3 3_AGO Import" xfId="1695" xr:uid="{00000000-0005-0000-0000-000081000000}"/>
    <cellStyle name="20% - Accent3 4" xfId="142" xr:uid="{00000000-0005-0000-0000-000082000000}"/>
    <cellStyle name="20% - Accent4 2" xfId="143" xr:uid="{00000000-0005-0000-0000-000083000000}"/>
    <cellStyle name="20% - Accent4 2 2" xfId="144" xr:uid="{00000000-0005-0000-0000-000084000000}"/>
    <cellStyle name="20% - Accent4 3" xfId="145" xr:uid="{00000000-0005-0000-0000-000085000000}"/>
    <cellStyle name="20% - Accent4 3 2" xfId="1420" xr:uid="{00000000-0005-0000-0000-000086000000}"/>
    <cellStyle name="20% - Accent4 3 3" xfId="1421" xr:uid="{00000000-0005-0000-0000-000087000000}"/>
    <cellStyle name="20% - Accent4 3_AGO Import" xfId="1694" xr:uid="{00000000-0005-0000-0000-000088000000}"/>
    <cellStyle name="20% - Accent4 4" xfId="146" xr:uid="{00000000-0005-0000-0000-000089000000}"/>
    <cellStyle name="20% - Accent5 2" xfId="147" xr:uid="{00000000-0005-0000-0000-00008A000000}"/>
    <cellStyle name="20% - Accent5 2 2" xfId="148" xr:uid="{00000000-0005-0000-0000-00008B000000}"/>
    <cellStyle name="20% - Accent5 3" xfId="149" xr:uid="{00000000-0005-0000-0000-00008C000000}"/>
    <cellStyle name="20% - Accent5 3 2" xfId="1418" xr:uid="{00000000-0005-0000-0000-00008D000000}"/>
    <cellStyle name="20% - Accent5 3 3" xfId="1419" xr:uid="{00000000-0005-0000-0000-00008E000000}"/>
    <cellStyle name="20% - Accent5 3_AGO Import" xfId="1693" xr:uid="{00000000-0005-0000-0000-00008F000000}"/>
    <cellStyle name="20% - Accent5 4" xfId="150" xr:uid="{00000000-0005-0000-0000-000090000000}"/>
    <cellStyle name="20% - Accent6 2" xfId="151" xr:uid="{00000000-0005-0000-0000-000091000000}"/>
    <cellStyle name="20% - Accent6 2 2" xfId="152" xr:uid="{00000000-0005-0000-0000-000092000000}"/>
    <cellStyle name="20% - Accent6 3" xfId="153" xr:uid="{00000000-0005-0000-0000-000093000000}"/>
    <cellStyle name="20% - Accent6 3 2" xfId="1416" xr:uid="{00000000-0005-0000-0000-000094000000}"/>
    <cellStyle name="20% - Accent6 3 3" xfId="1417" xr:uid="{00000000-0005-0000-0000-000095000000}"/>
    <cellStyle name="20% - Accent6 3_AGO Import" xfId="1692" xr:uid="{00000000-0005-0000-0000-000096000000}"/>
    <cellStyle name="20% - Accent6 4" xfId="154" xr:uid="{00000000-0005-0000-0000-000097000000}"/>
    <cellStyle name="2decimal" xfId="155" xr:uid="{00000000-0005-0000-0000-000098000000}"/>
    <cellStyle name="40 % - Accent1" xfId="156" xr:uid="{00000000-0005-0000-0000-000099000000}"/>
    <cellStyle name="40 % - Accent1 2" xfId="157" xr:uid="{00000000-0005-0000-0000-00009A000000}"/>
    <cellStyle name="40 % - Accent2" xfId="158" xr:uid="{00000000-0005-0000-0000-00009B000000}"/>
    <cellStyle name="40 % - Accent2 2" xfId="159" xr:uid="{00000000-0005-0000-0000-00009C000000}"/>
    <cellStyle name="40 % - Accent3" xfId="160" xr:uid="{00000000-0005-0000-0000-00009D000000}"/>
    <cellStyle name="40 % - Accent3 2" xfId="161" xr:uid="{00000000-0005-0000-0000-00009E000000}"/>
    <cellStyle name="40 % - Accent4" xfId="162" xr:uid="{00000000-0005-0000-0000-00009F000000}"/>
    <cellStyle name="40 % - Accent4 2" xfId="163" xr:uid="{00000000-0005-0000-0000-0000A0000000}"/>
    <cellStyle name="40 % - Accent5" xfId="164" xr:uid="{00000000-0005-0000-0000-0000A1000000}"/>
    <cellStyle name="40 % - Accent5 2" xfId="165" xr:uid="{00000000-0005-0000-0000-0000A2000000}"/>
    <cellStyle name="40 % - Accent6" xfId="166" xr:uid="{00000000-0005-0000-0000-0000A3000000}"/>
    <cellStyle name="40 % - Accent6 2" xfId="167" xr:uid="{00000000-0005-0000-0000-0000A4000000}"/>
    <cellStyle name="40% - Accent1 2" xfId="168" xr:uid="{00000000-0005-0000-0000-0000A5000000}"/>
    <cellStyle name="40% - Accent1 2 2" xfId="169" xr:uid="{00000000-0005-0000-0000-0000A6000000}"/>
    <cellStyle name="40% - Accent1 3" xfId="170" xr:uid="{00000000-0005-0000-0000-0000A7000000}"/>
    <cellStyle name="40% - Accent1 3 2" xfId="1391" xr:uid="{00000000-0005-0000-0000-0000A8000000}"/>
    <cellStyle name="40% - Accent1 3 3" xfId="1414" xr:uid="{00000000-0005-0000-0000-0000A9000000}"/>
    <cellStyle name="40% - Accent1 3_AGO Import" xfId="1691" xr:uid="{00000000-0005-0000-0000-0000AA000000}"/>
    <cellStyle name="40% - Accent1 4" xfId="171" xr:uid="{00000000-0005-0000-0000-0000AB000000}"/>
    <cellStyle name="40% - Accent2 2" xfId="172" xr:uid="{00000000-0005-0000-0000-0000AC000000}"/>
    <cellStyle name="40% - Accent2 2 2" xfId="173" xr:uid="{00000000-0005-0000-0000-0000AD000000}"/>
    <cellStyle name="40% - Accent2 3" xfId="174" xr:uid="{00000000-0005-0000-0000-0000AE000000}"/>
    <cellStyle name="40% - Accent2 3 2" xfId="1311" xr:uid="{00000000-0005-0000-0000-0000AF000000}"/>
    <cellStyle name="40% - Accent2 3 3" xfId="1319" xr:uid="{00000000-0005-0000-0000-0000B0000000}"/>
    <cellStyle name="40% - Accent2 3_AGO Import" xfId="1690" xr:uid="{00000000-0005-0000-0000-0000B1000000}"/>
    <cellStyle name="40% - Accent2 4" xfId="175" xr:uid="{00000000-0005-0000-0000-0000B2000000}"/>
    <cellStyle name="40% - Accent3 2" xfId="176" xr:uid="{00000000-0005-0000-0000-0000B3000000}"/>
    <cellStyle name="40% - Accent3 2 2" xfId="177" xr:uid="{00000000-0005-0000-0000-0000B4000000}"/>
    <cellStyle name="40% - Accent3 3" xfId="178" xr:uid="{00000000-0005-0000-0000-0000B5000000}"/>
    <cellStyle name="40% - Accent3 3 2" xfId="1306" xr:uid="{00000000-0005-0000-0000-0000B6000000}"/>
    <cellStyle name="40% - Accent3 3 3" xfId="1309" xr:uid="{00000000-0005-0000-0000-0000B7000000}"/>
    <cellStyle name="40% - Accent3 3_AGO Import" xfId="1689" xr:uid="{00000000-0005-0000-0000-0000B8000000}"/>
    <cellStyle name="40% - Accent3 4" xfId="179" xr:uid="{00000000-0005-0000-0000-0000B9000000}"/>
    <cellStyle name="40% - Accent4 2" xfId="180" xr:uid="{00000000-0005-0000-0000-0000BA000000}"/>
    <cellStyle name="40% - Accent4 2 2" xfId="181" xr:uid="{00000000-0005-0000-0000-0000BB000000}"/>
    <cellStyle name="40% - Accent4 3" xfId="182" xr:uid="{00000000-0005-0000-0000-0000BC000000}"/>
    <cellStyle name="40% - Accent4 3 2" xfId="1304" xr:uid="{00000000-0005-0000-0000-0000BD000000}"/>
    <cellStyle name="40% - Accent4 3 3" xfId="1097" xr:uid="{00000000-0005-0000-0000-0000BE000000}"/>
    <cellStyle name="40% - Accent4 3_AGO Import" xfId="1688" xr:uid="{00000000-0005-0000-0000-0000BF000000}"/>
    <cellStyle name="40% - Accent4 4" xfId="183" xr:uid="{00000000-0005-0000-0000-0000C0000000}"/>
    <cellStyle name="40% - Accent5 2" xfId="184" xr:uid="{00000000-0005-0000-0000-0000C1000000}"/>
    <cellStyle name="40% - Accent5 2 2" xfId="185" xr:uid="{00000000-0005-0000-0000-0000C2000000}"/>
    <cellStyle name="40% - Accent5 3" xfId="186" xr:uid="{00000000-0005-0000-0000-0000C3000000}"/>
    <cellStyle name="40% - Accent5 3 2" xfId="1302" xr:uid="{00000000-0005-0000-0000-0000C4000000}"/>
    <cellStyle name="40% - Accent5 3 3" xfId="1303" xr:uid="{00000000-0005-0000-0000-0000C5000000}"/>
    <cellStyle name="40% - Accent5 3_AGO Import" xfId="1687" xr:uid="{00000000-0005-0000-0000-0000C6000000}"/>
    <cellStyle name="40% - Accent5 4" xfId="187" xr:uid="{00000000-0005-0000-0000-0000C7000000}"/>
    <cellStyle name="40% - Accent6 2" xfId="188" xr:uid="{00000000-0005-0000-0000-0000C8000000}"/>
    <cellStyle name="40% - Accent6 2 2" xfId="189" xr:uid="{00000000-0005-0000-0000-0000C9000000}"/>
    <cellStyle name="40% - Accent6 3" xfId="190" xr:uid="{00000000-0005-0000-0000-0000CA000000}"/>
    <cellStyle name="40% - Accent6 3 2" xfId="1296" xr:uid="{00000000-0005-0000-0000-0000CB000000}"/>
    <cellStyle name="40% - Accent6 3 3" xfId="1297" xr:uid="{00000000-0005-0000-0000-0000CC000000}"/>
    <cellStyle name="40% - Accent6 3_AGO Import" xfId="1686" xr:uid="{00000000-0005-0000-0000-0000CD000000}"/>
    <cellStyle name="40% - Accent6 4" xfId="191" xr:uid="{00000000-0005-0000-0000-0000CE000000}"/>
    <cellStyle name="60 % - Accent1" xfId="192" xr:uid="{00000000-0005-0000-0000-0000CF000000}"/>
    <cellStyle name="60 % - Accent2" xfId="193" xr:uid="{00000000-0005-0000-0000-0000D0000000}"/>
    <cellStyle name="60 % - Accent3" xfId="194" xr:uid="{00000000-0005-0000-0000-0000D1000000}"/>
    <cellStyle name="60 % - Accent4" xfId="195" xr:uid="{00000000-0005-0000-0000-0000D2000000}"/>
    <cellStyle name="60 % - Accent5" xfId="196" xr:uid="{00000000-0005-0000-0000-0000D3000000}"/>
    <cellStyle name="60 % - Accent6" xfId="197" xr:uid="{00000000-0005-0000-0000-0000D4000000}"/>
    <cellStyle name="60% - Accent1 2" xfId="198" xr:uid="{00000000-0005-0000-0000-0000D5000000}"/>
    <cellStyle name="60% - Accent2 2" xfId="199" xr:uid="{00000000-0005-0000-0000-0000D6000000}"/>
    <cellStyle name="60% - Accent3 2" xfId="200" xr:uid="{00000000-0005-0000-0000-0000D7000000}"/>
    <cellStyle name="60% - Accent4 2" xfId="201" xr:uid="{00000000-0005-0000-0000-0000D8000000}"/>
    <cellStyle name="60% - Accent5 2" xfId="202" xr:uid="{00000000-0005-0000-0000-0000D9000000}"/>
    <cellStyle name="60% - Accent6 2" xfId="203" xr:uid="{00000000-0005-0000-0000-0000DA000000}"/>
    <cellStyle name="Accent1 - 20%" xfId="204" xr:uid="{00000000-0005-0000-0000-0000DB000000}"/>
    <cellStyle name="Accent1 - 20% 2" xfId="205" xr:uid="{00000000-0005-0000-0000-0000DC000000}"/>
    <cellStyle name="Accent1 - 40%" xfId="206" xr:uid="{00000000-0005-0000-0000-0000DD000000}"/>
    <cellStyle name="Accent1 - 40% 2" xfId="207" xr:uid="{00000000-0005-0000-0000-0000DE000000}"/>
    <cellStyle name="Accent1 - 60%" xfId="208" xr:uid="{00000000-0005-0000-0000-0000DF000000}"/>
    <cellStyle name="Accent1 2" xfId="209" xr:uid="{00000000-0005-0000-0000-0000E0000000}"/>
    <cellStyle name="Accent1 3" xfId="210" xr:uid="{00000000-0005-0000-0000-0000E1000000}"/>
    <cellStyle name="Accent1 4" xfId="211" xr:uid="{00000000-0005-0000-0000-0000E2000000}"/>
    <cellStyle name="Accent1 5" xfId="212" xr:uid="{00000000-0005-0000-0000-0000E3000000}"/>
    <cellStyle name="Accent2 - 20%" xfId="213" xr:uid="{00000000-0005-0000-0000-0000E4000000}"/>
    <cellStyle name="Accent2 - 20% 2" xfId="214" xr:uid="{00000000-0005-0000-0000-0000E5000000}"/>
    <cellStyle name="Accent2 - 40%" xfId="215" xr:uid="{00000000-0005-0000-0000-0000E6000000}"/>
    <cellStyle name="Accent2 - 40% 2" xfId="216" xr:uid="{00000000-0005-0000-0000-0000E7000000}"/>
    <cellStyle name="Accent2 - 60%" xfId="217" xr:uid="{00000000-0005-0000-0000-0000E8000000}"/>
    <cellStyle name="Accent2 2" xfId="218" xr:uid="{00000000-0005-0000-0000-0000E9000000}"/>
    <cellStyle name="Accent2 3" xfId="219" xr:uid="{00000000-0005-0000-0000-0000EA000000}"/>
    <cellStyle name="Accent2 4" xfId="220" xr:uid="{00000000-0005-0000-0000-0000EB000000}"/>
    <cellStyle name="Accent2 5" xfId="221" xr:uid="{00000000-0005-0000-0000-0000EC000000}"/>
    <cellStyle name="Accent3 - 20%" xfId="222" xr:uid="{00000000-0005-0000-0000-0000ED000000}"/>
    <cellStyle name="Accent3 - 20% 2" xfId="223" xr:uid="{00000000-0005-0000-0000-0000EE000000}"/>
    <cellStyle name="Accent3 - 40%" xfId="224" xr:uid="{00000000-0005-0000-0000-0000EF000000}"/>
    <cellStyle name="Accent3 - 40% 2" xfId="225" xr:uid="{00000000-0005-0000-0000-0000F0000000}"/>
    <cellStyle name="Accent3 - 60%" xfId="226" xr:uid="{00000000-0005-0000-0000-0000F1000000}"/>
    <cellStyle name="Accent3 2" xfId="227" xr:uid="{00000000-0005-0000-0000-0000F2000000}"/>
    <cellStyle name="Accent3 3" xfId="228" xr:uid="{00000000-0005-0000-0000-0000F3000000}"/>
    <cellStyle name="Accent3 4" xfId="229" xr:uid="{00000000-0005-0000-0000-0000F4000000}"/>
    <cellStyle name="Accent3 5" xfId="230" xr:uid="{00000000-0005-0000-0000-0000F5000000}"/>
    <cellStyle name="Accent4 - 20%" xfId="231" xr:uid="{00000000-0005-0000-0000-0000F6000000}"/>
    <cellStyle name="Accent4 - 20% 2" xfId="232" xr:uid="{00000000-0005-0000-0000-0000F7000000}"/>
    <cellStyle name="Accent4 - 40%" xfId="233" xr:uid="{00000000-0005-0000-0000-0000F8000000}"/>
    <cellStyle name="Accent4 - 40% 2" xfId="234" xr:uid="{00000000-0005-0000-0000-0000F9000000}"/>
    <cellStyle name="Accent4 - 60%" xfId="235" xr:uid="{00000000-0005-0000-0000-0000FA000000}"/>
    <cellStyle name="Accent4 2" xfId="236" xr:uid="{00000000-0005-0000-0000-0000FB000000}"/>
    <cellStyle name="Accent4 3" xfId="237" xr:uid="{00000000-0005-0000-0000-0000FC000000}"/>
    <cellStyle name="Accent4 4" xfId="238" xr:uid="{00000000-0005-0000-0000-0000FD000000}"/>
    <cellStyle name="Accent4 5" xfId="239" xr:uid="{00000000-0005-0000-0000-0000FE000000}"/>
    <cellStyle name="Accent5 - 20%" xfId="240" xr:uid="{00000000-0005-0000-0000-0000FF000000}"/>
    <cellStyle name="Accent5 - 20% 2" xfId="241" xr:uid="{00000000-0005-0000-0000-000000010000}"/>
    <cellStyle name="Accent5 - 40%" xfId="242" xr:uid="{00000000-0005-0000-0000-000001010000}"/>
    <cellStyle name="Accent5 - 40% 2" xfId="243" xr:uid="{00000000-0005-0000-0000-000002010000}"/>
    <cellStyle name="Accent5 - 60%" xfId="244" xr:uid="{00000000-0005-0000-0000-000003010000}"/>
    <cellStyle name="Accent5 2" xfId="245" xr:uid="{00000000-0005-0000-0000-000004010000}"/>
    <cellStyle name="Accent5 3" xfId="246" xr:uid="{00000000-0005-0000-0000-000005010000}"/>
    <cellStyle name="Accent5 4" xfId="247" xr:uid="{00000000-0005-0000-0000-000006010000}"/>
    <cellStyle name="Accent5 5" xfId="248" xr:uid="{00000000-0005-0000-0000-000007010000}"/>
    <cellStyle name="Accent6 - 20%" xfId="249" xr:uid="{00000000-0005-0000-0000-000008010000}"/>
    <cellStyle name="Accent6 - 20% 2" xfId="250" xr:uid="{00000000-0005-0000-0000-000009010000}"/>
    <cellStyle name="Accent6 - 40%" xfId="251" xr:uid="{00000000-0005-0000-0000-00000A010000}"/>
    <cellStyle name="Accent6 - 40% 2" xfId="252" xr:uid="{00000000-0005-0000-0000-00000B010000}"/>
    <cellStyle name="Accent6 - 60%" xfId="253" xr:uid="{00000000-0005-0000-0000-00000C010000}"/>
    <cellStyle name="Accent6 2" xfId="254" xr:uid="{00000000-0005-0000-0000-00000D010000}"/>
    <cellStyle name="Accent6 3" xfId="255" xr:uid="{00000000-0005-0000-0000-00000E010000}"/>
    <cellStyle name="Accent6 4" xfId="256" xr:uid="{00000000-0005-0000-0000-00000F010000}"/>
    <cellStyle name="Accent6 5" xfId="257" xr:uid="{00000000-0005-0000-0000-000010010000}"/>
    <cellStyle name="Adjustable" xfId="258" xr:uid="{00000000-0005-0000-0000-000011010000}"/>
    <cellStyle name="Avertissement" xfId="259" xr:uid="{00000000-0005-0000-0000-000012010000}"/>
    <cellStyle name="Bad 2" xfId="260" xr:uid="{00000000-0005-0000-0000-000013010000}"/>
    <cellStyle name="BB" xfId="261" xr:uid="{00000000-0005-0000-0000-000014010000}"/>
    <cellStyle name="BB 2" xfId="262" xr:uid="{00000000-0005-0000-0000-000015010000}"/>
    <cellStyle name="BlueBackground" xfId="263" xr:uid="{00000000-0005-0000-0000-000016010000}"/>
    <cellStyle name="Body" xfId="264" xr:uid="{00000000-0005-0000-0000-000017010000}"/>
    <cellStyle name="Body 2" xfId="265" xr:uid="{00000000-0005-0000-0000-000018010000}"/>
    <cellStyle name="Border" xfId="266" xr:uid="{00000000-0005-0000-0000-000019010000}"/>
    <cellStyle name="Border 2" xfId="267" xr:uid="{00000000-0005-0000-0000-00001A010000}"/>
    <cellStyle name="Border 2 2" xfId="268" xr:uid="{00000000-0005-0000-0000-00001B010000}"/>
    <cellStyle name="Border 2 2 2" xfId="1833" xr:uid="{00000000-0005-0000-0000-00001C010000}"/>
    <cellStyle name="Border 2 2 2 2" xfId="2558" xr:uid="{00000000-0005-0000-0000-00001D010000}"/>
    <cellStyle name="Border 2 3" xfId="1832" xr:uid="{00000000-0005-0000-0000-00001E010000}"/>
    <cellStyle name="Border 2 3 2" xfId="2557" xr:uid="{00000000-0005-0000-0000-00001F010000}"/>
    <cellStyle name="Border 3" xfId="269" xr:uid="{00000000-0005-0000-0000-000020010000}"/>
    <cellStyle name="Border 3 2" xfId="1834" xr:uid="{00000000-0005-0000-0000-000021010000}"/>
    <cellStyle name="Border 3 2 2" xfId="2559" xr:uid="{00000000-0005-0000-0000-000022010000}"/>
    <cellStyle name="Border 4" xfId="1831" xr:uid="{00000000-0005-0000-0000-000023010000}"/>
    <cellStyle name="Border 4 2" xfId="2556" xr:uid="{00000000-0005-0000-0000-000024010000}"/>
    <cellStyle name="Calc Currency (0)" xfId="270" xr:uid="{00000000-0005-0000-0000-000025010000}"/>
    <cellStyle name="Calc Currency (0) 2" xfId="271" xr:uid="{00000000-0005-0000-0000-000026010000}"/>
    <cellStyle name="Calc Currency (0) 3" xfId="1123" xr:uid="{00000000-0005-0000-0000-000027010000}"/>
    <cellStyle name="Calc Currency (0) 4" xfId="1122" xr:uid="{00000000-0005-0000-0000-000028010000}"/>
    <cellStyle name="Calc Currency (0)_AGO Import" xfId="1685" xr:uid="{00000000-0005-0000-0000-000029010000}"/>
    <cellStyle name="Calc Currency (2)" xfId="272" xr:uid="{00000000-0005-0000-0000-00002A010000}"/>
    <cellStyle name="Calc Currency (2) 2" xfId="273" xr:uid="{00000000-0005-0000-0000-00002B010000}"/>
    <cellStyle name="Calc Percent (0)" xfId="274" xr:uid="{00000000-0005-0000-0000-00002C010000}"/>
    <cellStyle name="Calc Percent (0) 2" xfId="275" xr:uid="{00000000-0005-0000-0000-00002D010000}"/>
    <cellStyle name="Calc Percent (1)" xfId="276" xr:uid="{00000000-0005-0000-0000-00002E010000}"/>
    <cellStyle name="Calc Percent (1) 2" xfId="277" xr:uid="{00000000-0005-0000-0000-00002F010000}"/>
    <cellStyle name="Calc Percent (2)" xfId="278" xr:uid="{00000000-0005-0000-0000-000030010000}"/>
    <cellStyle name="Calc Units (0)" xfId="279" xr:uid="{00000000-0005-0000-0000-000031010000}"/>
    <cellStyle name="Calc Units (0) 2" xfId="280" xr:uid="{00000000-0005-0000-0000-000032010000}"/>
    <cellStyle name="Calc Units (0) 3" xfId="1835" xr:uid="{00000000-0005-0000-0000-000033010000}"/>
    <cellStyle name="Calc Units (0) 3 2" xfId="2560" xr:uid="{00000000-0005-0000-0000-000034010000}"/>
    <cellStyle name="Calc Units (1)" xfId="281" xr:uid="{00000000-0005-0000-0000-000035010000}"/>
    <cellStyle name="Calc Units (1) 2" xfId="282" xr:uid="{00000000-0005-0000-0000-000036010000}"/>
    <cellStyle name="Calc Units (2)" xfId="283" xr:uid="{00000000-0005-0000-0000-000037010000}"/>
    <cellStyle name="Calc Units (2) 2" xfId="284" xr:uid="{00000000-0005-0000-0000-000038010000}"/>
    <cellStyle name="Calcul" xfId="285" xr:uid="{00000000-0005-0000-0000-000039010000}"/>
    <cellStyle name="Calculation 2" xfId="286" xr:uid="{00000000-0005-0000-0000-00003A010000}"/>
    <cellStyle name="Calculation 2 2" xfId="287" xr:uid="{00000000-0005-0000-0000-00003B010000}"/>
    <cellStyle name="Cellule liée" xfId="288" xr:uid="{00000000-0005-0000-0000-00003C010000}"/>
    <cellStyle name="Check Cell 2" xfId="289" xr:uid="{00000000-0005-0000-0000-00003D010000}"/>
    <cellStyle name="Comma" xfId="1" builtinId="3"/>
    <cellStyle name="Comma  - Style1" xfId="290" xr:uid="{00000000-0005-0000-0000-00003F010000}"/>
    <cellStyle name="Comma  - Style1 2" xfId="291" xr:uid="{00000000-0005-0000-0000-000040010000}"/>
    <cellStyle name="Comma  - Style1 3" xfId="292" xr:uid="{00000000-0005-0000-0000-000041010000}"/>
    <cellStyle name="Comma  - Style2" xfId="293" xr:uid="{00000000-0005-0000-0000-000042010000}"/>
    <cellStyle name="Comma  - Style2 2" xfId="294" xr:uid="{00000000-0005-0000-0000-000043010000}"/>
    <cellStyle name="Comma  - Style2 3" xfId="295" xr:uid="{00000000-0005-0000-0000-000044010000}"/>
    <cellStyle name="Comma  - Style3" xfId="296" xr:uid="{00000000-0005-0000-0000-000045010000}"/>
    <cellStyle name="Comma  - Style3 2" xfId="297" xr:uid="{00000000-0005-0000-0000-000046010000}"/>
    <cellStyle name="Comma  - Style3 3" xfId="298" xr:uid="{00000000-0005-0000-0000-000047010000}"/>
    <cellStyle name="Comma  - Style4" xfId="299" xr:uid="{00000000-0005-0000-0000-000048010000}"/>
    <cellStyle name="Comma  - Style4 2" xfId="300" xr:uid="{00000000-0005-0000-0000-000049010000}"/>
    <cellStyle name="Comma  - Style4 3" xfId="301" xr:uid="{00000000-0005-0000-0000-00004A010000}"/>
    <cellStyle name="Comma  - Style5" xfId="302" xr:uid="{00000000-0005-0000-0000-00004B010000}"/>
    <cellStyle name="Comma  - Style5 2" xfId="303" xr:uid="{00000000-0005-0000-0000-00004C010000}"/>
    <cellStyle name="Comma  - Style5 3" xfId="304" xr:uid="{00000000-0005-0000-0000-00004D010000}"/>
    <cellStyle name="Comma  - Style6" xfId="305" xr:uid="{00000000-0005-0000-0000-00004E010000}"/>
    <cellStyle name="Comma  - Style6 2" xfId="306" xr:uid="{00000000-0005-0000-0000-00004F010000}"/>
    <cellStyle name="Comma  - Style6 3" xfId="307" xr:uid="{00000000-0005-0000-0000-000050010000}"/>
    <cellStyle name="Comma  - Style7" xfId="308" xr:uid="{00000000-0005-0000-0000-000051010000}"/>
    <cellStyle name="Comma  - Style7 2" xfId="309" xr:uid="{00000000-0005-0000-0000-000052010000}"/>
    <cellStyle name="Comma  - Style7 3" xfId="310" xr:uid="{00000000-0005-0000-0000-000053010000}"/>
    <cellStyle name="Comma  - Style8" xfId="311" xr:uid="{00000000-0005-0000-0000-000054010000}"/>
    <cellStyle name="Comma  - Style8 2" xfId="312" xr:uid="{00000000-0005-0000-0000-000055010000}"/>
    <cellStyle name="Comma  - Style8 3" xfId="313" xr:uid="{00000000-0005-0000-0000-000056010000}"/>
    <cellStyle name="Comma [00]" xfId="314" xr:uid="{00000000-0005-0000-0000-000057010000}"/>
    <cellStyle name="Comma [00] 2" xfId="315" xr:uid="{00000000-0005-0000-0000-000058010000}"/>
    <cellStyle name="Comma [00] 3" xfId="1836" xr:uid="{00000000-0005-0000-0000-000059010000}"/>
    <cellStyle name="Comma [00] 3 2" xfId="2561" xr:uid="{00000000-0005-0000-0000-00005A010000}"/>
    <cellStyle name="Comma 10" xfId="316" xr:uid="{00000000-0005-0000-0000-00005B010000}"/>
    <cellStyle name="Comma 10 2" xfId="317" xr:uid="{00000000-0005-0000-0000-00005C010000}"/>
    <cellStyle name="Comma 10 2 2" xfId="1134" xr:uid="{00000000-0005-0000-0000-00005D010000}"/>
    <cellStyle name="Comma 10 2 2 2" xfId="1135" xr:uid="{00000000-0005-0000-0000-00005E010000}"/>
    <cellStyle name="Comma 10 2 2 2 2" xfId="1136" xr:uid="{00000000-0005-0000-0000-00005F010000}"/>
    <cellStyle name="Comma 10 2 2 2 2 2" xfId="1137" xr:uid="{00000000-0005-0000-0000-000060010000}"/>
    <cellStyle name="Comma 10 2 2 2 2 2 2" xfId="1795" xr:uid="{00000000-0005-0000-0000-000061010000}"/>
    <cellStyle name="Comma 10 2 2 2 2 2 2 2" xfId="2226" xr:uid="{00000000-0005-0000-0000-000062010000}"/>
    <cellStyle name="Comma 10 2 2 2 2 2 2 2 2" xfId="2950" xr:uid="{00000000-0005-0000-0000-000063010000}"/>
    <cellStyle name="Comma 10 2 2 2 2 2 2 3" xfId="2525" xr:uid="{00000000-0005-0000-0000-000064010000}"/>
    <cellStyle name="Comma 10 2 2 2 2 2 3" xfId="1985" xr:uid="{00000000-0005-0000-0000-000065010000}"/>
    <cellStyle name="Comma 10 2 2 2 2 2 3 2" xfId="2710" xr:uid="{00000000-0005-0000-0000-000066010000}"/>
    <cellStyle name="Comma 10 2 2 2 2 2 4" xfId="2316" xr:uid="{00000000-0005-0000-0000-000067010000}"/>
    <cellStyle name="Comma 10 2 2 2 2 3" xfId="1984" xr:uid="{00000000-0005-0000-0000-000068010000}"/>
    <cellStyle name="Comma 10 2 2 2 2 3 2" xfId="2709" xr:uid="{00000000-0005-0000-0000-000069010000}"/>
    <cellStyle name="Comma 10 2 2 2 2 4" xfId="2315" xr:uid="{00000000-0005-0000-0000-00006A010000}"/>
    <cellStyle name="Comma 10 2 2 2 2_PMS Import" xfId="1633" xr:uid="{00000000-0005-0000-0000-00006B010000}"/>
    <cellStyle name="Comma 10 2 2 2 3" xfId="1138" xr:uid="{00000000-0005-0000-0000-00006C010000}"/>
    <cellStyle name="Comma 10 2 2 2 3 2" xfId="1770" xr:uid="{00000000-0005-0000-0000-00006D010000}"/>
    <cellStyle name="Comma 10 2 2 2 3 2 2" xfId="2201" xr:uid="{00000000-0005-0000-0000-00006E010000}"/>
    <cellStyle name="Comma 10 2 2 2 3 2 2 2" xfId="2925" xr:uid="{00000000-0005-0000-0000-00006F010000}"/>
    <cellStyle name="Comma 10 2 2 2 3 2 3" xfId="2500" xr:uid="{00000000-0005-0000-0000-000070010000}"/>
    <cellStyle name="Comma 10 2 2 2 3 3" xfId="1986" xr:uid="{00000000-0005-0000-0000-000071010000}"/>
    <cellStyle name="Comma 10 2 2 2 3 3 2" xfId="2711" xr:uid="{00000000-0005-0000-0000-000072010000}"/>
    <cellStyle name="Comma 10 2 2 2 3 4" xfId="2317" xr:uid="{00000000-0005-0000-0000-000073010000}"/>
    <cellStyle name="Comma 10 2 2 2 4" xfId="1983" xr:uid="{00000000-0005-0000-0000-000074010000}"/>
    <cellStyle name="Comma 10 2 2 2 4 2" xfId="2708" xr:uid="{00000000-0005-0000-0000-000075010000}"/>
    <cellStyle name="Comma 10 2 2 2 5" xfId="2314" xr:uid="{00000000-0005-0000-0000-000076010000}"/>
    <cellStyle name="Comma 10 2 2 2_PMS Import" xfId="1634" xr:uid="{00000000-0005-0000-0000-000077010000}"/>
    <cellStyle name="Comma 10 2 2 3" xfId="1139" xr:uid="{00000000-0005-0000-0000-000078010000}"/>
    <cellStyle name="Comma 10 2 2 3 2" xfId="1140" xr:uid="{00000000-0005-0000-0000-000079010000}"/>
    <cellStyle name="Comma 10 2 2 3 2 2" xfId="1796" xr:uid="{00000000-0005-0000-0000-00007A010000}"/>
    <cellStyle name="Comma 10 2 2 3 2 2 2" xfId="2227" xr:uid="{00000000-0005-0000-0000-00007B010000}"/>
    <cellStyle name="Comma 10 2 2 3 2 2 2 2" xfId="2951" xr:uid="{00000000-0005-0000-0000-00007C010000}"/>
    <cellStyle name="Comma 10 2 2 3 2 2 3" xfId="2526" xr:uid="{00000000-0005-0000-0000-00007D010000}"/>
    <cellStyle name="Comma 10 2 2 3 2 3" xfId="1988" xr:uid="{00000000-0005-0000-0000-00007E010000}"/>
    <cellStyle name="Comma 10 2 2 3 2 3 2" xfId="2713" xr:uid="{00000000-0005-0000-0000-00007F010000}"/>
    <cellStyle name="Comma 10 2 2 3 2 4" xfId="2319" xr:uid="{00000000-0005-0000-0000-000080010000}"/>
    <cellStyle name="Comma 10 2 2 3 3" xfId="1987" xr:uid="{00000000-0005-0000-0000-000081010000}"/>
    <cellStyle name="Comma 10 2 2 3 3 2" xfId="2712" xr:uid="{00000000-0005-0000-0000-000082010000}"/>
    <cellStyle name="Comma 10 2 2 3 4" xfId="2318" xr:uid="{00000000-0005-0000-0000-000083010000}"/>
    <cellStyle name="Comma 10 2 2 3_PMS Import" xfId="1632" xr:uid="{00000000-0005-0000-0000-000084010000}"/>
    <cellStyle name="Comma 10 2 2 4" xfId="1141" xr:uid="{00000000-0005-0000-0000-000085010000}"/>
    <cellStyle name="Comma 10 2 2 4 2" xfId="1769" xr:uid="{00000000-0005-0000-0000-000086010000}"/>
    <cellStyle name="Comma 10 2 2 4 2 2" xfId="2200" xr:uid="{00000000-0005-0000-0000-000087010000}"/>
    <cellStyle name="Comma 10 2 2 4 2 2 2" xfId="2924" xr:uid="{00000000-0005-0000-0000-000088010000}"/>
    <cellStyle name="Comma 10 2 2 4 2 3" xfId="2499" xr:uid="{00000000-0005-0000-0000-000089010000}"/>
    <cellStyle name="Comma 10 2 2 4 3" xfId="1989" xr:uid="{00000000-0005-0000-0000-00008A010000}"/>
    <cellStyle name="Comma 10 2 2 4 3 2" xfId="2714" xr:uid="{00000000-0005-0000-0000-00008B010000}"/>
    <cellStyle name="Comma 10 2 2 4 4" xfId="2320" xr:uid="{00000000-0005-0000-0000-00008C010000}"/>
    <cellStyle name="Comma 10 2 2 5" xfId="1982" xr:uid="{00000000-0005-0000-0000-00008D010000}"/>
    <cellStyle name="Comma 10 2 2 5 2" xfId="2707" xr:uid="{00000000-0005-0000-0000-00008E010000}"/>
    <cellStyle name="Comma 10 2 2 6" xfId="2313" xr:uid="{00000000-0005-0000-0000-00008F010000}"/>
    <cellStyle name="Comma 10 2 2_PMS Import" xfId="1635" xr:uid="{00000000-0005-0000-0000-000090010000}"/>
    <cellStyle name="Comma 10 2 3" xfId="1142" xr:uid="{00000000-0005-0000-0000-000091010000}"/>
    <cellStyle name="Comma 10 2 3 2" xfId="1143" xr:uid="{00000000-0005-0000-0000-000092010000}"/>
    <cellStyle name="Comma 10 2 3 2 2" xfId="1144" xr:uid="{00000000-0005-0000-0000-000093010000}"/>
    <cellStyle name="Comma 10 2 3 2 2 2" xfId="1797" xr:uid="{00000000-0005-0000-0000-000094010000}"/>
    <cellStyle name="Comma 10 2 3 2 2 2 2" xfId="2228" xr:uid="{00000000-0005-0000-0000-000095010000}"/>
    <cellStyle name="Comma 10 2 3 2 2 2 2 2" xfId="2952" xr:uid="{00000000-0005-0000-0000-000096010000}"/>
    <cellStyle name="Comma 10 2 3 2 2 2 3" xfId="2527" xr:uid="{00000000-0005-0000-0000-000097010000}"/>
    <cellStyle name="Comma 10 2 3 2 2 3" xfId="1992" xr:uid="{00000000-0005-0000-0000-000098010000}"/>
    <cellStyle name="Comma 10 2 3 2 2 3 2" xfId="2717" xr:uid="{00000000-0005-0000-0000-000099010000}"/>
    <cellStyle name="Comma 10 2 3 2 2 4" xfId="2323" xr:uid="{00000000-0005-0000-0000-00009A010000}"/>
    <cellStyle name="Comma 10 2 3 2 3" xfId="1991" xr:uid="{00000000-0005-0000-0000-00009B010000}"/>
    <cellStyle name="Comma 10 2 3 2 3 2" xfId="2716" xr:uid="{00000000-0005-0000-0000-00009C010000}"/>
    <cellStyle name="Comma 10 2 3 2 4" xfId="2322" xr:uid="{00000000-0005-0000-0000-00009D010000}"/>
    <cellStyle name="Comma 10 2 3 2_PMS Import" xfId="1630" xr:uid="{00000000-0005-0000-0000-00009E010000}"/>
    <cellStyle name="Comma 10 2 3 3" xfId="1145" xr:uid="{00000000-0005-0000-0000-00009F010000}"/>
    <cellStyle name="Comma 10 2 3 3 2" xfId="1771" xr:uid="{00000000-0005-0000-0000-0000A0010000}"/>
    <cellStyle name="Comma 10 2 3 3 2 2" xfId="2202" xr:uid="{00000000-0005-0000-0000-0000A1010000}"/>
    <cellStyle name="Comma 10 2 3 3 2 2 2" xfId="2926" xr:uid="{00000000-0005-0000-0000-0000A2010000}"/>
    <cellStyle name="Comma 10 2 3 3 2 3" xfId="2501" xr:uid="{00000000-0005-0000-0000-0000A3010000}"/>
    <cellStyle name="Comma 10 2 3 3 3" xfId="1993" xr:uid="{00000000-0005-0000-0000-0000A4010000}"/>
    <cellStyle name="Comma 10 2 3 3 3 2" xfId="2718" xr:uid="{00000000-0005-0000-0000-0000A5010000}"/>
    <cellStyle name="Comma 10 2 3 3 4" xfId="2324" xr:uid="{00000000-0005-0000-0000-0000A6010000}"/>
    <cellStyle name="Comma 10 2 3 4" xfId="1990" xr:uid="{00000000-0005-0000-0000-0000A7010000}"/>
    <cellStyle name="Comma 10 2 3 4 2" xfId="2715" xr:uid="{00000000-0005-0000-0000-0000A8010000}"/>
    <cellStyle name="Comma 10 2 3 5" xfId="2321" xr:uid="{00000000-0005-0000-0000-0000A9010000}"/>
    <cellStyle name="Comma 10 2 3_PMS Import" xfId="1631" xr:uid="{00000000-0005-0000-0000-0000AA010000}"/>
    <cellStyle name="Comma 10 2 4" xfId="1146" xr:uid="{00000000-0005-0000-0000-0000AB010000}"/>
    <cellStyle name="Comma 10 2 4 2" xfId="1147" xr:uid="{00000000-0005-0000-0000-0000AC010000}"/>
    <cellStyle name="Comma 10 2 4 2 2" xfId="1798" xr:uid="{00000000-0005-0000-0000-0000AD010000}"/>
    <cellStyle name="Comma 10 2 4 2 2 2" xfId="2229" xr:uid="{00000000-0005-0000-0000-0000AE010000}"/>
    <cellStyle name="Comma 10 2 4 2 2 2 2" xfId="2953" xr:uid="{00000000-0005-0000-0000-0000AF010000}"/>
    <cellStyle name="Comma 10 2 4 2 2 3" xfId="2528" xr:uid="{00000000-0005-0000-0000-0000B0010000}"/>
    <cellStyle name="Comma 10 2 4 2 3" xfId="1995" xr:uid="{00000000-0005-0000-0000-0000B1010000}"/>
    <cellStyle name="Comma 10 2 4 2 3 2" xfId="2720" xr:uid="{00000000-0005-0000-0000-0000B2010000}"/>
    <cellStyle name="Comma 10 2 4 2 4" xfId="2326" xr:uid="{00000000-0005-0000-0000-0000B3010000}"/>
    <cellStyle name="Comma 10 2 4 3" xfId="1994" xr:uid="{00000000-0005-0000-0000-0000B4010000}"/>
    <cellStyle name="Comma 10 2 4 3 2" xfId="2719" xr:uid="{00000000-0005-0000-0000-0000B5010000}"/>
    <cellStyle name="Comma 10 2 4 4" xfId="2325" xr:uid="{00000000-0005-0000-0000-0000B6010000}"/>
    <cellStyle name="Comma 10 2 4_PMS Import" xfId="1629" xr:uid="{00000000-0005-0000-0000-0000B7010000}"/>
    <cellStyle name="Comma 10 2 5" xfId="1148" xr:uid="{00000000-0005-0000-0000-0000B8010000}"/>
    <cellStyle name="Comma 10 2 5 2" xfId="1768" xr:uid="{00000000-0005-0000-0000-0000B9010000}"/>
    <cellStyle name="Comma 10 2 5 2 2" xfId="2199" xr:uid="{00000000-0005-0000-0000-0000BA010000}"/>
    <cellStyle name="Comma 10 2 5 2 2 2" xfId="2923" xr:uid="{00000000-0005-0000-0000-0000BB010000}"/>
    <cellStyle name="Comma 10 2 5 2 3" xfId="2498" xr:uid="{00000000-0005-0000-0000-0000BC010000}"/>
    <cellStyle name="Comma 10 2 5 3" xfId="1996" xr:uid="{00000000-0005-0000-0000-0000BD010000}"/>
    <cellStyle name="Comma 10 2 5 3 2" xfId="2721" xr:uid="{00000000-0005-0000-0000-0000BE010000}"/>
    <cellStyle name="Comma 10 2 5 4" xfId="2327" xr:uid="{00000000-0005-0000-0000-0000BF010000}"/>
    <cellStyle name="Comma 10 2 6" xfId="1133" xr:uid="{00000000-0005-0000-0000-0000C0010000}"/>
    <cellStyle name="Comma 10 2 6 2" xfId="1981" xr:uid="{00000000-0005-0000-0000-0000C1010000}"/>
    <cellStyle name="Comma 10 2 6 2 2" xfId="2706" xr:uid="{00000000-0005-0000-0000-0000C2010000}"/>
    <cellStyle name="Comma 10 2 6 3" xfId="2312" xr:uid="{00000000-0005-0000-0000-0000C3010000}"/>
    <cellStyle name="Comma 10 2 7" xfId="1837" xr:uid="{00000000-0005-0000-0000-0000C4010000}"/>
    <cellStyle name="Comma 10 2 7 2" xfId="2562" xr:uid="{00000000-0005-0000-0000-0000C5010000}"/>
    <cellStyle name="Comma 10 2 8" xfId="2262" xr:uid="{00000000-0005-0000-0000-0000C6010000}"/>
    <cellStyle name="Comma 10 3" xfId="318" xr:uid="{00000000-0005-0000-0000-0000C7010000}"/>
    <cellStyle name="Comma 10 3 2" xfId="1150" xr:uid="{00000000-0005-0000-0000-0000C8010000}"/>
    <cellStyle name="Comma 10 3 2 2" xfId="1151" xr:uid="{00000000-0005-0000-0000-0000C9010000}"/>
    <cellStyle name="Comma 10 3 2 2 2" xfId="1152" xr:uid="{00000000-0005-0000-0000-0000CA010000}"/>
    <cellStyle name="Comma 10 3 2 2 2 2" xfId="2000" xr:uid="{00000000-0005-0000-0000-0000CB010000}"/>
    <cellStyle name="Comma 10 3 2 2 2 2 2" xfId="2725" xr:uid="{00000000-0005-0000-0000-0000CC010000}"/>
    <cellStyle name="Comma 10 3 2 2 2 3" xfId="2331" xr:uid="{00000000-0005-0000-0000-0000CD010000}"/>
    <cellStyle name="Comma 10 3 2 2 3" xfId="1799" xr:uid="{00000000-0005-0000-0000-0000CE010000}"/>
    <cellStyle name="Comma 10 3 2 2 3 2" xfId="2230" xr:uid="{00000000-0005-0000-0000-0000CF010000}"/>
    <cellStyle name="Comma 10 3 2 2 3 2 2" xfId="2954" xr:uid="{00000000-0005-0000-0000-0000D0010000}"/>
    <cellStyle name="Comma 10 3 2 2 3 3" xfId="2529" xr:uid="{00000000-0005-0000-0000-0000D1010000}"/>
    <cellStyle name="Comma 10 3 2 2 4" xfId="1999" xr:uid="{00000000-0005-0000-0000-0000D2010000}"/>
    <cellStyle name="Comma 10 3 2 2 4 2" xfId="2724" xr:uid="{00000000-0005-0000-0000-0000D3010000}"/>
    <cellStyle name="Comma 10 3 2 2 5" xfId="2330" xr:uid="{00000000-0005-0000-0000-0000D4010000}"/>
    <cellStyle name="Comma 10 3 2 2_PMS Import" xfId="1626" xr:uid="{00000000-0005-0000-0000-0000D5010000}"/>
    <cellStyle name="Comma 10 3 2 3" xfId="1153" xr:uid="{00000000-0005-0000-0000-0000D6010000}"/>
    <cellStyle name="Comma 10 3 2 3 2" xfId="2001" xr:uid="{00000000-0005-0000-0000-0000D7010000}"/>
    <cellStyle name="Comma 10 3 2 3 2 2" xfId="2726" xr:uid="{00000000-0005-0000-0000-0000D8010000}"/>
    <cellStyle name="Comma 10 3 2 3 3" xfId="2332" xr:uid="{00000000-0005-0000-0000-0000D9010000}"/>
    <cellStyle name="Comma 10 3 2 4" xfId="1998" xr:uid="{00000000-0005-0000-0000-0000DA010000}"/>
    <cellStyle name="Comma 10 3 2 4 2" xfId="2723" xr:uid="{00000000-0005-0000-0000-0000DB010000}"/>
    <cellStyle name="Comma 10 3 2 5" xfId="2329" xr:uid="{00000000-0005-0000-0000-0000DC010000}"/>
    <cellStyle name="Comma 10 3 2_PMS Import" xfId="1627" xr:uid="{00000000-0005-0000-0000-0000DD010000}"/>
    <cellStyle name="Comma 10 3 3" xfId="1154" xr:uid="{00000000-0005-0000-0000-0000DE010000}"/>
    <cellStyle name="Comma 10 3 3 2" xfId="1155" xr:uid="{00000000-0005-0000-0000-0000DF010000}"/>
    <cellStyle name="Comma 10 3 3 2 2" xfId="2003" xr:uid="{00000000-0005-0000-0000-0000E0010000}"/>
    <cellStyle name="Comma 10 3 3 2 2 2" xfId="2728" xr:uid="{00000000-0005-0000-0000-0000E1010000}"/>
    <cellStyle name="Comma 10 3 3 2 3" xfId="2334" xr:uid="{00000000-0005-0000-0000-0000E2010000}"/>
    <cellStyle name="Comma 10 3 3 3" xfId="1772" xr:uid="{00000000-0005-0000-0000-0000E3010000}"/>
    <cellStyle name="Comma 10 3 3 3 2" xfId="2203" xr:uid="{00000000-0005-0000-0000-0000E4010000}"/>
    <cellStyle name="Comma 10 3 3 3 2 2" xfId="2927" xr:uid="{00000000-0005-0000-0000-0000E5010000}"/>
    <cellStyle name="Comma 10 3 3 3 3" xfId="2502" xr:uid="{00000000-0005-0000-0000-0000E6010000}"/>
    <cellStyle name="Comma 10 3 3 4" xfId="2002" xr:uid="{00000000-0005-0000-0000-0000E7010000}"/>
    <cellStyle name="Comma 10 3 3 4 2" xfId="2727" xr:uid="{00000000-0005-0000-0000-0000E8010000}"/>
    <cellStyle name="Comma 10 3 3 5" xfId="2333" xr:uid="{00000000-0005-0000-0000-0000E9010000}"/>
    <cellStyle name="Comma 10 3 3_PMS Import" xfId="1625" xr:uid="{00000000-0005-0000-0000-0000EA010000}"/>
    <cellStyle name="Comma 10 3 4" xfId="1156" xr:uid="{00000000-0005-0000-0000-0000EB010000}"/>
    <cellStyle name="Comma 10 3 4 2" xfId="2004" xr:uid="{00000000-0005-0000-0000-0000EC010000}"/>
    <cellStyle name="Comma 10 3 4 2 2" xfId="2729" xr:uid="{00000000-0005-0000-0000-0000ED010000}"/>
    <cellStyle name="Comma 10 3 4 3" xfId="2335" xr:uid="{00000000-0005-0000-0000-0000EE010000}"/>
    <cellStyle name="Comma 10 3 5" xfId="1149" xr:uid="{00000000-0005-0000-0000-0000EF010000}"/>
    <cellStyle name="Comma 10 3 5 2" xfId="1997" xr:uid="{00000000-0005-0000-0000-0000F0010000}"/>
    <cellStyle name="Comma 10 3 5 2 2" xfId="2722" xr:uid="{00000000-0005-0000-0000-0000F1010000}"/>
    <cellStyle name="Comma 10 3 5 3" xfId="2328" xr:uid="{00000000-0005-0000-0000-0000F2010000}"/>
    <cellStyle name="Comma 10 3 6" xfId="1838" xr:uid="{00000000-0005-0000-0000-0000F3010000}"/>
    <cellStyle name="Comma 10 3 6 2" xfId="2563" xr:uid="{00000000-0005-0000-0000-0000F4010000}"/>
    <cellStyle name="Comma 10 3 7" xfId="2263" xr:uid="{00000000-0005-0000-0000-0000F5010000}"/>
    <cellStyle name="Comma 10 3_PMS Import" xfId="1628" xr:uid="{00000000-0005-0000-0000-0000F6010000}"/>
    <cellStyle name="Comma 10 4" xfId="1157" xr:uid="{00000000-0005-0000-0000-0000F7010000}"/>
    <cellStyle name="Comma 10 4 2" xfId="1800" xr:uid="{00000000-0005-0000-0000-0000F8010000}"/>
    <cellStyle name="Comma 10 4 2 2" xfId="2231" xr:uid="{00000000-0005-0000-0000-0000F9010000}"/>
    <cellStyle name="Comma 10 4 2 2 2" xfId="2955" xr:uid="{00000000-0005-0000-0000-0000FA010000}"/>
    <cellStyle name="Comma 10 4 2 3" xfId="2530" xr:uid="{00000000-0005-0000-0000-0000FB010000}"/>
    <cellStyle name="Comma 10 4 3" xfId="2005" xr:uid="{00000000-0005-0000-0000-0000FC010000}"/>
    <cellStyle name="Comma 10 4 3 2" xfId="2730" xr:uid="{00000000-0005-0000-0000-0000FD010000}"/>
    <cellStyle name="Comma 10 4 4" xfId="2336" xr:uid="{00000000-0005-0000-0000-0000FE010000}"/>
    <cellStyle name="Comma 10 5" xfId="1132" xr:uid="{00000000-0005-0000-0000-0000FF010000}"/>
    <cellStyle name="Comma 10 5 2" xfId="1980" xr:uid="{00000000-0005-0000-0000-000000020000}"/>
    <cellStyle name="Comma 10 5 2 2" xfId="2705" xr:uid="{00000000-0005-0000-0000-000001020000}"/>
    <cellStyle name="Comma 10 5 3" xfId="2311" xr:uid="{00000000-0005-0000-0000-000002020000}"/>
    <cellStyle name="Comma 10_PMS Import" xfId="1636" xr:uid="{00000000-0005-0000-0000-000003020000}"/>
    <cellStyle name="Comma 11" xfId="319" xr:uid="{00000000-0005-0000-0000-000004020000}"/>
    <cellStyle name="Comma 11 10" xfId="2995" xr:uid="{00000000-0005-0000-0000-000005020000}"/>
    <cellStyle name="Comma 11 2" xfId="320" xr:uid="{00000000-0005-0000-0000-000006020000}"/>
    <cellStyle name="Comma 11 2 2" xfId="321" xr:uid="{00000000-0005-0000-0000-000007020000}"/>
    <cellStyle name="Comma 11 2 2 10" xfId="1759" xr:uid="{00000000-0005-0000-0000-000008020000}"/>
    <cellStyle name="Comma 11 2 2 10 2" xfId="2190" xr:uid="{00000000-0005-0000-0000-000009020000}"/>
    <cellStyle name="Comma 11 2 2 10 2 2" xfId="2914" xr:uid="{00000000-0005-0000-0000-00000A020000}"/>
    <cellStyle name="Comma 11 2 2 2" xfId="1161" xr:uid="{00000000-0005-0000-0000-00000B020000}"/>
    <cellStyle name="Comma 11 2 2 2 10" xfId="2340" xr:uid="{00000000-0005-0000-0000-00000C020000}"/>
    <cellStyle name="Comma 11 2 2 2 2" xfId="1162" xr:uid="{00000000-0005-0000-0000-00000D020000}"/>
    <cellStyle name="Comma 11 2 2 2 2 2" xfId="1163" xr:uid="{00000000-0005-0000-0000-00000E020000}"/>
    <cellStyle name="Comma 11 2 2 2 2 2 2" xfId="2011" xr:uid="{00000000-0005-0000-0000-00000F020000}"/>
    <cellStyle name="Comma 11 2 2 2 2 2 2 2" xfId="2736" xr:uid="{00000000-0005-0000-0000-000010020000}"/>
    <cellStyle name="Comma 11 2 2 2 2 2 3" xfId="2342" xr:uid="{00000000-0005-0000-0000-000011020000}"/>
    <cellStyle name="Comma 11 2 2 2 2 3" xfId="1801" xr:uid="{00000000-0005-0000-0000-000012020000}"/>
    <cellStyle name="Comma 11 2 2 2 2 3 2" xfId="2232" xr:uid="{00000000-0005-0000-0000-000013020000}"/>
    <cellStyle name="Comma 11 2 2 2 2 3 2 2" xfId="2956" xr:uid="{00000000-0005-0000-0000-000014020000}"/>
    <cellStyle name="Comma 11 2 2 2 2 3 3" xfId="2531" xr:uid="{00000000-0005-0000-0000-000015020000}"/>
    <cellStyle name="Comma 11 2 2 2 2 4" xfId="2010" xr:uid="{00000000-0005-0000-0000-000016020000}"/>
    <cellStyle name="Comma 11 2 2 2 2 4 2" xfId="2735" xr:uid="{00000000-0005-0000-0000-000017020000}"/>
    <cellStyle name="Comma 11 2 2 2 2 5" xfId="2341" xr:uid="{00000000-0005-0000-0000-000018020000}"/>
    <cellStyle name="Comma 11 2 2 2 2_PMS Import" xfId="1622" xr:uid="{00000000-0005-0000-0000-000019020000}"/>
    <cellStyle name="Comma 11 2 2 2 3" xfId="1164" xr:uid="{00000000-0005-0000-0000-00001A020000}"/>
    <cellStyle name="Comma 11 2 2 2 3 2" xfId="2012" xr:uid="{00000000-0005-0000-0000-00001B020000}"/>
    <cellStyle name="Comma 11 2 2 2 3 2 2" xfId="2737" xr:uid="{00000000-0005-0000-0000-00001C020000}"/>
    <cellStyle name="Comma 11 2 2 2 3 3" xfId="2343" xr:uid="{00000000-0005-0000-0000-00001D020000}"/>
    <cellStyle name="Comma 11 2 2 2 4" xfId="1743" xr:uid="{00000000-0005-0000-0000-00001E020000}"/>
    <cellStyle name="Comma 11 2 2 2 4 2" xfId="2174" xr:uid="{00000000-0005-0000-0000-00001F020000}"/>
    <cellStyle name="Comma 11 2 2 2 4 2 2" xfId="2898" xr:uid="{00000000-0005-0000-0000-000020020000}"/>
    <cellStyle name="Comma 11 2 2 2 5" xfId="1711" xr:uid="{00000000-0005-0000-0000-000021020000}"/>
    <cellStyle name="Comma 11 2 2 2 5 2" xfId="2150" xr:uid="{00000000-0005-0000-0000-000022020000}"/>
    <cellStyle name="Comma 11 2 2 2 5 2 2" xfId="2874" xr:uid="{00000000-0005-0000-0000-000023020000}"/>
    <cellStyle name="Comma 11 2 2 2 6" xfId="1823" xr:uid="{00000000-0005-0000-0000-000024020000}"/>
    <cellStyle name="Comma 11 2 2 2 6 2" xfId="2254" xr:uid="{00000000-0005-0000-0000-000025020000}"/>
    <cellStyle name="Comma 11 2 2 2 6 2 2" xfId="2978" xr:uid="{00000000-0005-0000-0000-000026020000}"/>
    <cellStyle name="Comma 11 2 2 2 7" xfId="1752" xr:uid="{00000000-0005-0000-0000-000027020000}"/>
    <cellStyle name="Comma 11 2 2 2 7 2" xfId="2183" xr:uid="{00000000-0005-0000-0000-000028020000}"/>
    <cellStyle name="Comma 11 2 2 2 7 2 2" xfId="2907" xr:uid="{00000000-0005-0000-0000-000029020000}"/>
    <cellStyle name="Comma 11 2 2 2 8" xfId="1723" xr:uid="{00000000-0005-0000-0000-00002A020000}"/>
    <cellStyle name="Comma 11 2 2 2 8 2" xfId="2157" xr:uid="{00000000-0005-0000-0000-00002B020000}"/>
    <cellStyle name="Comma 11 2 2 2 8 2 2" xfId="2881" xr:uid="{00000000-0005-0000-0000-00002C020000}"/>
    <cellStyle name="Comma 11 2 2 2 9" xfId="2009" xr:uid="{00000000-0005-0000-0000-00002D020000}"/>
    <cellStyle name="Comma 11 2 2 2 9 2" xfId="2734" xr:uid="{00000000-0005-0000-0000-00002E020000}"/>
    <cellStyle name="Comma 11 2 2 2_PMS Import" xfId="1623" xr:uid="{00000000-0005-0000-0000-00002F020000}"/>
    <cellStyle name="Comma 11 2 2 3" xfId="1165" xr:uid="{00000000-0005-0000-0000-000030020000}"/>
    <cellStyle name="Comma 11 2 2 3 2" xfId="1166" xr:uid="{00000000-0005-0000-0000-000031020000}"/>
    <cellStyle name="Comma 11 2 2 3 2 2" xfId="2014" xr:uid="{00000000-0005-0000-0000-000032020000}"/>
    <cellStyle name="Comma 11 2 2 3 2 2 2" xfId="2739" xr:uid="{00000000-0005-0000-0000-000033020000}"/>
    <cellStyle name="Comma 11 2 2 3 2 3" xfId="2345" xr:uid="{00000000-0005-0000-0000-000034020000}"/>
    <cellStyle name="Comma 11 2 2 3 3" xfId="1773" xr:uid="{00000000-0005-0000-0000-000035020000}"/>
    <cellStyle name="Comma 11 2 2 3 3 2" xfId="2204" xr:uid="{00000000-0005-0000-0000-000036020000}"/>
    <cellStyle name="Comma 11 2 2 3 3 2 2" xfId="2928" xr:uid="{00000000-0005-0000-0000-000037020000}"/>
    <cellStyle name="Comma 11 2 2 3 3 3" xfId="2503" xr:uid="{00000000-0005-0000-0000-000038020000}"/>
    <cellStyle name="Comma 11 2 2 3 4" xfId="2013" xr:uid="{00000000-0005-0000-0000-000039020000}"/>
    <cellStyle name="Comma 11 2 2 3 4 2" xfId="2738" xr:uid="{00000000-0005-0000-0000-00003A020000}"/>
    <cellStyle name="Comma 11 2 2 3 5" xfId="2344" xr:uid="{00000000-0005-0000-0000-00003B020000}"/>
    <cellStyle name="Comma 11 2 2 3_PMS Import" xfId="1551" xr:uid="{00000000-0005-0000-0000-00003C020000}"/>
    <cellStyle name="Comma 11 2 2 4" xfId="1167" xr:uid="{00000000-0005-0000-0000-00003D020000}"/>
    <cellStyle name="Comma 11 2 2 4 2" xfId="2015" xr:uid="{00000000-0005-0000-0000-00003E020000}"/>
    <cellStyle name="Comma 11 2 2 4 2 2" xfId="2740" xr:uid="{00000000-0005-0000-0000-00003F020000}"/>
    <cellStyle name="Comma 11 2 2 4 3" xfId="2346" xr:uid="{00000000-0005-0000-0000-000040020000}"/>
    <cellStyle name="Comma 11 2 2 5" xfId="1160" xr:uid="{00000000-0005-0000-0000-000041020000}"/>
    <cellStyle name="Comma 11 2 2 5 2" xfId="2008" xr:uid="{00000000-0005-0000-0000-000042020000}"/>
    <cellStyle name="Comma 11 2 2 5 2 2" xfId="2733" xr:uid="{00000000-0005-0000-0000-000043020000}"/>
    <cellStyle name="Comma 11 2 2 5 3" xfId="2339" xr:uid="{00000000-0005-0000-0000-000044020000}"/>
    <cellStyle name="Comma 11 2 2 6" xfId="1730" xr:uid="{00000000-0005-0000-0000-000045020000}"/>
    <cellStyle name="Comma 11 2 2 6 2" xfId="2163" xr:uid="{00000000-0005-0000-0000-000046020000}"/>
    <cellStyle name="Comma 11 2 2 6 2 2" xfId="2887" xr:uid="{00000000-0005-0000-0000-000047020000}"/>
    <cellStyle name="Comma 11 2 2 7" xfId="1713" xr:uid="{00000000-0005-0000-0000-000048020000}"/>
    <cellStyle name="Comma 11 2 2 7 2" xfId="2151" xr:uid="{00000000-0005-0000-0000-000049020000}"/>
    <cellStyle name="Comma 11 2 2 7 2 2" xfId="2875" xr:uid="{00000000-0005-0000-0000-00004A020000}"/>
    <cellStyle name="Comma 11 2 2 8" xfId="1725" xr:uid="{00000000-0005-0000-0000-00004B020000}"/>
    <cellStyle name="Comma 11 2 2 8 2" xfId="2159" xr:uid="{00000000-0005-0000-0000-00004C020000}"/>
    <cellStyle name="Comma 11 2 2 8 2 2" xfId="2883" xr:uid="{00000000-0005-0000-0000-00004D020000}"/>
    <cellStyle name="Comma 11 2 2 9" xfId="1719" xr:uid="{00000000-0005-0000-0000-00004E020000}"/>
    <cellStyle name="Comma 11 2 2 9 2" xfId="2155" xr:uid="{00000000-0005-0000-0000-00004F020000}"/>
    <cellStyle name="Comma 11 2 2 9 2 2" xfId="2879" xr:uid="{00000000-0005-0000-0000-000050020000}"/>
    <cellStyle name="Comma 11 2 3" xfId="1168" xr:uid="{00000000-0005-0000-0000-000051020000}"/>
    <cellStyle name="Comma 11 2 3 2" xfId="1169" xr:uid="{00000000-0005-0000-0000-000052020000}"/>
    <cellStyle name="Comma 11 2 3 2 2" xfId="1170" xr:uid="{00000000-0005-0000-0000-000053020000}"/>
    <cellStyle name="Comma 11 2 3 2 2 2" xfId="1802" xr:uid="{00000000-0005-0000-0000-000054020000}"/>
    <cellStyle name="Comma 11 2 3 2 2 2 2" xfId="2233" xr:uid="{00000000-0005-0000-0000-000055020000}"/>
    <cellStyle name="Comma 11 2 3 2 2 2 2 2" xfId="2957" xr:uid="{00000000-0005-0000-0000-000056020000}"/>
    <cellStyle name="Comma 11 2 3 2 2 2 3" xfId="2532" xr:uid="{00000000-0005-0000-0000-000057020000}"/>
    <cellStyle name="Comma 11 2 3 2 2 3" xfId="2018" xr:uid="{00000000-0005-0000-0000-000058020000}"/>
    <cellStyle name="Comma 11 2 3 2 2 3 2" xfId="2743" xr:uid="{00000000-0005-0000-0000-000059020000}"/>
    <cellStyle name="Comma 11 2 3 2 2 4" xfId="2349" xr:uid="{00000000-0005-0000-0000-00005A020000}"/>
    <cellStyle name="Comma 11 2 3 2 3" xfId="1744" xr:uid="{00000000-0005-0000-0000-00005B020000}"/>
    <cellStyle name="Comma 11 2 3 2 3 2" xfId="2175" xr:uid="{00000000-0005-0000-0000-00005C020000}"/>
    <cellStyle name="Comma 11 2 3 2 3 2 2" xfId="2899" xr:uid="{00000000-0005-0000-0000-00005D020000}"/>
    <cellStyle name="Comma 11 2 3 2 4" xfId="2017" xr:uid="{00000000-0005-0000-0000-00005E020000}"/>
    <cellStyle name="Comma 11 2 3 2 4 2" xfId="2742" xr:uid="{00000000-0005-0000-0000-00005F020000}"/>
    <cellStyle name="Comma 11 2 3 2 5" xfId="2348" xr:uid="{00000000-0005-0000-0000-000060020000}"/>
    <cellStyle name="Comma 11 2 3 2_PMS Import" xfId="1546" xr:uid="{00000000-0005-0000-0000-000061020000}"/>
    <cellStyle name="Comma 11 2 3 3" xfId="1171" xr:uid="{00000000-0005-0000-0000-000062020000}"/>
    <cellStyle name="Comma 11 2 3 3 2" xfId="1774" xr:uid="{00000000-0005-0000-0000-000063020000}"/>
    <cellStyle name="Comma 11 2 3 3 2 2" xfId="2205" xr:uid="{00000000-0005-0000-0000-000064020000}"/>
    <cellStyle name="Comma 11 2 3 3 2 2 2" xfId="2929" xr:uid="{00000000-0005-0000-0000-000065020000}"/>
    <cellStyle name="Comma 11 2 3 3 2 3" xfId="2504" xr:uid="{00000000-0005-0000-0000-000066020000}"/>
    <cellStyle name="Comma 11 2 3 3 3" xfId="2019" xr:uid="{00000000-0005-0000-0000-000067020000}"/>
    <cellStyle name="Comma 11 2 3 3 3 2" xfId="2744" xr:uid="{00000000-0005-0000-0000-000068020000}"/>
    <cellStyle name="Comma 11 2 3 3 4" xfId="2350" xr:uid="{00000000-0005-0000-0000-000069020000}"/>
    <cellStyle name="Comma 11 2 3 4" xfId="1731" xr:uid="{00000000-0005-0000-0000-00006A020000}"/>
    <cellStyle name="Comma 11 2 3 4 2" xfId="2164" xr:uid="{00000000-0005-0000-0000-00006B020000}"/>
    <cellStyle name="Comma 11 2 3 4 2 2" xfId="2888" xr:uid="{00000000-0005-0000-0000-00006C020000}"/>
    <cellStyle name="Comma 11 2 3 5" xfId="2016" xr:uid="{00000000-0005-0000-0000-00006D020000}"/>
    <cellStyle name="Comma 11 2 3 5 2" xfId="2741" xr:uid="{00000000-0005-0000-0000-00006E020000}"/>
    <cellStyle name="Comma 11 2 3 6" xfId="2347" xr:uid="{00000000-0005-0000-0000-00006F020000}"/>
    <cellStyle name="Comma 11 2 3_PMS Import" xfId="1547" xr:uid="{00000000-0005-0000-0000-000070020000}"/>
    <cellStyle name="Comma 11 2 4" xfId="1172" xr:uid="{00000000-0005-0000-0000-000071020000}"/>
    <cellStyle name="Comma 11 2 4 2" xfId="1173" xr:uid="{00000000-0005-0000-0000-000072020000}"/>
    <cellStyle name="Comma 11 2 4 2 2" xfId="1803" xr:uid="{00000000-0005-0000-0000-000073020000}"/>
    <cellStyle name="Comma 11 2 4 2 2 2" xfId="2234" xr:uid="{00000000-0005-0000-0000-000074020000}"/>
    <cellStyle name="Comma 11 2 4 2 2 2 2" xfId="2958" xr:uid="{00000000-0005-0000-0000-000075020000}"/>
    <cellStyle name="Comma 11 2 4 2 2 3" xfId="2533" xr:uid="{00000000-0005-0000-0000-000076020000}"/>
    <cellStyle name="Comma 11 2 4 2 3" xfId="2021" xr:uid="{00000000-0005-0000-0000-000077020000}"/>
    <cellStyle name="Comma 11 2 4 2 3 2" xfId="2746" xr:uid="{00000000-0005-0000-0000-000078020000}"/>
    <cellStyle name="Comma 11 2 4 2 4" xfId="2352" xr:uid="{00000000-0005-0000-0000-000079020000}"/>
    <cellStyle name="Comma 11 2 4 3" xfId="1745" xr:uid="{00000000-0005-0000-0000-00007A020000}"/>
    <cellStyle name="Comma 11 2 4 3 2" xfId="2176" xr:uid="{00000000-0005-0000-0000-00007B020000}"/>
    <cellStyle name="Comma 11 2 4 3 2 2" xfId="2900" xr:uid="{00000000-0005-0000-0000-00007C020000}"/>
    <cellStyle name="Comma 11 2 4 4" xfId="2020" xr:uid="{00000000-0005-0000-0000-00007D020000}"/>
    <cellStyle name="Comma 11 2 4 4 2" xfId="2745" xr:uid="{00000000-0005-0000-0000-00007E020000}"/>
    <cellStyle name="Comma 11 2 4 5" xfId="2351" xr:uid="{00000000-0005-0000-0000-00007F020000}"/>
    <cellStyle name="Comma 11 2 4_PMS Import" xfId="1545" xr:uid="{00000000-0005-0000-0000-000080020000}"/>
    <cellStyle name="Comma 11 2 5" xfId="1174" xr:uid="{00000000-0005-0000-0000-000081020000}"/>
    <cellStyle name="Comma 11 2 5 2" xfId="1765" xr:uid="{00000000-0005-0000-0000-000082020000}"/>
    <cellStyle name="Comma 11 2 5 2 2" xfId="2196" xr:uid="{00000000-0005-0000-0000-000083020000}"/>
    <cellStyle name="Comma 11 2 5 2 2 2" xfId="2920" xr:uid="{00000000-0005-0000-0000-000084020000}"/>
    <cellStyle name="Comma 11 2 5 2 3" xfId="2495" xr:uid="{00000000-0005-0000-0000-000085020000}"/>
    <cellStyle name="Comma 11 2 5 3" xfId="2022" xr:uid="{00000000-0005-0000-0000-000086020000}"/>
    <cellStyle name="Comma 11 2 5 3 2" xfId="2747" xr:uid="{00000000-0005-0000-0000-000087020000}"/>
    <cellStyle name="Comma 11 2 5 4" xfId="2353" xr:uid="{00000000-0005-0000-0000-000088020000}"/>
    <cellStyle name="Comma 11 2 6" xfId="1159" xr:uid="{00000000-0005-0000-0000-000089020000}"/>
    <cellStyle name="Comma 11 2 6 2" xfId="2007" xr:uid="{00000000-0005-0000-0000-00008A020000}"/>
    <cellStyle name="Comma 11 2 6 2 2" xfId="2732" xr:uid="{00000000-0005-0000-0000-00008B020000}"/>
    <cellStyle name="Comma 11 2 6 3" xfId="2338" xr:uid="{00000000-0005-0000-0000-00008C020000}"/>
    <cellStyle name="Comma 11 3" xfId="322" xr:uid="{00000000-0005-0000-0000-00008D020000}"/>
    <cellStyle name="Comma 11 3 2" xfId="1176" xr:uid="{00000000-0005-0000-0000-00008E020000}"/>
    <cellStyle name="Comma 11 3 2 2" xfId="1804" xr:uid="{00000000-0005-0000-0000-00008F020000}"/>
    <cellStyle name="Comma 11 3 2 2 2" xfId="2235" xr:uid="{00000000-0005-0000-0000-000090020000}"/>
    <cellStyle name="Comma 11 3 2 2 2 2" xfId="2959" xr:uid="{00000000-0005-0000-0000-000091020000}"/>
    <cellStyle name="Comma 11 3 2 2 3" xfId="2534" xr:uid="{00000000-0005-0000-0000-000092020000}"/>
    <cellStyle name="Comma 11 3 2 3" xfId="2024" xr:uid="{00000000-0005-0000-0000-000093020000}"/>
    <cellStyle name="Comma 11 3 2 3 2" xfId="2749" xr:uid="{00000000-0005-0000-0000-000094020000}"/>
    <cellStyle name="Comma 11 3 2 4" xfId="2355" xr:uid="{00000000-0005-0000-0000-000095020000}"/>
    <cellStyle name="Comma 11 3 3" xfId="1175" xr:uid="{00000000-0005-0000-0000-000096020000}"/>
    <cellStyle name="Comma 11 3 3 2" xfId="2023" xr:uid="{00000000-0005-0000-0000-000097020000}"/>
    <cellStyle name="Comma 11 3 3 2 2" xfId="2748" xr:uid="{00000000-0005-0000-0000-000098020000}"/>
    <cellStyle name="Comma 11 3 3 3" xfId="2354" xr:uid="{00000000-0005-0000-0000-000099020000}"/>
    <cellStyle name="Comma 11 3 4" xfId="1746" xr:uid="{00000000-0005-0000-0000-00009A020000}"/>
    <cellStyle name="Comma 11 3 4 2" xfId="2177" xr:uid="{00000000-0005-0000-0000-00009B020000}"/>
    <cellStyle name="Comma 11 3 4 2 2" xfId="2901" xr:uid="{00000000-0005-0000-0000-00009C020000}"/>
    <cellStyle name="Comma 11 4" xfId="1177" xr:uid="{00000000-0005-0000-0000-00009D020000}"/>
    <cellStyle name="Comma 11 4 2" xfId="1757" xr:uid="{00000000-0005-0000-0000-00009E020000}"/>
    <cellStyle name="Comma 11 4 2 2" xfId="2188" xr:uid="{00000000-0005-0000-0000-00009F020000}"/>
    <cellStyle name="Comma 11 4 2 2 2" xfId="2912" xr:uid="{00000000-0005-0000-0000-0000A0020000}"/>
    <cellStyle name="Comma 11 4 2 3" xfId="2488" xr:uid="{00000000-0005-0000-0000-0000A1020000}"/>
    <cellStyle name="Comma 11 4 3" xfId="2025" xr:uid="{00000000-0005-0000-0000-0000A2020000}"/>
    <cellStyle name="Comma 11 4 3 2" xfId="2750" xr:uid="{00000000-0005-0000-0000-0000A3020000}"/>
    <cellStyle name="Comma 11 4 4" xfId="2356" xr:uid="{00000000-0005-0000-0000-0000A4020000}"/>
    <cellStyle name="Comma 11 5" xfId="1158" xr:uid="{00000000-0005-0000-0000-0000A5020000}"/>
    <cellStyle name="Comma 11 5 2" xfId="2006" xr:uid="{00000000-0005-0000-0000-0000A6020000}"/>
    <cellStyle name="Comma 11 5 2 2" xfId="2731" xr:uid="{00000000-0005-0000-0000-0000A7020000}"/>
    <cellStyle name="Comma 11 5 3" xfId="2337" xr:uid="{00000000-0005-0000-0000-0000A8020000}"/>
    <cellStyle name="Comma 11 6" xfId="1131" xr:uid="{00000000-0005-0000-0000-0000A9020000}"/>
    <cellStyle name="Comma 11 6 2" xfId="1979" xr:uid="{00000000-0005-0000-0000-0000AA020000}"/>
    <cellStyle name="Comma 11 6 2 2" xfId="2704" xr:uid="{00000000-0005-0000-0000-0000AB020000}"/>
    <cellStyle name="Comma 11 6 3" xfId="2310" xr:uid="{00000000-0005-0000-0000-0000AC020000}"/>
    <cellStyle name="Comma 11 7" xfId="1839" xr:uid="{00000000-0005-0000-0000-0000AD020000}"/>
    <cellStyle name="Comma 11 7 2" xfId="2564" xr:uid="{00000000-0005-0000-0000-0000AE020000}"/>
    <cellStyle name="Comma 11 8" xfId="2264" xr:uid="{00000000-0005-0000-0000-0000AF020000}"/>
    <cellStyle name="Comma 11 9" xfId="2988" xr:uid="{00000000-0005-0000-0000-0000B0020000}"/>
    <cellStyle name="Comma 12" xfId="323" xr:uid="{00000000-0005-0000-0000-0000B1020000}"/>
    <cellStyle name="Comma 12 2" xfId="324" xr:uid="{00000000-0005-0000-0000-0000B2020000}"/>
    <cellStyle name="Comma 12 2 2" xfId="1180" xr:uid="{00000000-0005-0000-0000-0000B3020000}"/>
    <cellStyle name="Comma 12 2 2 2" xfId="1805" xr:uid="{00000000-0005-0000-0000-0000B4020000}"/>
    <cellStyle name="Comma 12 2 2 2 2" xfId="2236" xr:uid="{00000000-0005-0000-0000-0000B5020000}"/>
    <cellStyle name="Comma 12 2 2 2 2 2" xfId="2960" xr:uid="{00000000-0005-0000-0000-0000B6020000}"/>
    <cellStyle name="Comma 12 2 2 2 3" xfId="2535" xr:uid="{00000000-0005-0000-0000-0000B7020000}"/>
    <cellStyle name="Comma 12 2 2 3" xfId="2028" xr:uid="{00000000-0005-0000-0000-0000B8020000}"/>
    <cellStyle name="Comma 12 2 2 3 2" xfId="2753" xr:uid="{00000000-0005-0000-0000-0000B9020000}"/>
    <cellStyle name="Comma 12 2 2 4" xfId="2359" xr:uid="{00000000-0005-0000-0000-0000BA020000}"/>
    <cellStyle name="Comma 12 2 3" xfId="1179" xr:uid="{00000000-0005-0000-0000-0000BB020000}"/>
    <cellStyle name="Comma 12 2 3 2" xfId="2027" xr:uid="{00000000-0005-0000-0000-0000BC020000}"/>
    <cellStyle name="Comma 12 2 3 2 2" xfId="2752" xr:uid="{00000000-0005-0000-0000-0000BD020000}"/>
    <cellStyle name="Comma 12 2 3 3" xfId="2358" xr:uid="{00000000-0005-0000-0000-0000BE020000}"/>
    <cellStyle name="Comma 12 2_PMS Import" xfId="1544" xr:uid="{00000000-0005-0000-0000-0000BF020000}"/>
    <cellStyle name="Comma 12 3" xfId="1181" xr:uid="{00000000-0005-0000-0000-0000C0020000}"/>
    <cellStyle name="Comma 12 3 2" xfId="1775" xr:uid="{00000000-0005-0000-0000-0000C1020000}"/>
    <cellStyle name="Comma 12 3 2 2" xfId="2206" xr:uid="{00000000-0005-0000-0000-0000C2020000}"/>
    <cellStyle name="Comma 12 3 2 2 2" xfId="2930" xr:uid="{00000000-0005-0000-0000-0000C3020000}"/>
    <cellStyle name="Comma 12 3 2 3" xfId="2505" xr:uid="{00000000-0005-0000-0000-0000C4020000}"/>
    <cellStyle name="Comma 12 3 3" xfId="2029" xr:uid="{00000000-0005-0000-0000-0000C5020000}"/>
    <cellStyle name="Comma 12 3 3 2" xfId="2754" xr:uid="{00000000-0005-0000-0000-0000C6020000}"/>
    <cellStyle name="Comma 12 3 4" xfId="2360" xr:uid="{00000000-0005-0000-0000-0000C7020000}"/>
    <cellStyle name="Comma 12 4" xfId="1178" xr:uid="{00000000-0005-0000-0000-0000C8020000}"/>
    <cellStyle name="Comma 12 4 2" xfId="2026" xr:uid="{00000000-0005-0000-0000-0000C9020000}"/>
    <cellStyle name="Comma 12 4 2 2" xfId="2751" xr:uid="{00000000-0005-0000-0000-0000CA020000}"/>
    <cellStyle name="Comma 12 4 3" xfId="2357" xr:uid="{00000000-0005-0000-0000-0000CB020000}"/>
    <cellStyle name="Comma 12 5" xfId="1130" xr:uid="{00000000-0005-0000-0000-0000CC020000}"/>
    <cellStyle name="Comma 12 5 2" xfId="1978" xr:uid="{00000000-0005-0000-0000-0000CD020000}"/>
    <cellStyle name="Comma 12 5 2 2" xfId="2703" xr:uid="{00000000-0005-0000-0000-0000CE020000}"/>
    <cellStyle name="Comma 12 5 3" xfId="2309" xr:uid="{00000000-0005-0000-0000-0000CF020000}"/>
    <cellStyle name="Comma 12 6" xfId="1840" xr:uid="{00000000-0005-0000-0000-0000D0020000}"/>
    <cellStyle name="Comma 12 6 2" xfId="2565" xr:uid="{00000000-0005-0000-0000-0000D1020000}"/>
    <cellStyle name="Comma 12 7" xfId="2265" xr:uid="{00000000-0005-0000-0000-0000D2020000}"/>
    <cellStyle name="Comma 13" xfId="325" xr:uid="{00000000-0005-0000-0000-0000D3020000}"/>
    <cellStyle name="Comma 13 2" xfId="326" xr:uid="{00000000-0005-0000-0000-0000D4020000}"/>
    <cellStyle name="Comma 13 2 2" xfId="1184" xr:uid="{00000000-0005-0000-0000-0000D5020000}"/>
    <cellStyle name="Comma 13 2 2 2" xfId="1185" xr:uid="{00000000-0005-0000-0000-0000D6020000}"/>
    <cellStyle name="Comma 13 2 2 2 2" xfId="1186" xr:uid="{00000000-0005-0000-0000-0000D7020000}"/>
    <cellStyle name="Comma 13 2 2 2 2 2" xfId="2034" xr:uid="{00000000-0005-0000-0000-0000D8020000}"/>
    <cellStyle name="Comma 13 2 2 2 2 2 2" xfId="2759" xr:uid="{00000000-0005-0000-0000-0000D9020000}"/>
    <cellStyle name="Comma 13 2 2 2 2 3" xfId="2365" xr:uid="{00000000-0005-0000-0000-0000DA020000}"/>
    <cellStyle name="Comma 13 2 2 2 3" xfId="1806" xr:uid="{00000000-0005-0000-0000-0000DB020000}"/>
    <cellStyle name="Comma 13 2 2 2 3 2" xfId="2237" xr:uid="{00000000-0005-0000-0000-0000DC020000}"/>
    <cellStyle name="Comma 13 2 2 2 3 2 2" xfId="2961" xr:uid="{00000000-0005-0000-0000-0000DD020000}"/>
    <cellStyle name="Comma 13 2 2 2 3 3" xfId="2536" xr:uid="{00000000-0005-0000-0000-0000DE020000}"/>
    <cellStyle name="Comma 13 2 2 2 4" xfId="2033" xr:uid="{00000000-0005-0000-0000-0000DF020000}"/>
    <cellStyle name="Comma 13 2 2 2 4 2" xfId="2758" xr:uid="{00000000-0005-0000-0000-0000E0020000}"/>
    <cellStyle name="Comma 13 2 2 2 5" xfId="2364" xr:uid="{00000000-0005-0000-0000-0000E1020000}"/>
    <cellStyle name="Comma 13 2 2 2_PMS Import" xfId="1540" xr:uid="{00000000-0005-0000-0000-0000E2020000}"/>
    <cellStyle name="Comma 13 2 2 3" xfId="1187" xr:uid="{00000000-0005-0000-0000-0000E3020000}"/>
    <cellStyle name="Comma 13 2 2 3 2" xfId="2035" xr:uid="{00000000-0005-0000-0000-0000E4020000}"/>
    <cellStyle name="Comma 13 2 2 3 2 2" xfId="2760" xr:uid="{00000000-0005-0000-0000-0000E5020000}"/>
    <cellStyle name="Comma 13 2 2 3 3" xfId="2366" xr:uid="{00000000-0005-0000-0000-0000E6020000}"/>
    <cellStyle name="Comma 13 2 2 4" xfId="2032" xr:uid="{00000000-0005-0000-0000-0000E7020000}"/>
    <cellStyle name="Comma 13 2 2 4 2" xfId="2757" xr:uid="{00000000-0005-0000-0000-0000E8020000}"/>
    <cellStyle name="Comma 13 2 2 5" xfId="2363" xr:uid="{00000000-0005-0000-0000-0000E9020000}"/>
    <cellStyle name="Comma 13 2 2_PMS Import" xfId="1541" xr:uid="{00000000-0005-0000-0000-0000EA020000}"/>
    <cellStyle name="Comma 13 2 3" xfId="1188" xr:uid="{00000000-0005-0000-0000-0000EB020000}"/>
    <cellStyle name="Comma 13 2 3 2" xfId="1189" xr:uid="{00000000-0005-0000-0000-0000EC020000}"/>
    <cellStyle name="Comma 13 2 3 2 2" xfId="2037" xr:uid="{00000000-0005-0000-0000-0000ED020000}"/>
    <cellStyle name="Comma 13 2 3 2 2 2" xfId="2762" xr:uid="{00000000-0005-0000-0000-0000EE020000}"/>
    <cellStyle name="Comma 13 2 3 2 3" xfId="2368" xr:uid="{00000000-0005-0000-0000-0000EF020000}"/>
    <cellStyle name="Comma 13 2 3 3" xfId="1776" xr:uid="{00000000-0005-0000-0000-0000F0020000}"/>
    <cellStyle name="Comma 13 2 3 3 2" xfId="2207" xr:uid="{00000000-0005-0000-0000-0000F1020000}"/>
    <cellStyle name="Comma 13 2 3 3 2 2" xfId="2931" xr:uid="{00000000-0005-0000-0000-0000F2020000}"/>
    <cellStyle name="Comma 13 2 3 3 3" xfId="2506" xr:uid="{00000000-0005-0000-0000-0000F3020000}"/>
    <cellStyle name="Comma 13 2 3 4" xfId="2036" xr:uid="{00000000-0005-0000-0000-0000F4020000}"/>
    <cellStyle name="Comma 13 2 3 4 2" xfId="2761" xr:uid="{00000000-0005-0000-0000-0000F5020000}"/>
    <cellStyle name="Comma 13 2 3 5" xfId="2367" xr:uid="{00000000-0005-0000-0000-0000F6020000}"/>
    <cellStyle name="Comma 13 2 3_PMS Import" xfId="1539" xr:uid="{00000000-0005-0000-0000-0000F7020000}"/>
    <cellStyle name="Comma 13 2 4" xfId="1190" xr:uid="{00000000-0005-0000-0000-0000F8020000}"/>
    <cellStyle name="Comma 13 2 4 2" xfId="2038" xr:uid="{00000000-0005-0000-0000-0000F9020000}"/>
    <cellStyle name="Comma 13 2 4 2 2" xfId="2763" xr:uid="{00000000-0005-0000-0000-0000FA020000}"/>
    <cellStyle name="Comma 13 2 4 3" xfId="2369" xr:uid="{00000000-0005-0000-0000-0000FB020000}"/>
    <cellStyle name="Comma 13 2 5" xfId="1183" xr:uid="{00000000-0005-0000-0000-0000FC020000}"/>
    <cellStyle name="Comma 13 2 5 2" xfId="2031" xr:uid="{00000000-0005-0000-0000-0000FD020000}"/>
    <cellStyle name="Comma 13 2 5 2 2" xfId="2756" xr:uid="{00000000-0005-0000-0000-0000FE020000}"/>
    <cellStyle name="Comma 13 2 5 3" xfId="2362" xr:uid="{00000000-0005-0000-0000-0000FF020000}"/>
    <cellStyle name="Comma 13 2_PMS Import" xfId="1542" xr:uid="{00000000-0005-0000-0000-000000030000}"/>
    <cellStyle name="Comma 13 3" xfId="1191" xr:uid="{00000000-0005-0000-0000-000001030000}"/>
    <cellStyle name="Comma 13 3 2" xfId="1192" xr:uid="{00000000-0005-0000-0000-000002030000}"/>
    <cellStyle name="Comma 13 3 2 2" xfId="1193" xr:uid="{00000000-0005-0000-0000-000003030000}"/>
    <cellStyle name="Comma 13 3 2 2 2" xfId="1807" xr:uid="{00000000-0005-0000-0000-000004030000}"/>
    <cellStyle name="Comma 13 3 2 2 2 2" xfId="2238" xr:uid="{00000000-0005-0000-0000-000005030000}"/>
    <cellStyle name="Comma 13 3 2 2 2 2 2" xfId="2962" xr:uid="{00000000-0005-0000-0000-000006030000}"/>
    <cellStyle name="Comma 13 3 2 2 2 3" xfId="2537" xr:uid="{00000000-0005-0000-0000-000007030000}"/>
    <cellStyle name="Comma 13 3 2 2 3" xfId="2041" xr:uid="{00000000-0005-0000-0000-000008030000}"/>
    <cellStyle name="Comma 13 3 2 2 3 2" xfId="2766" xr:uid="{00000000-0005-0000-0000-000009030000}"/>
    <cellStyle name="Comma 13 3 2 2 4" xfId="2372" xr:uid="{00000000-0005-0000-0000-00000A030000}"/>
    <cellStyle name="Comma 13 3 2 3" xfId="2040" xr:uid="{00000000-0005-0000-0000-00000B030000}"/>
    <cellStyle name="Comma 13 3 2 3 2" xfId="2765" xr:uid="{00000000-0005-0000-0000-00000C030000}"/>
    <cellStyle name="Comma 13 3 2 4" xfId="2371" xr:uid="{00000000-0005-0000-0000-00000D030000}"/>
    <cellStyle name="Comma 13 3 2_PMS Import" xfId="1537" xr:uid="{00000000-0005-0000-0000-00000E030000}"/>
    <cellStyle name="Comma 13 3 3" xfId="1194" xr:uid="{00000000-0005-0000-0000-00000F030000}"/>
    <cellStyle name="Comma 13 3 3 2" xfId="1777" xr:uid="{00000000-0005-0000-0000-000010030000}"/>
    <cellStyle name="Comma 13 3 3 2 2" xfId="2208" xr:uid="{00000000-0005-0000-0000-000011030000}"/>
    <cellStyle name="Comma 13 3 3 2 2 2" xfId="2932" xr:uid="{00000000-0005-0000-0000-000012030000}"/>
    <cellStyle name="Comma 13 3 3 2 3" xfId="2507" xr:uid="{00000000-0005-0000-0000-000013030000}"/>
    <cellStyle name="Comma 13 3 3 3" xfId="2042" xr:uid="{00000000-0005-0000-0000-000014030000}"/>
    <cellStyle name="Comma 13 3 3 3 2" xfId="2767" xr:uid="{00000000-0005-0000-0000-000015030000}"/>
    <cellStyle name="Comma 13 3 3 4" xfId="2373" xr:uid="{00000000-0005-0000-0000-000016030000}"/>
    <cellStyle name="Comma 13 3 4" xfId="2039" xr:uid="{00000000-0005-0000-0000-000017030000}"/>
    <cellStyle name="Comma 13 3 4 2" xfId="2764" xr:uid="{00000000-0005-0000-0000-000018030000}"/>
    <cellStyle name="Comma 13 3 5" xfId="2370" xr:uid="{00000000-0005-0000-0000-000019030000}"/>
    <cellStyle name="Comma 13 3_PMS Import" xfId="1538" xr:uid="{00000000-0005-0000-0000-00001A030000}"/>
    <cellStyle name="Comma 13 4" xfId="1195" xr:uid="{00000000-0005-0000-0000-00001B030000}"/>
    <cellStyle name="Comma 13 4 2" xfId="1196" xr:uid="{00000000-0005-0000-0000-00001C030000}"/>
    <cellStyle name="Comma 13 4 2 2" xfId="1808" xr:uid="{00000000-0005-0000-0000-00001D030000}"/>
    <cellStyle name="Comma 13 4 2 2 2" xfId="2239" xr:uid="{00000000-0005-0000-0000-00001E030000}"/>
    <cellStyle name="Comma 13 4 2 2 2 2" xfId="2963" xr:uid="{00000000-0005-0000-0000-00001F030000}"/>
    <cellStyle name="Comma 13 4 2 2 3" xfId="2538" xr:uid="{00000000-0005-0000-0000-000020030000}"/>
    <cellStyle name="Comma 13 4 2 3" xfId="2044" xr:uid="{00000000-0005-0000-0000-000021030000}"/>
    <cellStyle name="Comma 13 4 2 3 2" xfId="2769" xr:uid="{00000000-0005-0000-0000-000022030000}"/>
    <cellStyle name="Comma 13 4 2 4" xfId="2375" xr:uid="{00000000-0005-0000-0000-000023030000}"/>
    <cellStyle name="Comma 13 4 3" xfId="2043" xr:uid="{00000000-0005-0000-0000-000024030000}"/>
    <cellStyle name="Comma 13 4 3 2" xfId="2768" xr:uid="{00000000-0005-0000-0000-000025030000}"/>
    <cellStyle name="Comma 13 4 4" xfId="2374" xr:uid="{00000000-0005-0000-0000-000026030000}"/>
    <cellStyle name="Comma 13 4_PMS Import" xfId="1536" xr:uid="{00000000-0005-0000-0000-000027030000}"/>
    <cellStyle name="Comma 13 5" xfId="1197" xr:uid="{00000000-0005-0000-0000-000028030000}"/>
    <cellStyle name="Comma 13 5 2" xfId="1766" xr:uid="{00000000-0005-0000-0000-000029030000}"/>
    <cellStyle name="Comma 13 5 2 2" xfId="2197" xr:uid="{00000000-0005-0000-0000-00002A030000}"/>
    <cellStyle name="Comma 13 5 2 2 2" xfId="2921" xr:uid="{00000000-0005-0000-0000-00002B030000}"/>
    <cellStyle name="Comma 13 5 2 3" xfId="2496" xr:uid="{00000000-0005-0000-0000-00002C030000}"/>
    <cellStyle name="Comma 13 5 3" xfId="2045" xr:uid="{00000000-0005-0000-0000-00002D030000}"/>
    <cellStyle name="Comma 13 5 3 2" xfId="2770" xr:uid="{00000000-0005-0000-0000-00002E030000}"/>
    <cellStyle name="Comma 13 5 4" xfId="2376" xr:uid="{00000000-0005-0000-0000-00002F030000}"/>
    <cellStyle name="Comma 13 6" xfId="1182" xr:uid="{00000000-0005-0000-0000-000030030000}"/>
    <cellStyle name="Comma 13 6 2" xfId="2030" xr:uid="{00000000-0005-0000-0000-000031030000}"/>
    <cellStyle name="Comma 13 6 2 2" xfId="2755" xr:uid="{00000000-0005-0000-0000-000032030000}"/>
    <cellStyle name="Comma 13 6 3" xfId="2361" xr:uid="{00000000-0005-0000-0000-000033030000}"/>
    <cellStyle name="Comma 13 7" xfId="1129" xr:uid="{00000000-0005-0000-0000-000034030000}"/>
    <cellStyle name="Comma 13 7 2" xfId="1977" xr:uid="{00000000-0005-0000-0000-000035030000}"/>
    <cellStyle name="Comma 13 7 2 2" xfId="2702" xr:uid="{00000000-0005-0000-0000-000036030000}"/>
    <cellStyle name="Comma 13 7 3" xfId="2308" xr:uid="{00000000-0005-0000-0000-000037030000}"/>
    <cellStyle name="Comma 13_PMS Import" xfId="1543" xr:uid="{00000000-0005-0000-0000-000038030000}"/>
    <cellStyle name="Comma 14" xfId="327" xr:uid="{00000000-0005-0000-0000-000039030000}"/>
    <cellStyle name="Comma 14 2" xfId="328" xr:uid="{00000000-0005-0000-0000-00003A030000}"/>
    <cellStyle name="Comma 14 2 2" xfId="1200" xr:uid="{00000000-0005-0000-0000-00003B030000}"/>
    <cellStyle name="Comma 14 2 2 2" xfId="1809" xr:uid="{00000000-0005-0000-0000-00003C030000}"/>
    <cellStyle name="Comma 14 2 2 2 2" xfId="2240" xr:uid="{00000000-0005-0000-0000-00003D030000}"/>
    <cellStyle name="Comma 14 2 2 2 2 2" xfId="2964" xr:uid="{00000000-0005-0000-0000-00003E030000}"/>
    <cellStyle name="Comma 14 2 2 2 3" xfId="2539" xr:uid="{00000000-0005-0000-0000-00003F030000}"/>
    <cellStyle name="Comma 14 2 2 3" xfId="2048" xr:uid="{00000000-0005-0000-0000-000040030000}"/>
    <cellStyle name="Comma 14 2 2 3 2" xfId="2773" xr:uid="{00000000-0005-0000-0000-000041030000}"/>
    <cellStyle name="Comma 14 2 2 4" xfId="2379" xr:uid="{00000000-0005-0000-0000-000042030000}"/>
    <cellStyle name="Comma 14 2 3" xfId="1199" xr:uid="{00000000-0005-0000-0000-000043030000}"/>
    <cellStyle name="Comma 14 2 3 2" xfId="2047" xr:uid="{00000000-0005-0000-0000-000044030000}"/>
    <cellStyle name="Comma 14 2 3 2 2" xfId="2772" xr:uid="{00000000-0005-0000-0000-000045030000}"/>
    <cellStyle name="Comma 14 2 3 3" xfId="2378" xr:uid="{00000000-0005-0000-0000-000046030000}"/>
    <cellStyle name="Comma 14 2_PMS Import" xfId="1534" xr:uid="{00000000-0005-0000-0000-000047030000}"/>
    <cellStyle name="Comma 14 3" xfId="329" xr:uid="{00000000-0005-0000-0000-000048030000}"/>
    <cellStyle name="Comma 14 3 2" xfId="1201" xr:uid="{00000000-0005-0000-0000-000049030000}"/>
    <cellStyle name="Comma 14 3 2 2" xfId="2049" xr:uid="{00000000-0005-0000-0000-00004A030000}"/>
    <cellStyle name="Comma 14 3 2 2 2" xfId="2774" xr:uid="{00000000-0005-0000-0000-00004B030000}"/>
    <cellStyle name="Comma 14 3 2 3" xfId="2380" xr:uid="{00000000-0005-0000-0000-00004C030000}"/>
    <cellStyle name="Comma 14 3 3" xfId="1778" xr:uid="{00000000-0005-0000-0000-00004D030000}"/>
    <cellStyle name="Comma 14 3 3 2" xfId="2209" xr:uid="{00000000-0005-0000-0000-00004E030000}"/>
    <cellStyle name="Comma 14 3 3 2 2" xfId="2933" xr:uid="{00000000-0005-0000-0000-00004F030000}"/>
    <cellStyle name="Comma 14 3 3 3" xfId="2508" xr:uid="{00000000-0005-0000-0000-000050030000}"/>
    <cellStyle name="Comma 14 3_PMS Import" xfId="1533" xr:uid="{00000000-0005-0000-0000-000051030000}"/>
    <cellStyle name="Comma 14 4" xfId="1198" xr:uid="{00000000-0005-0000-0000-000052030000}"/>
    <cellStyle name="Comma 14 4 2" xfId="2046" xr:uid="{00000000-0005-0000-0000-000053030000}"/>
    <cellStyle name="Comma 14 4 2 2" xfId="2771" xr:uid="{00000000-0005-0000-0000-000054030000}"/>
    <cellStyle name="Comma 14 4 3" xfId="2377" xr:uid="{00000000-0005-0000-0000-000055030000}"/>
    <cellStyle name="Comma 14 5" xfId="1128" xr:uid="{00000000-0005-0000-0000-000056030000}"/>
    <cellStyle name="Comma 14 5 2" xfId="1976" xr:uid="{00000000-0005-0000-0000-000057030000}"/>
    <cellStyle name="Comma 14 5 2 2" xfId="2701" xr:uid="{00000000-0005-0000-0000-000058030000}"/>
    <cellStyle name="Comma 14 5 3" xfId="2307" xr:uid="{00000000-0005-0000-0000-000059030000}"/>
    <cellStyle name="Comma 14_PMS Import" xfId="1535" xr:uid="{00000000-0005-0000-0000-00005A030000}"/>
    <cellStyle name="Comma 15" xfId="330" xr:uid="{00000000-0005-0000-0000-00005B030000}"/>
    <cellStyle name="Comma 15 2" xfId="1203" xr:uid="{00000000-0005-0000-0000-00005C030000}"/>
    <cellStyle name="Comma 15 2 2" xfId="1204" xr:uid="{00000000-0005-0000-0000-00005D030000}"/>
    <cellStyle name="Comma 15 2 2 2" xfId="1810" xr:uid="{00000000-0005-0000-0000-00005E030000}"/>
    <cellStyle name="Comma 15 2 2 2 2" xfId="2241" xr:uid="{00000000-0005-0000-0000-00005F030000}"/>
    <cellStyle name="Comma 15 2 2 2 2 2" xfId="2965" xr:uid="{00000000-0005-0000-0000-000060030000}"/>
    <cellStyle name="Comma 15 2 2 2 3" xfId="2540" xr:uid="{00000000-0005-0000-0000-000061030000}"/>
    <cellStyle name="Comma 15 2 2 3" xfId="2052" xr:uid="{00000000-0005-0000-0000-000062030000}"/>
    <cellStyle name="Comma 15 2 2 3 2" xfId="2777" xr:uid="{00000000-0005-0000-0000-000063030000}"/>
    <cellStyle name="Comma 15 2 2 4" xfId="2383" xr:uid="{00000000-0005-0000-0000-000064030000}"/>
    <cellStyle name="Comma 15 2 3" xfId="2051" xr:uid="{00000000-0005-0000-0000-000065030000}"/>
    <cellStyle name="Comma 15 2 3 2" xfId="2776" xr:uid="{00000000-0005-0000-0000-000066030000}"/>
    <cellStyle name="Comma 15 2 4" xfId="2382" xr:uid="{00000000-0005-0000-0000-000067030000}"/>
    <cellStyle name="Comma 15 2_PMS Import" xfId="1531" xr:uid="{00000000-0005-0000-0000-000068030000}"/>
    <cellStyle name="Comma 15 3" xfId="1205" xr:uid="{00000000-0005-0000-0000-000069030000}"/>
    <cellStyle name="Comma 15 3 2" xfId="1779" xr:uid="{00000000-0005-0000-0000-00006A030000}"/>
    <cellStyle name="Comma 15 3 2 2" xfId="2210" xr:uid="{00000000-0005-0000-0000-00006B030000}"/>
    <cellStyle name="Comma 15 3 2 2 2" xfId="2934" xr:uid="{00000000-0005-0000-0000-00006C030000}"/>
    <cellStyle name="Comma 15 3 2 3" xfId="2509" xr:uid="{00000000-0005-0000-0000-00006D030000}"/>
    <cellStyle name="Comma 15 3 3" xfId="2053" xr:uid="{00000000-0005-0000-0000-00006E030000}"/>
    <cellStyle name="Comma 15 3 3 2" xfId="2778" xr:uid="{00000000-0005-0000-0000-00006F030000}"/>
    <cellStyle name="Comma 15 3 4" xfId="2384" xr:uid="{00000000-0005-0000-0000-000070030000}"/>
    <cellStyle name="Comma 15 4" xfId="1202" xr:uid="{00000000-0005-0000-0000-000071030000}"/>
    <cellStyle name="Comma 15 4 2" xfId="2050" xr:uid="{00000000-0005-0000-0000-000072030000}"/>
    <cellStyle name="Comma 15 4 2 2" xfId="2775" xr:uid="{00000000-0005-0000-0000-000073030000}"/>
    <cellStyle name="Comma 15 4 3" xfId="2381" xr:uid="{00000000-0005-0000-0000-000074030000}"/>
    <cellStyle name="Comma 15 5" xfId="1127" xr:uid="{00000000-0005-0000-0000-000075030000}"/>
    <cellStyle name="Comma 15 5 2" xfId="1975" xr:uid="{00000000-0005-0000-0000-000076030000}"/>
    <cellStyle name="Comma 15 5 2 2" xfId="2700" xr:uid="{00000000-0005-0000-0000-000077030000}"/>
    <cellStyle name="Comma 15 5 3" xfId="2306" xr:uid="{00000000-0005-0000-0000-000078030000}"/>
    <cellStyle name="Comma 15_PMS Import" xfId="1532" xr:uid="{00000000-0005-0000-0000-000079030000}"/>
    <cellStyle name="Comma 16" xfId="331" xr:uid="{00000000-0005-0000-0000-00007A030000}"/>
    <cellStyle name="Comma 16 2" xfId="332" xr:uid="{00000000-0005-0000-0000-00007B030000}"/>
    <cellStyle name="Comma 16 2 2" xfId="1207" xr:uid="{00000000-0005-0000-0000-00007C030000}"/>
    <cellStyle name="Comma 16 2 2 2" xfId="2055" xr:uid="{00000000-0005-0000-0000-00007D030000}"/>
    <cellStyle name="Comma 16 2 2 2 2" xfId="2780" xr:uid="{00000000-0005-0000-0000-00007E030000}"/>
    <cellStyle name="Comma 16 2 2 3" xfId="2386" xr:uid="{00000000-0005-0000-0000-00007F030000}"/>
    <cellStyle name="Comma 16 2 3" xfId="1842" xr:uid="{00000000-0005-0000-0000-000080030000}"/>
    <cellStyle name="Comma 16 2 3 2" xfId="2567" xr:uid="{00000000-0005-0000-0000-000081030000}"/>
    <cellStyle name="Comma 16 2_PMS Import" xfId="1529" xr:uid="{00000000-0005-0000-0000-000082030000}"/>
    <cellStyle name="Comma 16 3" xfId="1206" xr:uid="{00000000-0005-0000-0000-000083030000}"/>
    <cellStyle name="Comma 16 3 2" xfId="2054" xr:uid="{00000000-0005-0000-0000-000084030000}"/>
    <cellStyle name="Comma 16 3 2 2" xfId="2779" xr:uid="{00000000-0005-0000-0000-000085030000}"/>
    <cellStyle name="Comma 16 3 3" xfId="2385" xr:uid="{00000000-0005-0000-0000-000086030000}"/>
    <cellStyle name="Comma 16 4" xfId="1126" xr:uid="{00000000-0005-0000-0000-000087030000}"/>
    <cellStyle name="Comma 16 4 2" xfId="1974" xr:uid="{00000000-0005-0000-0000-000088030000}"/>
    <cellStyle name="Comma 16 4 2 2" xfId="2699" xr:uid="{00000000-0005-0000-0000-000089030000}"/>
    <cellStyle name="Comma 16 4 3" xfId="2305" xr:uid="{00000000-0005-0000-0000-00008A030000}"/>
    <cellStyle name="Comma 16 5" xfId="1841" xr:uid="{00000000-0005-0000-0000-00008B030000}"/>
    <cellStyle name="Comma 16 5 2" xfId="2566" xr:uid="{00000000-0005-0000-0000-00008C030000}"/>
    <cellStyle name="Comma 16 6" xfId="2266" xr:uid="{00000000-0005-0000-0000-00008D030000}"/>
    <cellStyle name="Comma 16_PMS Import" xfId="1530" xr:uid="{00000000-0005-0000-0000-00008E030000}"/>
    <cellStyle name="Comma 17" xfId="333" xr:uid="{00000000-0005-0000-0000-00008F030000}"/>
    <cellStyle name="Comma 17 2" xfId="334" xr:uid="{00000000-0005-0000-0000-000090030000}"/>
    <cellStyle name="Comma 17 2 2" xfId="1209" xr:uid="{00000000-0005-0000-0000-000091030000}"/>
    <cellStyle name="Comma 17 2 2 2" xfId="2057" xr:uid="{00000000-0005-0000-0000-000092030000}"/>
    <cellStyle name="Comma 17 2 2 2 2" xfId="2782" xr:uid="{00000000-0005-0000-0000-000093030000}"/>
    <cellStyle name="Comma 17 2 2 3" xfId="2388" xr:uid="{00000000-0005-0000-0000-000094030000}"/>
    <cellStyle name="Comma 17 2_PMS Import" xfId="1527" xr:uid="{00000000-0005-0000-0000-000095030000}"/>
    <cellStyle name="Comma 17 3" xfId="335" xr:uid="{00000000-0005-0000-0000-000096030000}"/>
    <cellStyle name="Comma 17 3 2" xfId="1780" xr:uid="{00000000-0005-0000-0000-000097030000}"/>
    <cellStyle name="Comma 17 3 2 2" xfId="2211" xr:uid="{00000000-0005-0000-0000-000098030000}"/>
    <cellStyle name="Comma 17 3 2 2 2" xfId="2935" xr:uid="{00000000-0005-0000-0000-000099030000}"/>
    <cellStyle name="Comma 17 3 2 3" xfId="2510" xr:uid="{00000000-0005-0000-0000-00009A030000}"/>
    <cellStyle name="Comma 17 3 3" xfId="1844" xr:uid="{00000000-0005-0000-0000-00009B030000}"/>
    <cellStyle name="Comma 17 3 3 2" xfId="2569" xr:uid="{00000000-0005-0000-0000-00009C030000}"/>
    <cellStyle name="Comma 17 4" xfId="336" xr:uid="{00000000-0005-0000-0000-00009D030000}"/>
    <cellStyle name="Comma 17 4 2" xfId="1845" xr:uid="{00000000-0005-0000-0000-00009E030000}"/>
    <cellStyle name="Comma 17 4 2 2" xfId="2570" xr:uid="{00000000-0005-0000-0000-00009F030000}"/>
    <cellStyle name="Comma 17 5" xfId="1208" xr:uid="{00000000-0005-0000-0000-0000A0030000}"/>
    <cellStyle name="Comma 17 5 2" xfId="2056" xr:uid="{00000000-0005-0000-0000-0000A1030000}"/>
    <cellStyle name="Comma 17 5 2 2" xfId="2781" xr:uid="{00000000-0005-0000-0000-0000A2030000}"/>
    <cellStyle name="Comma 17 5 3" xfId="2387" xr:uid="{00000000-0005-0000-0000-0000A3030000}"/>
    <cellStyle name="Comma 17 6" xfId="1125" xr:uid="{00000000-0005-0000-0000-0000A4030000}"/>
    <cellStyle name="Comma 17 6 2" xfId="1973" xr:uid="{00000000-0005-0000-0000-0000A5030000}"/>
    <cellStyle name="Comma 17 6 2 2" xfId="2698" xr:uid="{00000000-0005-0000-0000-0000A6030000}"/>
    <cellStyle name="Comma 17 6 3" xfId="2304" xr:uid="{00000000-0005-0000-0000-0000A7030000}"/>
    <cellStyle name="Comma 17 7" xfId="1843" xr:uid="{00000000-0005-0000-0000-0000A8030000}"/>
    <cellStyle name="Comma 17 7 2" xfId="2568" xr:uid="{00000000-0005-0000-0000-0000A9030000}"/>
    <cellStyle name="Comma 17 8" xfId="2267" xr:uid="{00000000-0005-0000-0000-0000AA030000}"/>
    <cellStyle name="Comma 17_PMS Import" xfId="1528" xr:uid="{00000000-0005-0000-0000-0000AB030000}"/>
    <cellStyle name="Comma 18" xfId="337" xr:uid="{00000000-0005-0000-0000-0000AC030000}"/>
    <cellStyle name="Comma 18 2" xfId="338" xr:uid="{00000000-0005-0000-0000-0000AD030000}"/>
    <cellStyle name="Comma 18 2 2" xfId="1781" xr:uid="{00000000-0005-0000-0000-0000AE030000}"/>
    <cellStyle name="Comma 18 2 2 2" xfId="2212" xr:uid="{00000000-0005-0000-0000-0000AF030000}"/>
    <cellStyle name="Comma 18 2 2 2 2" xfId="2936" xr:uid="{00000000-0005-0000-0000-0000B0030000}"/>
    <cellStyle name="Comma 18 2 2 3" xfId="2511" xr:uid="{00000000-0005-0000-0000-0000B1030000}"/>
    <cellStyle name="Comma 18 2 3" xfId="1846" xr:uid="{00000000-0005-0000-0000-0000B2030000}"/>
    <cellStyle name="Comma 18 2 3 2" xfId="2571" xr:uid="{00000000-0005-0000-0000-0000B3030000}"/>
    <cellStyle name="Comma 18 3" xfId="339" xr:uid="{00000000-0005-0000-0000-0000B4030000}"/>
    <cellStyle name="Comma 18 3 2" xfId="1847" xr:uid="{00000000-0005-0000-0000-0000B5030000}"/>
    <cellStyle name="Comma 18 3 2 2" xfId="2572" xr:uid="{00000000-0005-0000-0000-0000B6030000}"/>
    <cellStyle name="Comma 18 4" xfId="1210" xr:uid="{00000000-0005-0000-0000-0000B7030000}"/>
    <cellStyle name="Comma 18 4 2" xfId="2058" xr:uid="{00000000-0005-0000-0000-0000B8030000}"/>
    <cellStyle name="Comma 18 4 2 2" xfId="2783" xr:uid="{00000000-0005-0000-0000-0000B9030000}"/>
    <cellStyle name="Comma 18 4 3" xfId="2389" xr:uid="{00000000-0005-0000-0000-0000BA030000}"/>
    <cellStyle name="Comma 19" xfId="340" xr:uid="{00000000-0005-0000-0000-0000BB030000}"/>
    <cellStyle name="Comma 19 2" xfId="341" xr:uid="{00000000-0005-0000-0000-0000BC030000}"/>
    <cellStyle name="Comma 19 2 2" xfId="1782" xr:uid="{00000000-0005-0000-0000-0000BD030000}"/>
    <cellStyle name="Comma 19 2 2 2" xfId="2213" xr:uid="{00000000-0005-0000-0000-0000BE030000}"/>
    <cellStyle name="Comma 19 2 2 2 2" xfId="2937" xr:uid="{00000000-0005-0000-0000-0000BF030000}"/>
    <cellStyle name="Comma 19 2 2 3" xfId="2512" xr:uid="{00000000-0005-0000-0000-0000C0030000}"/>
    <cellStyle name="Comma 19 2 3" xfId="1848" xr:uid="{00000000-0005-0000-0000-0000C1030000}"/>
    <cellStyle name="Comma 19 2 3 2" xfId="2573" xr:uid="{00000000-0005-0000-0000-0000C2030000}"/>
    <cellStyle name="Comma 19 3" xfId="342" xr:uid="{00000000-0005-0000-0000-0000C3030000}"/>
    <cellStyle name="Comma 19 3 2" xfId="1849" xr:uid="{00000000-0005-0000-0000-0000C4030000}"/>
    <cellStyle name="Comma 19 3 2 2" xfId="2574" xr:uid="{00000000-0005-0000-0000-0000C5030000}"/>
    <cellStyle name="Comma 19 4" xfId="1211" xr:uid="{00000000-0005-0000-0000-0000C6030000}"/>
    <cellStyle name="Comma 19 4 2" xfId="2059" xr:uid="{00000000-0005-0000-0000-0000C7030000}"/>
    <cellStyle name="Comma 19 4 2 2" xfId="2784" xr:uid="{00000000-0005-0000-0000-0000C8030000}"/>
    <cellStyle name="Comma 19 4 3" xfId="2390" xr:uid="{00000000-0005-0000-0000-0000C9030000}"/>
    <cellStyle name="Comma 2" xfId="5" xr:uid="{00000000-0005-0000-0000-0000CA030000}"/>
    <cellStyle name="Comma 2 10" xfId="343" xr:uid="{00000000-0005-0000-0000-0000CB030000}"/>
    <cellStyle name="Comma 2 10 2" xfId="1850" xr:uid="{00000000-0005-0000-0000-0000CC030000}"/>
    <cellStyle name="Comma 2 10 2 2" xfId="2575" xr:uid="{00000000-0005-0000-0000-0000CD030000}"/>
    <cellStyle name="Comma 2 11" xfId="344" xr:uid="{00000000-0005-0000-0000-0000CE030000}"/>
    <cellStyle name="Comma 2 11 2" xfId="1851" xr:uid="{00000000-0005-0000-0000-0000CF030000}"/>
    <cellStyle name="Comma 2 11 2 2" xfId="2576" xr:uid="{00000000-0005-0000-0000-0000D0030000}"/>
    <cellStyle name="Comma 2 12" xfId="345" xr:uid="{00000000-0005-0000-0000-0000D1030000}"/>
    <cellStyle name="Comma 2 12 2" xfId="1852" xr:uid="{00000000-0005-0000-0000-0000D2030000}"/>
    <cellStyle name="Comma 2 12 2 2" xfId="2577" xr:uid="{00000000-0005-0000-0000-0000D3030000}"/>
    <cellStyle name="Comma 2 13" xfId="346" xr:uid="{00000000-0005-0000-0000-0000D4030000}"/>
    <cellStyle name="Comma 2 13 2" xfId="1853" xr:uid="{00000000-0005-0000-0000-0000D5030000}"/>
    <cellStyle name="Comma 2 13 2 2" xfId="2578" xr:uid="{00000000-0005-0000-0000-0000D6030000}"/>
    <cellStyle name="Comma 2 14" xfId="347" xr:uid="{00000000-0005-0000-0000-0000D7030000}"/>
    <cellStyle name="Comma 2 14 2" xfId="1854" xr:uid="{00000000-0005-0000-0000-0000D8030000}"/>
    <cellStyle name="Comma 2 14 2 2" xfId="2579" xr:uid="{00000000-0005-0000-0000-0000D9030000}"/>
    <cellStyle name="Comma 2 15" xfId="348" xr:uid="{00000000-0005-0000-0000-0000DA030000}"/>
    <cellStyle name="Comma 2 15 2" xfId="1855" xr:uid="{00000000-0005-0000-0000-0000DB030000}"/>
    <cellStyle name="Comma 2 15 2 2" xfId="2580" xr:uid="{00000000-0005-0000-0000-0000DC030000}"/>
    <cellStyle name="Comma 2 16" xfId="349" xr:uid="{00000000-0005-0000-0000-0000DD030000}"/>
    <cellStyle name="Comma 2 16 2" xfId="1856" xr:uid="{00000000-0005-0000-0000-0000DE030000}"/>
    <cellStyle name="Comma 2 16 2 2" xfId="2581" xr:uid="{00000000-0005-0000-0000-0000DF030000}"/>
    <cellStyle name="Comma 2 17" xfId="350" xr:uid="{00000000-0005-0000-0000-0000E0030000}"/>
    <cellStyle name="Comma 2 17 2" xfId="1857" xr:uid="{00000000-0005-0000-0000-0000E1030000}"/>
    <cellStyle name="Comma 2 17 2 2" xfId="2582" xr:uid="{00000000-0005-0000-0000-0000E2030000}"/>
    <cellStyle name="Comma 2 18" xfId="1828" xr:uid="{00000000-0005-0000-0000-0000E3030000}"/>
    <cellStyle name="Comma 2 18 2" xfId="2553" xr:uid="{00000000-0005-0000-0000-0000E4030000}"/>
    <cellStyle name="Comma 2 19" xfId="2259" xr:uid="{00000000-0005-0000-0000-0000E5030000}"/>
    <cellStyle name="Comma 2 2" xfId="351" xr:uid="{00000000-0005-0000-0000-0000E6030000}"/>
    <cellStyle name="Comma 2 2 2" xfId="352" xr:uid="{00000000-0005-0000-0000-0000E7030000}"/>
    <cellStyle name="Comma 2 2 2 2" xfId="353" xr:uid="{00000000-0005-0000-0000-0000E8030000}"/>
    <cellStyle name="Comma 2 2 2 2 2" xfId="1096" xr:uid="{00000000-0005-0000-0000-0000E9030000}"/>
    <cellStyle name="Comma 2 2 2 2 2 2" xfId="1783" xr:uid="{00000000-0005-0000-0000-0000EA030000}"/>
    <cellStyle name="Comma 2 2 2 2 2 2 2" xfId="2214" xr:uid="{00000000-0005-0000-0000-0000EB030000}"/>
    <cellStyle name="Comma 2 2 2 2 2 2 2 2" xfId="2938" xr:uid="{00000000-0005-0000-0000-0000EC030000}"/>
    <cellStyle name="Comma 2 2 2 2 2 2 3" xfId="2513" xr:uid="{00000000-0005-0000-0000-0000ED030000}"/>
    <cellStyle name="Comma 2 2 2 2 3" xfId="1214" xr:uid="{00000000-0005-0000-0000-0000EE030000}"/>
    <cellStyle name="Comma 2 2 2 2 3 2" xfId="2062" xr:uid="{00000000-0005-0000-0000-0000EF030000}"/>
    <cellStyle name="Comma 2 2 2 2 3 2 2" xfId="2787" xr:uid="{00000000-0005-0000-0000-0000F0030000}"/>
    <cellStyle name="Comma 2 2 2 2 3 3" xfId="2393" xr:uid="{00000000-0005-0000-0000-0000F1030000}"/>
    <cellStyle name="Comma 2 2 2 3" xfId="1213" xr:uid="{00000000-0005-0000-0000-0000F2030000}"/>
    <cellStyle name="Comma 2 2 2 3 2" xfId="2061" xr:uid="{00000000-0005-0000-0000-0000F3030000}"/>
    <cellStyle name="Comma 2 2 2 3 2 2" xfId="2786" xr:uid="{00000000-0005-0000-0000-0000F4030000}"/>
    <cellStyle name="Comma 2 2 2 3 3" xfId="2392" xr:uid="{00000000-0005-0000-0000-0000F5030000}"/>
    <cellStyle name="Comma 2 2 3" xfId="354" xr:uid="{00000000-0005-0000-0000-0000F6030000}"/>
    <cellStyle name="Comma 2 2 3 2" xfId="1215" xr:uid="{00000000-0005-0000-0000-0000F7030000}"/>
    <cellStyle name="Comma 2 2 3 2 2" xfId="2063" xr:uid="{00000000-0005-0000-0000-0000F8030000}"/>
    <cellStyle name="Comma 2 2 3 2 2 2" xfId="2788" xr:uid="{00000000-0005-0000-0000-0000F9030000}"/>
    <cellStyle name="Comma 2 2 3 2 3" xfId="2394" xr:uid="{00000000-0005-0000-0000-0000FA030000}"/>
    <cellStyle name="Comma 2 2 4" xfId="355" xr:uid="{00000000-0005-0000-0000-0000FB030000}"/>
    <cellStyle name="Comma 2 2 4 2" xfId="1758" xr:uid="{00000000-0005-0000-0000-0000FC030000}"/>
    <cellStyle name="Comma 2 2 4 2 2" xfId="2189" xr:uid="{00000000-0005-0000-0000-0000FD030000}"/>
    <cellStyle name="Comma 2 2 4 2 2 2" xfId="2913" xr:uid="{00000000-0005-0000-0000-0000FE030000}"/>
    <cellStyle name="Comma 2 2 4 2 3" xfId="2489" xr:uid="{00000000-0005-0000-0000-0000FF030000}"/>
    <cellStyle name="Comma 2 2 5" xfId="1212" xr:uid="{00000000-0005-0000-0000-000000040000}"/>
    <cellStyle name="Comma 2 2 5 2" xfId="2060" xr:uid="{00000000-0005-0000-0000-000001040000}"/>
    <cellStyle name="Comma 2 2 5 2 2" xfId="2785" xr:uid="{00000000-0005-0000-0000-000002040000}"/>
    <cellStyle name="Comma 2 2 5 3" xfId="2391" xr:uid="{00000000-0005-0000-0000-000003040000}"/>
    <cellStyle name="Comma 2 3" xfId="356" xr:uid="{00000000-0005-0000-0000-000004040000}"/>
    <cellStyle name="Comma 2 3 2" xfId="357" xr:uid="{00000000-0005-0000-0000-000005040000}"/>
    <cellStyle name="Comma 2 3 2 2" xfId="1216" xr:uid="{00000000-0005-0000-0000-000006040000}"/>
    <cellStyle name="Comma 2 3 2 2 2" xfId="2064" xr:uid="{00000000-0005-0000-0000-000007040000}"/>
    <cellStyle name="Comma 2 3 2 2 2 2" xfId="2789" xr:uid="{00000000-0005-0000-0000-000008040000}"/>
    <cellStyle name="Comma 2 3 2_PMS Import" xfId="1526" xr:uid="{00000000-0005-0000-0000-000009040000}"/>
    <cellStyle name="Comma 2 4" xfId="358" xr:uid="{00000000-0005-0000-0000-00000A040000}"/>
    <cellStyle name="Comma 2 4 2" xfId="359" xr:uid="{00000000-0005-0000-0000-00000B040000}"/>
    <cellStyle name="Comma 2 4 2 2" xfId="360" xr:uid="{00000000-0005-0000-0000-00000C040000}"/>
    <cellStyle name="Comma 2 4 2 2 2" xfId="1219" xr:uid="{00000000-0005-0000-0000-00000D040000}"/>
    <cellStyle name="Comma 2 4 2 2 2 2" xfId="2067" xr:uid="{00000000-0005-0000-0000-00000E040000}"/>
    <cellStyle name="Comma 2 4 2 2 2 2 2" xfId="2792" xr:uid="{00000000-0005-0000-0000-00000F040000}"/>
    <cellStyle name="Comma 2 4 2 2 2 3" xfId="2397" xr:uid="{00000000-0005-0000-0000-000010040000}"/>
    <cellStyle name="Comma 2 4 2 2 3" xfId="1732" xr:uid="{00000000-0005-0000-0000-000011040000}"/>
    <cellStyle name="Comma 2 4 2 2 3 2" xfId="2165" xr:uid="{00000000-0005-0000-0000-000012040000}"/>
    <cellStyle name="Comma 2 4 2 2 3 2 2" xfId="2889" xr:uid="{00000000-0005-0000-0000-000013040000}"/>
    <cellStyle name="Comma 2 4 2 2 4" xfId="1859" xr:uid="{00000000-0005-0000-0000-000014040000}"/>
    <cellStyle name="Comma 2 4 2 2 4 2" xfId="2584" xr:uid="{00000000-0005-0000-0000-000015040000}"/>
    <cellStyle name="Comma 2 4 2 3" xfId="1218" xr:uid="{00000000-0005-0000-0000-000016040000}"/>
    <cellStyle name="Comma 2 4 2 3 2" xfId="2066" xr:uid="{00000000-0005-0000-0000-000017040000}"/>
    <cellStyle name="Comma 2 4 2 3 2 2" xfId="2791" xr:uid="{00000000-0005-0000-0000-000018040000}"/>
    <cellStyle name="Comma 2 4 2 3 3" xfId="2396" xr:uid="{00000000-0005-0000-0000-000019040000}"/>
    <cellStyle name="Comma 2 4 3" xfId="361" xr:uid="{00000000-0005-0000-0000-00001A040000}"/>
    <cellStyle name="Comma 2 4 3 2" xfId="1220" xr:uid="{00000000-0005-0000-0000-00001B040000}"/>
    <cellStyle name="Comma 2 4 3 2 2" xfId="2068" xr:uid="{00000000-0005-0000-0000-00001C040000}"/>
    <cellStyle name="Comma 2 4 3 2 2 2" xfId="2793" xr:uid="{00000000-0005-0000-0000-00001D040000}"/>
    <cellStyle name="Comma 2 4 3 2 3" xfId="2398" xr:uid="{00000000-0005-0000-0000-00001E040000}"/>
    <cellStyle name="Comma 2 4 3 3" xfId="1733" xr:uid="{00000000-0005-0000-0000-00001F040000}"/>
    <cellStyle name="Comma 2 4 3 3 2" xfId="2166" xr:uid="{00000000-0005-0000-0000-000020040000}"/>
    <cellStyle name="Comma 2 4 3 3 2 2" xfId="2890" xr:uid="{00000000-0005-0000-0000-000021040000}"/>
    <cellStyle name="Comma 2 4 3 4" xfId="1860" xr:uid="{00000000-0005-0000-0000-000022040000}"/>
    <cellStyle name="Comma 2 4 3 4 2" xfId="2585" xr:uid="{00000000-0005-0000-0000-000023040000}"/>
    <cellStyle name="Comma 2 4 4" xfId="362" xr:uid="{00000000-0005-0000-0000-000024040000}"/>
    <cellStyle name="Comma 2 4 4 2" xfId="1760" xr:uid="{00000000-0005-0000-0000-000025040000}"/>
    <cellStyle name="Comma 2 4 4 2 2" xfId="2191" xr:uid="{00000000-0005-0000-0000-000026040000}"/>
    <cellStyle name="Comma 2 4 4 2 2 2" xfId="2915" xr:uid="{00000000-0005-0000-0000-000027040000}"/>
    <cellStyle name="Comma 2 4 4 2 3" xfId="2490" xr:uid="{00000000-0005-0000-0000-000028040000}"/>
    <cellStyle name="Comma 2 4 5" xfId="1217" xr:uid="{00000000-0005-0000-0000-000029040000}"/>
    <cellStyle name="Comma 2 4 5 2" xfId="2065" xr:uid="{00000000-0005-0000-0000-00002A040000}"/>
    <cellStyle name="Comma 2 4 5 2 2" xfId="2790" xr:uid="{00000000-0005-0000-0000-00002B040000}"/>
    <cellStyle name="Comma 2 4 5 3" xfId="2395" xr:uid="{00000000-0005-0000-0000-00002C040000}"/>
    <cellStyle name="Comma 2 4 6" xfId="1858" xr:uid="{00000000-0005-0000-0000-00002D040000}"/>
    <cellStyle name="Comma 2 4 6 2" xfId="2583" xr:uid="{00000000-0005-0000-0000-00002E040000}"/>
    <cellStyle name="Comma 2 5" xfId="363" xr:uid="{00000000-0005-0000-0000-00002F040000}"/>
    <cellStyle name="Comma 2 5 2" xfId="364" xr:uid="{00000000-0005-0000-0000-000030040000}"/>
    <cellStyle name="Comma 2 5 2 2" xfId="1222" xr:uid="{00000000-0005-0000-0000-000031040000}"/>
    <cellStyle name="Comma 2 5 2 2 2" xfId="2070" xr:uid="{00000000-0005-0000-0000-000032040000}"/>
    <cellStyle name="Comma 2 5 2 2 2 2" xfId="2795" xr:uid="{00000000-0005-0000-0000-000033040000}"/>
    <cellStyle name="Comma 2 5 2 2 3" xfId="2400" xr:uid="{00000000-0005-0000-0000-000034040000}"/>
    <cellStyle name="Comma 2 5 3" xfId="365" xr:uid="{00000000-0005-0000-0000-000035040000}"/>
    <cellStyle name="Comma 2 5 3 2" xfId="1761" xr:uid="{00000000-0005-0000-0000-000036040000}"/>
    <cellStyle name="Comma 2 5 3 2 2" xfId="2192" xr:uid="{00000000-0005-0000-0000-000037040000}"/>
    <cellStyle name="Comma 2 5 3 2 2 2" xfId="2916" xr:uid="{00000000-0005-0000-0000-000038040000}"/>
    <cellStyle name="Comma 2 5 3 2 3" xfId="2491" xr:uid="{00000000-0005-0000-0000-000039040000}"/>
    <cellStyle name="Comma 2 5 3 3" xfId="1861" xr:uid="{00000000-0005-0000-0000-00003A040000}"/>
    <cellStyle name="Comma 2 5 3 3 2" xfId="2586" xr:uid="{00000000-0005-0000-0000-00003B040000}"/>
    <cellStyle name="Comma 2 5 4" xfId="1221" xr:uid="{00000000-0005-0000-0000-00003C040000}"/>
    <cellStyle name="Comma 2 5 4 2" xfId="2069" xr:uid="{00000000-0005-0000-0000-00003D040000}"/>
    <cellStyle name="Comma 2 5 4 2 2" xfId="2794" xr:uid="{00000000-0005-0000-0000-00003E040000}"/>
    <cellStyle name="Comma 2 5 4 3" xfId="2399" xr:uid="{00000000-0005-0000-0000-00003F040000}"/>
    <cellStyle name="Comma 2 6" xfId="366" xr:uid="{00000000-0005-0000-0000-000040040000}"/>
    <cellStyle name="Comma 2 6 2" xfId="367" xr:uid="{00000000-0005-0000-0000-000041040000}"/>
    <cellStyle name="Comma 2 6 2 2" xfId="1224" xr:uid="{00000000-0005-0000-0000-000042040000}"/>
    <cellStyle name="Comma 2 6 2 2 2" xfId="2072" xr:uid="{00000000-0005-0000-0000-000043040000}"/>
    <cellStyle name="Comma 2 6 2 2 2 2" xfId="2797" xr:uid="{00000000-0005-0000-0000-000044040000}"/>
    <cellStyle name="Comma 2 6 2 2 3" xfId="2402" xr:uid="{00000000-0005-0000-0000-000045040000}"/>
    <cellStyle name="Comma 2 6 2 3" xfId="1735" xr:uid="{00000000-0005-0000-0000-000046040000}"/>
    <cellStyle name="Comma 2 6 2 3 2" xfId="2168" xr:uid="{00000000-0005-0000-0000-000047040000}"/>
    <cellStyle name="Comma 2 6 2 3 2 2" xfId="2892" xr:uid="{00000000-0005-0000-0000-000048040000}"/>
    <cellStyle name="Comma 2 6 2 4" xfId="1863" xr:uid="{00000000-0005-0000-0000-000049040000}"/>
    <cellStyle name="Comma 2 6 2 4 2" xfId="2588" xr:uid="{00000000-0005-0000-0000-00004A040000}"/>
    <cellStyle name="Comma 2 6 3" xfId="1223" xr:uid="{00000000-0005-0000-0000-00004B040000}"/>
    <cellStyle name="Comma 2 6 3 2" xfId="2071" xr:uid="{00000000-0005-0000-0000-00004C040000}"/>
    <cellStyle name="Comma 2 6 3 2 2" xfId="2796" xr:uid="{00000000-0005-0000-0000-00004D040000}"/>
    <cellStyle name="Comma 2 6 3 3" xfId="2401" xr:uid="{00000000-0005-0000-0000-00004E040000}"/>
    <cellStyle name="Comma 2 6 4" xfId="1734" xr:uid="{00000000-0005-0000-0000-00004F040000}"/>
    <cellStyle name="Comma 2 6 4 2" xfId="2167" xr:uid="{00000000-0005-0000-0000-000050040000}"/>
    <cellStyle name="Comma 2 6 4 2 2" xfId="2891" xr:uid="{00000000-0005-0000-0000-000051040000}"/>
    <cellStyle name="Comma 2 6 5" xfId="1862" xr:uid="{00000000-0005-0000-0000-000052040000}"/>
    <cellStyle name="Comma 2 6 5 2" xfId="2587" xr:uid="{00000000-0005-0000-0000-000053040000}"/>
    <cellStyle name="Comma 2 7" xfId="368" xr:uid="{00000000-0005-0000-0000-000054040000}"/>
    <cellStyle name="Comma 2 7 2" xfId="1225" xr:uid="{00000000-0005-0000-0000-000055040000}"/>
    <cellStyle name="Comma 2 7 2 2" xfId="2073" xr:uid="{00000000-0005-0000-0000-000056040000}"/>
    <cellStyle name="Comma 2 7 2 2 2" xfId="2798" xr:uid="{00000000-0005-0000-0000-000057040000}"/>
    <cellStyle name="Comma 2 7 2 3" xfId="2403" xr:uid="{00000000-0005-0000-0000-000058040000}"/>
    <cellStyle name="Comma 2 7 3" xfId="1736" xr:uid="{00000000-0005-0000-0000-000059040000}"/>
    <cellStyle name="Comma 2 7 3 2" xfId="2169" xr:uid="{00000000-0005-0000-0000-00005A040000}"/>
    <cellStyle name="Comma 2 7 3 2 2" xfId="2893" xr:uid="{00000000-0005-0000-0000-00005B040000}"/>
    <cellStyle name="Comma 2 7_PMS Import" xfId="1525" xr:uid="{00000000-0005-0000-0000-00005C040000}"/>
    <cellStyle name="Comma 2 8" xfId="369" xr:uid="{00000000-0005-0000-0000-00005D040000}"/>
    <cellStyle name="Comma 2 8 2" xfId="1756" xr:uid="{00000000-0005-0000-0000-00005E040000}"/>
    <cellStyle name="Comma 2 8 2 2" xfId="2187" xr:uid="{00000000-0005-0000-0000-00005F040000}"/>
    <cellStyle name="Comma 2 8 2 2 2" xfId="2911" xr:uid="{00000000-0005-0000-0000-000060040000}"/>
    <cellStyle name="Comma 2 8 2 3" xfId="2487" xr:uid="{00000000-0005-0000-0000-000061040000}"/>
    <cellStyle name="Comma 2 9" xfId="370" xr:uid="{00000000-0005-0000-0000-000062040000}"/>
    <cellStyle name="Comma 2 9 2" xfId="1864" xr:uid="{00000000-0005-0000-0000-000063040000}"/>
    <cellStyle name="Comma 2 9 2 2" xfId="2589" xr:uid="{00000000-0005-0000-0000-000064040000}"/>
    <cellStyle name="Comma 2_~2568094" xfId="371" xr:uid="{00000000-0005-0000-0000-000065040000}"/>
    <cellStyle name="Comma 20" xfId="372" xr:uid="{00000000-0005-0000-0000-000066040000}"/>
    <cellStyle name="Comma 20 2" xfId="373" xr:uid="{00000000-0005-0000-0000-000067040000}"/>
    <cellStyle name="Comma 20 2 2" xfId="1784" xr:uid="{00000000-0005-0000-0000-000068040000}"/>
    <cellStyle name="Comma 20 2 2 2" xfId="2215" xr:uid="{00000000-0005-0000-0000-000069040000}"/>
    <cellStyle name="Comma 20 2 2 2 2" xfId="2939" xr:uid="{00000000-0005-0000-0000-00006A040000}"/>
    <cellStyle name="Comma 20 2 2 3" xfId="2514" xr:uid="{00000000-0005-0000-0000-00006B040000}"/>
    <cellStyle name="Comma 20 2 3" xfId="1865" xr:uid="{00000000-0005-0000-0000-00006C040000}"/>
    <cellStyle name="Comma 20 2 3 2" xfId="2590" xr:uid="{00000000-0005-0000-0000-00006D040000}"/>
    <cellStyle name="Comma 20 3" xfId="374" xr:uid="{00000000-0005-0000-0000-00006E040000}"/>
    <cellStyle name="Comma 20 3 2" xfId="375" xr:uid="{00000000-0005-0000-0000-00006F040000}"/>
    <cellStyle name="Comma 20 3 2 2" xfId="1867" xr:uid="{00000000-0005-0000-0000-000070040000}"/>
    <cellStyle name="Comma 20 3 2 2 2" xfId="2592" xr:uid="{00000000-0005-0000-0000-000071040000}"/>
    <cellStyle name="Comma 20 3 3" xfId="376" xr:uid="{00000000-0005-0000-0000-000072040000}"/>
    <cellStyle name="Comma 20 3 3 2" xfId="1868" xr:uid="{00000000-0005-0000-0000-000073040000}"/>
    <cellStyle name="Comma 20 3 3 2 2" xfId="2593" xr:uid="{00000000-0005-0000-0000-000074040000}"/>
    <cellStyle name="Comma 20 3 4" xfId="1866" xr:uid="{00000000-0005-0000-0000-000075040000}"/>
    <cellStyle name="Comma 20 3 4 2" xfId="2591" xr:uid="{00000000-0005-0000-0000-000076040000}"/>
    <cellStyle name="Comma 20 4" xfId="377" xr:uid="{00000000-0005-0000-0000-000077040000}"/>
    <cellStyle name="Comma 20 4 2" xfId="1869" xr:uid="{00000000-0005-0000-0000-000078040000}"/>
    <cellStyle name="Comma 20 4 2 2" xfId="2594" xr:uid="{00000000-0005-0000-0000-000079040000}"/>
    <cellStyle name="Comma 20 5" xfId="1226" xr:uid="{00000000-0005-0000-0000-00007A040000}"/>
    <cellStyle name="Comma 20 5 2" xfId="2074" xr:uid="{00000000-0005-0000-0000-00007B040000}"/>
    <cellStyle name="Comma 20 5 2 2" xfId="2799" xr:uid="{00000000-0005-0000-0000-00007C040000}"/>
    <cellStyle name="Comma 20 5 3" xfId="2404" xr:uid="{00000000-0005-0000-0000-00007D040000}"/>
    <cellStyle name="Comma 21" xfId="378" xr:uid="{00000000-0005-0000-0000-00007E040000}"/>
    <cellStyle name="Comma 21 2" xfId="379" xr:uid="{00000000-0005-0000-0000-00007F040000}"/>
    <cellStyle name="Comma 21 2 2" xfId="1785" xr:uid="{00000000-0005-0000-0000-000080040000}"/>
    <cellStyle name="Comma 21 2 2 2" xfId="2216" xr:uid="{00000000-0005-0000-0000-000081040000}"/>
    <cellStyle name="Comma 21 2 2 2 2" xfId="2940" xr:uid="{00000000-0005-0000-0000-000082040000}"/>
    <cellStyle name="Comma 21 2 2 3" xfId="2515" xr:uid="{00000000-0005-0000-0000-000083040000}"/>
    <cellStyle name="Comma 21 3" xfId="1227" xr:uid="{00000000-0005-0000-0000-000084040000}"/>
    <cellStyle name="Comma 21 3 2" xfId="2075" xr:uid="{00000000-0005-0000-0000-000085040000}"/>
    <cellStyle name="Comma 21 3 2 2" xfId="2800" xr:uid="{00000000-0005-0000-0000-000086040000}"/>
    <cellStyle name="Comma 21 3 3" xfId="2405" xr:uid="{00000000-0005-0000-0000-000087040000}"/>
    <cellStyle name="Comma 22" xfId="380" xr:uid="{00000000-0005-0000-0000-000088040000}"/>
    <cellStyle name="Comma 22 2" xfId="1228" xr:uid="{00000000-0005-0000-0000-000089040000}"/>
    <cellStyle name="Comma 22 2 2" xfId="2076" xr:uid="{00000000-0005-0000-0000-00008A040000}"/>
    <cellStyle name="Comma 22 2 2 2" xfId="2801" xr:uid="{00000000-0005-0000-0000-00008B040000}"/>
    <cellStyle name="Comma 22 2 3" xfId="2406" xr:uid="{00000000-0005-0000-0000-00008C040000}"/>
    <cellStyle name="Comma 23" xfId="381" xr:uid="{00000000-0005-0000-0000-00008D040000}"/>
    <cellStyle name="Comma 23 2" xfId="1229" xr:uid="{00000000-0005-0000-0000-00008E040000}"/>
    <cellStyle name="Comma 23 2 2" xfId="2077" xr:uid="{00000000-0005-0000-0000-00008F040000}"/>
    <cellStyle name="Comma 23 2 2 2" xfId="2802" xr:uid="{00000000-0005-0000-0000-000090040000}"/>
    <cellStyle name="Comma 23 2 3" xfId="2407" xr:uid="{00000000-0005-0000-0000-000091040000}"/>
    <cellStyle name="Comma 24" xfId="382" xr:uid="{00000000-0005-0000-0000-000092040000}"/>
    <cellStyle name="Comma 24 2" xfId="383" xr:uid="{00000000-0005-0000-0000-000093040000}"/>
    <cellStyle name="Comma 24 2 2" xfId="1786" xr:uid="{00000000-0005-0000-0000-000094040000}"/>
    <cellStyle name="Comma 24 2 2 2" xfId="2217" xr:uid="{00000000-0005-0000-0000-000095040000}"/>
    <cellStyle name="Comma 24 2 2 2 2" xfId="2941" xr:uid="{00000000-0005-0000-0000-000096040000}"/>
    <cellStyle name="Comma 24 2 2 3" xfId="2516" xr:uid="{00000000-0005-0000-0000-000097040000}"/>
    <cellStyle name="Comma 24 2 3" xfId="1870" xr:uid="{00000000-0005-0000-0000-000098040000}"/>
    <cellStyle name="Comma 24 2 3 2" xfId="2595" xr:uid="{00000000-0005-0000-0000-000099040000}"/>
    <cellStyle name="Comma 24 3" xfId="1230" xr:uid="{00000000-0005-0000-0000-00009A040000}"/>
    <cellStyle name="Comma 24 3 2" xfId="2078" xr:uid="{00000000-0005-0000-0000-00009B040000}"/>
    <cellStyle name="Comma 24 3 2 2" xfId="2803" xr:uid="{00000000-0005-0000-0000-00009C040000}"/>
    <cellStyle name="Comma 24 3 3" xfId="2408" xr:uid="{00000000-0005-0000-0000-00009D040000}"/>
    <cellStyle name="Comma 25" xfId="384" xr:uid="{00000000-0005-0000-0000-00009E040000}"/>
    <cellStyle name="Comma 25 2" xfId="385" xr:uid="{00000000-0005-0000-0000-00009F040000}"/>
    <cellStyle name="Comma 25 2 2" xfId="1787" xr:uid="{00000000-0005-0000-0000-0000A0040000}"/>
    <cellStyle name="Comma 25 2 2 2" xfId="2218" xr:uid="{00000000-0005-0000-0000-0000A1040000}"/>
    <cellStyle name="Comma 25 2 2 2 2" xfId="2942" xr:uid="{00000000-0005-0000-0000-0000A2040000}"/>
    <cellStyle name="Comma 25 2 2 3" xfId="2517" xr:uid="{00000000-0005-0000-0000-0000A3040000}"/>
    <cellStyle name="Comma 25 2 3" xfId="1871" xr:uid="{00000000-0005-0000-0000-0000A4040000}"/>
    <cellStyle name="Comma 25 2 3 2" xfId="2596" xr:uid="{00000000-0005-0000-0000-0000A5040000}"/>
    <cellStyle name="Comma 25 3" xfId="1231" xr:uid="{00000000-0005-0000-0000-0000A6040000}"/>
    <cellStyle name="Comma 25 3 2" xfId="2079" xr:uid="{00000000-0005-0000-0000-0000A7040000}"/>
    <cellStyle name="Comma 25 3 2 2" xfId="2804" xr:uid="{00000000-0005-0000-0000-0000A8040000}"/>
    <cellStyle name="Comma 25 3 3" xfId="2409" xr:uid="{00000000-0005-0000-0000-0000A9040000}"/>
    <cellStyle name="Comma 26" xfId="386" xr:uid="{00000000-0005-0000-0000-0000AA040000}"/>
    <cellStyle name="Comma 26 2" xfId="387" xr:uid="{00000000-0005-0000-0000-0000AB040000}"/>
    <cellStyle name="Comma 26 2 2" xfId="1233" xr:uid="{00000000-0005-0000-0000-0000AC040000}"/>
    <cellStyle name="Comma 26 2 3" xfId="1232" xr:uid="{00000000-0005-0000-0000-0000AD040000}"/>
    <cellStyle name="Comma 26 2 4" xfId="1872" xr:uid="{00000000-0005-0000-0000-0000AE040000}"/>
    <cellStyle name="Comma 26 2 4 2" xfId="2597" xr:uid="{00000000-0005-0000-0000-0000AF040000}"/>
    <cellStyle name="Comma 26 2_PMS Import" xfId="1524" xr:uid="{00000000-0005-0000-0000-0000B0040000}"/>
    <cellStyle name="Comma 26 3" xfId="1234" xr:uid="{00000000-0005-0000-0000-0000B1040000}"/>
    <cellStyle name="Comma 27" xfId="388" xr:uid="{00000000-0005-0000-0000-0000B2040000}"/>
    <cellStyle name="Comma 27 2" xfId="389" xr:uid="{00000000-0005-0000-0000-0000B3040000}"/>
    <cellStyle name="Comma 27 2 2" xfId="1788" xr:uid="{00000000-0005-0000-0000-0000B4040000}"/>
    <cellStyle name="Comma 27 2 2 2" xfId="2219" xr:uid="{00000000-0005-0000-0000-0000B5040000}"/>
    <cellStyle name="Comma 27 2 2 2 2" xfId="2943" xr:uid="{00000000-0005-0000-0000-0000B6040000}"/>
    <cellStyle name="Comma 27 2 2 3" xfId="2518" xr:uid="{00000000-0005-0000-0000-0000B7040000}"/>
    <cellStyle name="Comma 27 2 3" xfId="1874" xr:uid="{00000000-0005-0000-0000-0000B8040000}"/>
    <cellStyle name="Comma 27 2 3 2" xfId="2599" xr:uid="{00000000-0005-0000-0000-0000B9040000}"/>
    <cellStyle name="Comma 27 3" xfId="1235" xr:uid="{00000000-0005-0000-0000-0000BA040000}"/>
    <cellStyle name="Comma 27 3 2" xfId="2080" xr:uid="{00000000-0005-0000-0000-0000BB040000}"/>
    <cellStyle name="Comma 27 3 2 2" xfId="2805" xr:uid="{00000000-0005-0000-0000-0000BC040000}"/>
    <cellStyle name="Comma 27 3 3" xfId="2410" xr:uid="{00000000-0005-0000-0000-0000BD040000}"/>
    <cellStyle name="Comma 27 4" xfId="1121" xr:uid="{00000000-0005-0000-0000-0000BE040000}"/>
    <cellStyle name="Comma 27 4 2" xfId="1971" xr:uid="{00000000-0005-0000-0000-0000BF040000}"/>
    <cellStyle name="Comma 27 4 2 2" xfId="2696" xr:uid="{00000000-0005-0000-0000-0000C0040000}"/>
    <cellStyle name="Comma 27 4 3" xfId="2302" xr:uid="{00000000-0005-0000-0000-0000C1040000}"/>
    <cellStyle name="Comma 27 5" xfId="1737" xr:uid="{00000000-0005-0000-0000-0000C2040000}"/>
    <cellStyle name="Comma 27 5 2" xfId="2170" xr:uid="{00000000-0005-0000-0000-0000C3040000}"/>
    <cellStyle name="Comma 27 5 2 2" xfId="2894" xr:uid="{00000000-0005-0000-0000-0000C4040000}"/>
    <cellStyle name="Comma 27 6" xfId="1873" xr:uid="{00000000-0005-0000-0000-0000C5040000}"/>
    <cellStyle name="Comma 27 6 2" xfId="2598" xr:uid="{00000000-0005-0000-0000-0000C6040000}"/>
    <cellStyle name="Comma 27 7" xfId="2268" xr:uid="{00000000-0005-0000-0000-0000C7040000}"/>
    <cellStyle name="Comma 27_AGO Import" xfId="1684" xr:uid="{00000000-0005-0000-0000-0000C8040000}"/>
    <cellStyle name="Comma 28" xfId="390" xr:uid="{00000000-0005-0000-0000-0000C9040000}"/>
    <cellStyle name="Comma 28 2" xfId="391" xr:uid="{00000000-0005-0000-0000-0000CA040000}"/>
    <cellStyle name="Comma 28 2 2" xfId="1789" xr:uid="{00000000-0005-0000-0000-0000CB040000}"/>
    <cellStyle name="Comma 28 2 2 2" xfId="2220" xr:uid="{00000000-0005-0000-0000-0000CC040000}"/>
    <cellStyle name="Comma 28 2 2 2 2" xfId="2944" xr:uid="{00000000-0005-0000-0000-0000CD040000}"/>
    <cellStyle name="Comma 28 2 2 3" xfId="2519" xr:uid="{00000000-0005-0000-0000-0000CE040000}"/>
    <cellStyle name="Comma 28 2 3" xfId="1875" xr:uid="{00000000-0005-0000-0000-0000CF040000}"/>
    <cellStyle name="Comma 28 2 3 2" xfId="2600" xr:uid="{00000000-0005-0000-0000-0000D0040000}"/>
    <cellStyle name="Comma 28 3" xfId="1236" xr:uid="{00000000-0005-0000-0000-0000D1040000}"/>
    <cellStyle name="Comma 28 3 2" xfId="2081" xr:uid="{00000000-0005-0000-0000-0000D2040000}"/>
    <cellStyle name="Comma 28 3 2 2" xfId="2806" xr:uid="{00000000-0005-0000-0000-0000D3040000}"/>
    <cellStyle name="Comma 28 3 3" xfId="2411" xr:uid="{00000000-0005-0000-0000-0000D4040000}"/>
    <cellStyle name="Comma 29" xfId="392" xr:uid="{00000000-0005-0000-0000-0000D5040000}"/>
    <cellStyle name="Comma 29 2" xfId="1238" xr:uid="{00000000-0005-0000-0000-0000D6040000}"/>
    <cellStyle name="Comma 29 2 2" xfId="1239" xr:uid="{00000000-0005-0000-0000-0000D7040000}"/>
    <cellStyle name="Comma 29 2 2 2" xfId="1811" xr:uid="{00000000-0005-0000-0000-0000D8040000}"/>
    <cellStyle name="Comma 29 2 2 2 2" xfId="2242" xr:uid="{00000000-0005-0000-0000-0000D9040000}"/>
    <cellStyle name="Comma 29 2 2 2 2 2" xfId="2966" xr:uid="{00000000-0005-0000-0000-0000DA040000}"/>
    <cellStyle name="Comma 29 2 2 2 3" xfId="2541" xr:uid="{00000000-0005-0000-0000-0000DB040000}"/>
    <cellStyle name="Comma 29 2 2 3" xfId="2084" xr:uid="{00000000-0005-0000-0000-0000DC040000}"/>
    <cellStyle name="Comma 29 2 2 3 2" xfId="2809" xr:uid="{00000000-0005-0000-0000-0000DD040000}"/>
    <cellStyle name="Comma 29 2 2 4" xfId="2414" xr:uid="{00000000-0005-0000-0000-0000DE040000}"/>
    <cellStyle name="Comma 29 2 3" xfId="2083" xr:uid="{00000000-0005-0000-0000-0000DF040000}"/>
    <cellStyle name="Comma 29 2 3 2" xfId="2808" xr:uid="{00000000-0005-0000-0000-0000E0040000}"/>
    <cellStyle name="Comma 29 2 4" xfId="2413" xr:uid="{00000000-0005-0000-0000-0000E1040000}"/>
    <cellStyle name="Comma 29 2_PMS Import" xfId="1523" xr:uid="{00000000-0005-0000-0000-0000E2040000}"/>
    <cellStyle name="Comma 29 3" xfId="1240" xr:uid="{00000000-0005-0000-0000-0000E3040000}"/>
    <cellStyle name="Comma 29 3 2" xfId="1790" xr:uid="{00000000-0005-0000-0000-0000E4040000}"/>
    <cellStyle name="Comma 29 3 2 2" xfId="2221" xr:uid="{00000000-0005-0000-0000-0000E5040000}"/>
    <cellStyle name="Comma 29 3 2 2 2" xfId="2945" xr:uid="{00000000-0005-0000-0000-0000E6040000}"/>
    <cellStyle name="Comma 29 3 2 3" xfId="2520" xr:uid="{00000000-0005-0000-0000-0000E7040000}"/>
    <cellStyle name="Comma 29 3 3" xfId="2085" xr:uid="{00000000-0005-0000-0000-0000E8040000}"/>
    <cellStyle name="Comma 29 3 3 2" xfId="2810" xr:uid="{00000000-0005-0000-0000-0000E9040000}"/>
    <cellStyle name="Comma 29 3 4" xfId="2415" xr:uid="{00000000-0005-0000-0000-0000EA040000}"/>
    <cellStyle name="Comma 29 4" xfId="1237" xr:uid="{00000000-0005-0000-0000-0000EB040000}"/>
    <cellStyle name="Comma 29 4 2" xfId="2082" xr:uid="{00000000-0005-0000-0000-0000EC040000}"/>
    <cellStyle name="Comma 29 4 2 2" xfId="2807" xr:uid="{00000000-0005-0000-0000-0000ED040000}"/>
    <cellStyle name="Comma 29 4 3" xfId="2412" xr:uid="{00000000-0005-0000-0000-0000EE040000}"/>
    <cellStyle name="Comma 29 5" xfId="1120" xr:uid="{00000000-0005-0000-0000-0000EF040000}"/>
    <cellStyle name="Comma 29 5 2" xfId="1970" xr:uid="{00000000-0005-0000-0000-0000F0040000}"/>
    <cellStyle name="Comma 29 5 2 2" xfId="2695" xr:uid="{00000000-0005-0000-0000-0000F1040000}"/>
    <cellStyle name="Comma 29 5 3" xfId="2301" xr:uid="{00000000-0005-0000-0000-0000F2040000}"/>
    <cellStyle name="Comma 29_AGO Import" xfId="1683" xr:uid="{00000000-0005-0000-0000-0000F3040000}"/>
    <cellStyle name="Comma 3" xfId="8" xr:uid="{00000000-0005-0000-0000-0000F4040000}"/>
    <cellStyle name="Comma 3 10" xfId="393" xr:uid="{00000000-0005-0000-0000-0000F5040000}"/>
    <cellStyle name="Comma 3 10 2" xfId="1876" xr:uid="{00000000-0005-0000-0000-0000F6040000}"/>
    <cellStyle name="Comma 3 10 2 2" xfId="2601" xr:uid="{00000000-0005-0000-0000-0000F7040000}"/>
    <cellStyle name="Comma 3 11" xfId="394" xr:uid="{00000000-0005-0000-0000-0000F8040000}"/>
    <cellStyle name="Comma 3 11 2" xfId="1877" xr:uid="{00000000-0005-0000-0000-0000F9040000}"/>
    <cellStyle name="Comma 3 11 2 2" xfId="2602" xr:uid="{00000000-0005-0000-0000-0000FA040000}"/>
    <cellStyle name="Comma 3 12" xfId="395" xr:uid="{00000000-0005-0000-0000-0000FB040000}"/>
    <cellStyle name="Comma 3 12 2" xfId="1878" xr:uid="{00000000-0005-0000-0000-0000FC040000}"/>
    <cellStyle name="Comma 3 12 2 2" xfId="2603" xr:uid="{00000000-0005-0000-0000-0000FD040000}"/>
    <cellStyle name="Comma 3 13" xfId="396" xr:uid="{00000000-0005-0000-0000-0000FE040000}"/>
    <cellStyle name="Comma 3 13 2" xfId="1879" xr:uid="{00000000-0005-0000-0000-0000FF040000}"/>
    <cellStyle name="Comma 3 13 2 2" xfId="2604" xr:uid="{00000000-0005-0000-0000-000000050000}"/>
    <cellStyle name="Comma 3 14" xfId="397" xr:uid="{00000000-0005-0000-0000-000001050000}"/>
    <cellStyle name="Comma 3 14 2" xfId="1880" xr:uid="{00000000-0005-0000-0000-000002050000}"/>
    <cellStyle name="Comma 3 14 2 2" xfId="2605" xr:uid="{00000000-0005-0000-0000-000003050000}"/>
    <cellStyle name="Comma 3 15" xfId="398" xr:uid="{00000000-0005-0000-0000-000004050000}"/>
    <cellStyle name="Comma 3 15 2" xfId="1881" xr:uid="{00000000-0005-0000-0000-000005050000}"/>
    <cellStyle name="Comma 3 15 2 2" xfId="2606" xr:uid="{00000000-0005-0000-0000-000006050000}"/>
    <cellStyle name="Comma 3 16" xfId="399" xr:uid="{00000000-0005-0000-0000-000007050000}"/>
    <cellStyle name="Comma 3 16 2" xfId="1882" xr:uid="{00000000-0005-0000-0000-000008050000}"/>
    <cellStyle name="Comma 3 16 2 2" xfId="2607" xr:uid="{00000000-0005-0000-0000-000009050000}"/>
    <cellStyle name="Comma 3 17" xfId="400" xr:uid="{00000000-0005-0000-0000-00000A050000}"/>
    <cellStyle name="Comma 3 17 2" xfId="1883" xr:uid="{00000000-0005-0000-0000-00000B050000}"/>
    <cellStyle name="Comma 3 17 2 2" xfId="2608" xr:uid="{00000000-0005-0000-0000-00000C050000}"/>
    <cellStyle name="Comma 3 18" xfId="401" xr:uid="{00000000-0005-0000-0000-00000D050000}"/>
    <cellStyle name="Comma 3 18 2" xfId="1884" xr:uid="{00000000-0005-0000-0000-00000E050000}"/>
    <cellStyle name="Comma 3 18 2 2" xfId="2609" xr:uid="{00000000-0005-0000-0000-00000F050000}"/>
    <cellStyle name="Comma 3 19" xfId="402" xr:uid="{00000000-0005-0000-0000-000010050000}"/>
    <cellStyle name="Comma 3 19 2" xfId="1885" xr:uid="{00000000-0005-0000-0000-000011050000}"/>
    <cellStyle name="Comma 3 19 2 2" xfId="2610" xr:uid="{00000000-0005-0000-0000-000012050000}"/>
    <cellStyle name="Comma 3 2" xfId="403" xr:uid="{00000000-0005-0000-0000-000013050000}"/>
    <cellStyle name="Comma 3 2 2" xfId="404" xr:uid="{00000000-0005-0000-0000-000014050000}"/>
    <cellStyle name="Comma 3 2 2 2" xfId="1243" xr:uid="{00000000-0005-0000-0000-000015050000}"/>
    <cellStyle name="Comma 3 2 2 2 2" xfId="2087" xr:uid="{00000000-0005-0000-0000-000016050000}"/>
    <cellStyle name="Comma 3 2 2 2 2 2" xfId="2812" xr:uid="{00000000-0005-0000-0000-000017050000}"/>
    <cellStyle name="Comma 3 2 2 2 3" xfId="2417" xr:uid="{00000000-0005-0000-0000-000018050000}"/>
    <cellStyle name="Comma 3 2 3" xfId="405" xr:uid="{00000000-0005-0000-0000-000019050000}"/>
    <cellStyle name="Comma 3 2 3 2" xfId="1886" xr:uid="{00000000-0005-0000-0000-00001A050000}"/>
    <cellStyle name="Comma 3 2 3 2 2" xfId="2611" xr:uid="{00000000-0005-0000-0000-00001B050000}"/>
    <cellStyle name="Comma 3 2 4" xfId="1242" xr:uid="{00000000-0005-0000-0000-00001C050000}"/>
    <cellStyle name="Comma 3 2 4 2" xfId="2086" xr:uid="{00000000-0005-0000-0000-00001D050000}"/>
    <cellStyle name="Comma 3 2 4 2 2" xfId="2811" xr:uid="{00000000-0005-0000-0000-00001E050000}"/>
    <cellStyle name="Comma 3 2 4 3" xfId="2416" xr:uid="{00000000-0005-0000-0000-00001F050000}"/>
    <cellStyle name="Comma 3 2_AGO Import" xfId="1681" xr:uid="{00000000-0005-0000-0000-000020050000}"/>
    <cellStyle name="Comma 3 20" xfId="406" xr:uid="{00000000-0005-0000-0000-000021050000}"/>
    <cellStyle name="Comma 3 20 2" xfId="1887" xr:uid="{00000000-0005-0000-0000-000022050000}"/>
    <cellStyle name="Comma 3 20 2 2" xfId="2612" xr:uid="{00000000-0005-0000-0000-000023050000}"/>
    <cellStyle name="Comma 3 21" xfId="407" xr:uid="{00000000-0005-0000-0000-000024050000}"/>
    <cellStyle name="Comma 3 21 2" xfId="1888" xr:uid="{00000000-0005-0000-0000-000025050000}"/>
    <cellStyle name="Comma 3 21 2 2" xfId="2613" xr:uid="{00000000-0005-0000-0000-000026050000}"/>
    <cellStyle name="Comma 3 22" xfId="408" xr:uid="{00000000-0005-0000-0000-000027050000}"/>
    <cellStyle name="Comma 3 22 2" xfId="1889" xr:uid="{00000000-0005-0000-0000-000028050000}"/>
    <cellStyle name="Comma 3 22 2 2" xfId="2614" xr:uid="{00000000-0005-0000-0000-000029050000}"/>
    <cellStyle name="Comma 3 23" xfId="409" xr:uid="{00000000-0005-0000-0000-00002A050000}"/>
    <cellStyle name="Comma 3 23 2" xfId="1890" xr:uid="{00000000-0005-0000-0000-00002B050000}"/>
    <cellStyle name="Comma 3 23 2 2" xfId="2615" xr:uid="{00000000-0005-0000-0000-00002C050000}"/>
    <cellStyle name="Comma 3 24" xfId="410" xr:uid="{00000000-0005-0000-0000-00002D050000}"/>
    <cellStyle name="Comma 3 24 2" xfId="1891" xr:uid="{00000000-0005-0000-0000-00002E050000}"/>
    <cellStyle name="Comma 3 24 2 2" xfId="2616" xr:uid="{00000000-0005-0000-0000-00002F050000}"/>
    <cellStyle name="Comma 3 25" xfId="411" xr:uid="{00000000-0005-0000-0000-000030050000}"/>
    <cellStyle name="Comma 3 25 2" xfId="1892" xr:uid="{00000000-0005-0000-0000-000031050000}"/>
    <cellStyle name="Comma 3 25 2 2" xfId="2617" xr:uid="{00000000-0005-0000-0000-000032050000}"/>
    <cellStyle name="Comma 3 26" xfId="412" xr:uid="{00000000-0005-0000-0000-000033050000}"/>
    <cellStyle name="Comma 3 26 2" xfId="1893" xr:uid="{00000000-0005-0000-0000-000034050000}"/>
    <cellStyle name="Comma 3 26 2 2" xfId="2618" xr:uid="{00000000-0005-0000-0000-000035050000}"/>
    <cellStyle name="Comma 3 27" xfId="413" xr:uid="{00000000-0005-0000-0000-000036050000}"/>
    <cellStyle name="Comma 3 27 2" xfId="1894" xr:uid="{00000000-0005-0000-0000-000037050000}"/>
    <cellStyle name="Comma 3 27 2 2" xfId="2619" xr:uid="{00000000-0005-0000-0000-000038050000}"/>
    <cellStyle name="Comma 3 28" xfId="414" xr:uid="{00000000-0005-0000-0000-000039050000}"/>
    <cellStyle name="Comma 3 28 2" xfId="1895" xr:uid="{00000000-0005-0000-0000-00003A050000}"/>
    <cellStyle name="Comma 3 28 2 2" xfId="2620" xr:uid="{00000000-0005-0000-0000-00003B050000}"/>
    <cellStyle name="Comma 3 29" xfId="415" xr:uid="{00000000-0005-0000-0000-00003C050000}"/>
    <cellStyle name="Comma 3 29 2" xfId="1896" xr:uid="{00000000-0005-0000-0000-00003D050000}"/>
    <cellStyle name="Comma 3 29 2 2" xfId="2621" xr:uid="{00000000-0005-0000-0000-00003E050000}"/>
    <cellStyle name="Comma 3 3" xfId="416" xr:uid="{00000000-0005-0000-0000-00003F050000}"/>
    <cellStyle name="Comma 3 3 2" xfId="417" xr:uid="{00000000-0005-0000-0000-000040050000}"/>
    <cellStyle name="Comma 3 3 2 2" xfId="1246" xr:uid="{00000000-0005-0000-0000-000041050000}"/>
    <cellStyle name="Comma 3 3 2 2 2" xfId="1247" xr:uid="{00000000-0005-0000-0000-000042050000}"/>
    <cellStyle name="Comma 3 3 2 2 2 2" xfId="2090" xr:uid="{00000000-0005-0000-0000-000043050000}"/>
    <cellStyle name="Comma 3 3 2 2 2 2 2" xfId="2815" xr:uid="{00000000-0005-0000-0000-000044050000}"/>
    <cellStyle name="Comma 3 3 2 2 2 3" xfId="2420" xr:uid="{00000000-0005-0000-0000-000045050000}"/>
    <cellStyle name="Comma 3 3 2 2 3" xfId="2089" xr:uid="{00000000-0005-0000-0000-000046050000}"/>
    <cellStyle name="Comma 3 3 2 2 3 2" xfId="2814" xr:uid="{00000000-0005-0000-0000-000047050000}"/>
    <cellStyle name="Comma 3 3 2 2 4" xfId="2419" xr:uid="{00000000-0005-0000-0000-000048050000}"/>
    <cellStyle name="Comma 3 3 2 2_PMS Import" xfId="1522" xr:uid="{00000000-0005-0000-0000-000049050000}"/>
    <cellStyle name="Comma 3 3 2 3" xfId="1248" xr:uid="{00000000-0005-0000-0000-00004A050000}"/>
    <cellStyle name="Comma 3 3 2 3 2" xfId="2091" xr:uid="{00000000-0005-0000-0000-00004B050000}"/>
    <cellStyle name="Comma 3 3 2 3 2 2" xfId="2816" xr:uid="{00000000-0005-0000-0000-00004C050000}"/>
    <cellStyle name="Comma 3 3 2 3 3" xfId="2421" xr:uid="{00000000-0005-0000-0000-00004D050000}"/>
    <cellStyle name="Comma 3 3 2 4" xfId="1245" xr:uid="{00000000-0005-0000-0000-00004E050000}"/>
    <cellStyle name="Comma 3 3 2 4 2" xfId="2088" xr:uid="{00000000-0005-0000-0000-00004F050000}"/>
    <cellStyle name="Comma 3 3 2 4 2 2" xfId="2813" xr:uid="{00000000-0005-0000-0000-000050050000}"/>
    <cellStyle name="Comma 3 3 2 4 3" xfId="2418" xr:uid="{00000000-0005-0000-0000-000051050000}"/>
    <cellStyle name="Comma 3 3 2 5" xfId="1897" xr:uid="{00000000-0005-0000-0000-000052050000}"/>
    <cellStyle name="Comma 3 3 2 5 2" xfId="2622" xr:uid="{00000000-0005-0000-0000-000053050000}"/>
    <cellStyle name="Comma 3 3 2 6" xfId="2269" xr:uid="{00000000-0005-0000-0000-000054050000}"/>
    <cellStyle name="Comma 3 3 3" xfId="418" xr:uid="{00000000-0005-0000-0000-000055050000}"/>
    <cellStyle name="Comma 3 3 3 2" xfId="1898" xr:uid="{00000000-0005-0000-0000-000056050000}"/>
    <cellStyle name="Comma 3 3 3 2 2" xfId="2623" xr:uid="{00000000-0005-0000-0000-000057050000}"/>
    <cellStyle name="Comma 3 3 4" xfId="1244" xr:uid="{00000000-0005-0000-0000-000058050000}"/>
    <cellStyle name="Comma 3 3 5" xfId="1119" xr:uid="{00000000-0005-0000-0000-000059050000}"/>
    <cellStyle name="Comma 3 30" xfId="419" xr:uid="{00000000-0005-0000-0000-00005A050000}"/>
    <cellStyle name="Comma 3 30 2" xfId="1899" xr:uid="{00000000-0005-0000-0000-00005B050000}"/>
    <cellStyle name="Comma 3 30 2 2" xfId="2624" xr:uid="{00000000-0005-0000-0000-00005C050000}"/>
    <cellStyle name="Comma 3 31" xfId="420" xr:uid="{00000000-0005-0000-0000-00005D050000}"/>
    <cellStyle name="Comma 3 31 2" xfId="1900" xr:uid="{00000000-0005-0000-0000-00005E050000}"/>
    <cellStyle name="Comma 3 31 2 2" xfId="2625" xr:uid="{00000000-0005-0000-0000-00005F050000}"/>
    <cellStyle name="Comma 3 32" xfId="421" xr:uid="{00000000-0005-0000-0000-000060050000}"/>
    <cellStyle name="Comma 3 32 2" xfId="1901" xr:uid="{00000000-0005-0000-0000-000061050000}"/>
    <cellStyle name="Comma 3 32 2 2" xfId="2626" xr:uid="{00000000-0005-0000-0000-000062050000}"/>
    <cellStyle name="Comma 3 33" xfId="422" xr:uid="{00000000-0005-0000-0000-000063050000}"/>
    <cellStyle name="Comma 3 33 2" xfId="1902" xr:uid="{00000000-0005-0000-0000-000064050000}"/>
    <cellStyle name="Comma 3 33 2 2" xfId="2627" xr:uid="{00000000-0005-0000-0000-000065050000}"/>
    <cellStyle name="Comma 3 34" xfId="423" xr:uid="{00000000-0005-0000-0000-000066050000}"/>
    <cellStyle name="Comma 3 34 2" xfId="1903" xr:uid="{00000000-0005-0000-0000-000067050000}"/>
    <cellStyle name="Comma 3 34 2 2" xfId="2628" xr:uid="{00000000-0005-0000-0000-000068050000}"/>
    <cellStyle name="Comma 3 35" xfId="424" xr:uid="{00000000-0005-0000-0000-000069050000}"/>
    <cellStyle name="Comma 3 35 2" xfId="1904" xr:uid="{00000000-0005-0000-0000-00006A050000}"/>
    <cellStyle name="Comma 3 35 2 2" xfId="2629" xr:uid="{00000000-0005-0000-0000-00006B050000}"/>
    <cellStyle name="Comma 3 36" xfId="425" xr:uid="{00000000-0005-0000-0000-00006C050000}"/>
    <cellStyle name="Comma 3 36 2" xfId="1905" xr:uid="{00000000-0005-0000-0000-00006D050000}"/>
    <cellStyle name="Comma 3 36 2 2" xfId="2630" xr:uid="{00000000-0005-0000-0000-00006E050000}"/>
    <cellStyle name="Comma 3 37" xfId="426" xr:uid="{00000000-0005-0000-0000-00006F050000}"/>
    <cellStyle name="Comma 3 37 2" xfId="1906" xr:uid="{00000000-0005-0000-0000-000070050000}"/>
    <cellStyle name="Comma 3 37 2 2" xfId="2631" xr:uid="{00000000-0005-0000-0000-000071050000}"/>
    <cellStyle name="Comma 3 38" xfId="427" xr:uid="{00000000-0005-0000-0000-000072050000}"/>
    <cellStyle name="Comma 3 38 2" xfId="1907" xr:uid="{00000000-0005-0000-0000-000073050000}"/>
    <cellStyle name="Comma 3 38 2 2" xfId="2632" xr:uid="{00000000-0005-0000-0000-000074050000}"/>
    <cellStyle name="Comma 3 39" xfId="428" xr:uid="{00000000-0005-0000-0000-000075050000}"/>
    <cellStyle name="Comma 3 39 2" xfId="1908" xr:uid="{00000000-0005-0000-0000-000076050000}"/>
    <cellStyle name="Comma 3 39 2 2" xfId="2633" xr:uid="{00000000-0005-0000-0000-000077050000}"/>
    <cellStyle name="Comma 3 4" xfId="429" xr:uid="{00000000-0005-0000-0000-000078050000}"/>
    <cellStyle name="Comma 3 4 2" xfId="1249" xr:uid="{00000000-0005-0000-0000-000079050000}"/>
    <cellStyle name="Comma 3 4 3" xfId="1118" xr:uid="{00000000-0005-0000-0000-00007A050000}"/>
    <cellStyle name="Comma 3 4 3 2" xfId="1969" xr:uid="{00000000-0005-0000-0000-00007B050000}"/>
    <cellStyle name="Comma 3 4 3 2 2" xfId="2694" xr:uid="{00000000-0005-0000-0000-00007C050000}"/>
    <cellStyle name="Comma 3 4 3 3" xfId="2300" xr:uid="{00000000-0005-0000-0000-00007D050000}"/>
    <cellStyle name="Comma 3 4_PMS Import" xfId="1521" xr:uid="{00000000-0005-0000-0000-00007E050000}"/>
    <cellStyle name="Comma 3 40" xfId="430" xr:uid="{00000000-0005-0000-0000-00007F050000}"/>
    <cellStyle name="Comma 3 40 2" xfId="1909" xr:uid="{00000000-0005-0000-0000-000080050000}"/>
    <cellStyle name="Comma 3 40 2 2" xfId="2634" xr:uid="{00000000-0005-0000-0000-000081050000}"/>
    <cellStyle name="Comma 3 41" xfId="1241" xr:uid="{00000000-0005-0000-0000-000082050000}"/>
    <cellStyle name="Comma 3 42" xfId="1712" xr:uid="{00000000-0005-0000-0000-000083050000}"/>
    <cellStyle name="Comma 3 43" xfId="1726" xr:uid="{00000000-0005-0000-0000-000084050000}"/>
    <cellStyle name="Comma 3 44" xfId="1739" xr:uid="{00000000-0005-0000-0000-000085050000}"/>
    <cellStyle name="Comma 3 45" xfId="1707" xr:uid="{00000000-0005-0000-0000-000086050000}"/>
    <cellStyle name="Comma 3 46" xfId="1714" xr:uid="{00000000-0005-0000-0000-000087050000}"/>
    <cellStyle name="Comma 3 47" xfId="1829" xr:uid="{00000000-0005-0000-0000-000088050000}"/>
    <cellStyle name="Comma 3 47 2" xfId="2554" xr:uid="{00000000-0005-0000-0000-000089050000}"/>
    <cellStyle name="Comma 3 48" xfId="2260" xr:uid="{00000000-0005-0000-0000-00008A050000}"/>
    <cellStyle name="Comma 3 49" xfId="2991" xr:uid="{00000000-0005-0000-0000-00008B050000}"/>
    <cellStyle name="Comma 3 5" xfId="431" xr:uid="{00000000-0005-0000-0000-00008C050000}"/>
    <cellStyle name="Comma 3 5 2" xfId="1910" xr:uid="{00000000-0005-0000-0000-00008D050000}"/>
    <cellStyle name="Comma 3 5 2 2" xfId="2635" xr:uid="{00000000-0005-0000-0000-00008E050000}"/>
    <cellStyle name="Comma 3 5 3" xfId="2270" xr:uid="{00000000-0005-0000-0000-00008F050000}"/>
    <cellStyle name="Comma 3 50" xfId="2997" xr:uid="{00000000-0005-0000-0000-000090050000}"/>
    <cellStyle name="Comma 3 51" xfId="2989" xr:uid="{00000000-0005-0000-0000-000091050000}"/>
    <cellStyle name="Comma 3 52" xfId="2990" xr:uid="{00000000-0005-0000-0000-000092050000}"/>
    <cellStyle name="Comma 3 6" xfId="432" xr:uid="{00000000-0005-0000-0000-000093050000}"/>
    <cellStyle name="Comma 3 6 2" xfId="1911" xr:uid="{00000000-0005-0000-0000-000094050000}"/>
    <cellStyle name="Comma 3 6 2 2" xfId="2636" xr:uid="{00000000-0005-0000-0000-000095050000}"/>
    <cellStyle name="Comma 3 7" xfId="433" xr:uid="{00000000-0005-0000-0000-000096050000}"/>
    <cellStyle name="Comma 3 7 2" xfId="1912" xr:uid="{00000000-0005-0000-0000-000097050000}"/>
    <cellStyle name="Comma 3 7 2 2" xfId="2637" xr:uid="{00000000-0005-0000-0000-000098050000}"/>
    <cellStyle name="Comma 3 8" xfId="434" xr:uid="{00000000-0005-0000-0000-000099050000}"/>
    <cellStyle name="Comma 3 8 2" xfId="1913" xr:uid="{00000000-0005-0000-0000-00009A050000}"/>
    <cellStyle name="Comma 3 8 2 2" xfId="2638" xr:uid="{00000000-0005-0000-0000-00009B050000}"/>
    <cellStyle name="Comma 3 9" xfId="435" xr:uid="{00000000-0005-0000-0000-00009C050000}"/>
    <cellStyle name="Comma 3 9 2" xfId="1914" xr:uid="{00000000-0005-0000-0000-00009D050000}"/>
    <cellStyle name="Comma 3 9 2 2" xfId="2639" xr:uid="{00000000-0005-0000-0000-00009E050000}"/>
    <cellStyle name="Comma 3_AGO Import" xfId="1682" xr:uid="{00000000-0005-0000-0000-00009F050000}"/>
    <cellStyle name="Comma 30" xfId="436" xr:uid="{00000000-0005-0000-0000-0000A0050000}"/>
    <cellStyle name="Comma 30 2" xfId="1251" xr:uid="{00000000-0005-0000-0000-0000A1050000}"/>
    <cellStyle name="Comma 30 2 2" xfId="1252" xr:uid="{00000000-0005-0000-0000-0000A2050000}"/>
    <cellStyle name="Comma 30 2 2 2" xfId="1812" xr:uid="{00000000-0005-0000-0000-0000A3050000}"/>
    <cellStyle name="Comma 30 2 2 2 2" xfId="2243" xr:uid="{00000000-0005-0000-0000-0000A4050000}"/>
    <cellStyle name="Comma 30 2 2 2 2 2" xfId="2967" xr:uid="{00000000-0005-0000-0000-0000A5050000}"/>
    <cellStyle name="Comma 30 2 2 2 3" xfId="2542" xr:uid="{00000000-0005-0000-0000-0000A6050000}"/>
    <cellStyle name="Comma 30 2 2 3" xfId="2094" xr:uid="{00000000-0005-0000-0000-0000A7050000}"/>
    <cellStyle name="Comma 30 2 2 3 2" xfId="2819" xr:uid="{00000000-0005-0000-0000-0000A8050000}"/>
    <cellStyle name="Comma 30 2 2 4" xfId="2424" xr:uid="{00000000-0005-0000-0000-0000A9050000}"/>
    <cellStyle name="Comma 30 2 3" xfId="2093" xr:uid="{00000000-0005-0000-0000-0000AA050000}"/>
    <cellStyle name="Comma 30 2 3 2" xfId="2818" xr:uid="{00000000-0005-0000-0000-0000AB050000}"/>
    <cellStyle name="Comma 30 2 4" xfId="2423" xr:uid="{00000000-0005-0000-0000-0000AC050000}"/>
    <cellStyle name="Comma 30 2_PMS Import" xfId="1519" xr:uid="{00000000-0005-0000-0000-0000AD050000}"/>
    <cellStyle name="Comma 30 3" xfId="1253" xr:uid="{00000000-0005-0000-0000-0000AE050000}"/>
    <cellStyle name="Comma 30 3 2" xfId="1791" xr:uid="{00000000-0005-0000-0000-0000AF050000}"/>
    <cellStyle name="Comma 30 3 2 2" xfId="2222" xr:uid="{00000000-0005-0000-0000-0000B0050000}"/>
    <cellStyle name="Comma 30 3 2 2 2" xfId="2946" xr:uid="{00000000-0005-0000-0000-0000B1050000}"/>
    <cellStyle name="Comma 30 3 2 3" xfId="2521" xr:uid="{00000000-0005-0000-0000-0000B2050000}"/>
    <cellStyle name="Comma 30 3 3" xfId="2095" xr:uid="{00000000-0005-0000-0000-0000B3050000}"/>
    <cellStyle name="Comma 30 3 3 2" xfId="2820" xr:uid="{00000000-0005-0000-0000-0000B4050000}"/>
    <cellStyle name="Comma 30 3 4" xfId="2425" xr:uid="{00000000-0005-0000-0000-0000B5050000}"/>
    <cellStyle name="Comma 30 4" xfId="1250" xr:uid="{00000000-0005-0000-0000-0000B6050000}"/>
    <cellStyle name="Comma 30 4 2" xfId="2092" xr:uid="{00000000-0005-0000-0000-0000B7050000}"/>
    <cellStyle name="Comma 30 4 2 2" xfId="2817" xr:uid="{00000000-0005-0000-0000-0000B8050000}"/>
    <cellStyle name="Comma 30 4 3" xfId="2422" xr:uid="{00000000-0005-0000-0000-0000B9050000}"/>
    <cellStyle name="Comma 30 5" xfId="1117" xr:uid="{00000000-0005-0000-0000-0000BA050000}"/>
    <cellStyle name="Comma 30 5 2" xfId="1968" xr:uid="{00000000-0005-0000-0000-0000BB050000}"/>
    <cellStyle name="Comma 30 5 2 2" xfId="2693" xr:uid="{00000000-0005-0000-0000-0000BC050000}"/>
    <cellStyle name="Comma 30 5 3" xfId="2299" xr:uid="{00000000-0005-0000-0000-0000BD050000}"/>
    <cellStyle name="Comma 30 6" xfId="1915" xr:uid="{00000000-0005-0000-0000-0000BE050000}"/>
    <cellStyle name="Comma 30 6 2" xfId="2640" xr:uid="{00000000-0005-0000-0000-0000BF050000}"/>
    <cellStyle name="Comma 30 7" xfId="2271" xr:uid="{00000000-0005-0000-0000-0000C0050000}"/>
    <cellStyle name="Comma 30_PMS Import" xfId="1520" xr:uid="{00000000-0005-0000-0000-0000C1050000}"/>
    <cellStyle name="Comma 31" xfId="437" xr:uid="{00000000-0005-0000-0000-0000C2050000}"/>
    <cellStyle name="Comma 31 10" xfId="1724" xr:uid="{00000000-0005-0000-0000-0000C3050000}"/>
    <cellStyle name="Comma 31 10 2" xfId="2158" xr:uid="{00000000-0005-0000-0000-0000C4050000}"/>
    <cellStyle name="Comma 31 10 2 2" xfId="2882" xr:uid="{00000000-0005-0000-0000-0000C5050000}"/>
    <cellStyle name="Comma 31 2" xfId="1255" xr:uid="{00000000-0005-0000-0000-0000C6050000}"/>
    <cellStyle name="Comma 31 2 2" xfId="1256" xr:uid="{00000000-0005-0000-0000-0000C7050000}"/>
    <cellStyle name="Comma 31 2 2 2" xfId="2098" xr:uid="{00000000-0005-0000-0000-0000C8050000}"/>
    <cellStyle name="Comma 31 2 2 2 2" xfId="2823" xr:uid="{00000000-0005-0000-0000-0000C9050000}"/>
    <cellStyle name="Comma 31 2 2 3" xfId="2428" xr:uid="{00000000-0005-0000-0000-0000CA050000}"/>
    <cellStyle name="Comma 31 2 3" xfId="1813" xr:uid="{00000000-0005-0000-0000-0000CB050000}"/>
    <cellStyle name="Comma 31 2 3 2" xfId="2244" xr:uid="{00000000-0005-0000-0000-0000CC050000}"/>
    <cellStyle name="Comma 31 2 3 2 2" xfId="2968" xr:uid="{00000000-0005-0000-0000-0000CD050000}"/>
    <cellStyle name="Comma 31 2 3 3" xfId="2543" xr:uid="{00000000-0005-0000-0000-0000CE050000}"/>
    <cellStyle name="Comma 31 2 4" xfId="2097" xr:uid="{00000000-0005-0000-0000-0000CF050000}"/>
    <cellStyle name="Comma 31 2 4 2" xfId="2822" xr:uid="{00000000-0005-0000-0000-0000D0050000}"/>
    <cellStyle name="Comma 31 2 5" xfId="2427" xr:uid="{00000000-0005-0000-0000-0000D1050000}"/>
    <cellStyle name="Comma 31 2_PMS Import" xfId="1518" xr:uid="{00000000-0005-0000-0000-0000D2050000}"/>
    <cellStyle name="Comma 31 3" xfId="1257" xr:uid="{00000000-0005-0000-0000-0000D3050000}"/>
    <cellStyle name="Comma 31 3 2" xfId="2099" xr:uid="{00000000-0005-0000-0000-0000D4050000}"/>
    <cellStyle name="Comma 31 3 2 2" xfId="2824" xr:uid="{00000000-0005-0000-0000-0000D5050000}"/>
    <cellStyle name="Comma 31 3 3" xfId="2429" xr:uid="{00000000-0005-0000-0000-0000D6050000}"/>
    <cellStyle name="Comma 31 4" xfId="1254" xr:uid="{00000000-0005-0000-0000-0000D7050000}"/>
    <cellStyle name="Comma 31 4 2" xfId="2096" xr:uid="{00000000-0005-0000-0000-0000D8050000}"/>
    <cellStyle name="Comma 31 4 2 2" xfId="2821" xr:uid="{00000000-0005-0000-0000-0000D9050000}"/>
    <cellStyle name="Comma 31 4 3" xfId="2426" xr:uid="{00000000-0005-0000-0000-0000DA050000}"/>
    <cellStyle name="Comma 31 5" xfId="1116" xr:uid="{00000000-0005-0000-0000-0000DB050000}"/>
    <cellStyle name="Comma 31 5 2" xfId="1967" xr:uid="{00000000-0005-0000-0000-0000DC050000}"/>
    <cellStyle name="Comma 31 5 2 2" xfId="2692" xr:uid="{00000000-0005-0000-0000-0000DD050000}"/>
    <cellStyle name="Comma 31 5 3" xfId="2298" xr:uid="{00000000-0005-0000-0000-0000DE050000}"/>
    <cellStyle name="Comma 31 6" xfId="1748" xr:uid="{00000000-0005-0000-0000-0000DF050000}"/>
    <cellStyle name="Comma 31 6 2" xfId="2179" xr:uid="{00000000-0005-0000-0000-0000E0050000}"/>
    <cellStyle name="Comma 31 6 2 2" xfId="2903" xr:uid="{00000000-0005-0000-0000-0000E1050000}"/>
    <cellStyle name="Comma 31 7" xfId="1710" xr:uid="{00000000-0005-0000-0000-0000E2050000}"/>
    <cellStyle name="Comma 31 7 2" xfId="2149" xr:uid="{00000000-0005-0000-0000-0000E3050000}"/>
    <cellStyle name="Comma 31 7 2 2" xfId="2873" xr:uid="{00000000-0005-0000-0000-0000E4050000}"/>
    <cellStyle name="Comma 31 8" xfId="1821" xr:uid="{00000000-0005-0000-0000-0000E5050000}"/>
    <cellStyle name="Comma 31 8 2" xfId="2252" xr:uid="{00000000-0005-0000-0000-0000E6050000}"/>
    <cellStyle name="Comma 31 8 2 2" xfId="2976" xr:uid="{00000000-0005-0000-0000-0000E7050000}"/>
    <cellStyle name="Comma 31 9" xfId="1716" xr:uid="{00000000-0005-0000-0000-0000E8050000}"/>
    <cellStyle name="Comma 31 9 2" xfId="2153" xr:uid="{00000000-0005-0000-0000-0000E9050000}"/>
    <cellStyle name="Comma 31 9 2 2" xfId="2877" xr:uid="{00000000-0005-0000-0000-0000EA050000}"/>
    <cellStyle name="Comma 32" xfId="438" xr:uid="{00000000-0005-0000-0000-0000EB050000}"/>
    <cellStyle name="Comma 32 10" xfId="1727" xr:uid="{00000000-0005-0000-0000-0000EC050000}"/>
    <cellStyle name="Comma 32 10 2" xfId="2160" xr:uid="{00000000-0005-0000-0000-0000ED050000}"/>
    <cellStyle name="Comma 32 10 2 2" xfId="2884" xr:uid="{00000000-0005-0000-0000-0000EE050000}"/>
    <cellStyle name="Comma 32 2" xfId="1259" xr:uid="{00000000-0005-0000-0000-0000EF050000}"/>
    <cellStyle name="Comma 32 2 2" xfId="1260" xr:uid="{00000000-0005-0000-0000-0000F0050000}"/>
    <cellStyle name="Comma 32 2 2 2" xfId="2102" xr:uid="{00000000-0005-0000-0000-0000F1050000}"/>
    <cellStyle name="Comma 32 2 2 2 2" xfId="2827" xr:uid="{00000000-0005-0000-0000-0000F2050000}"/>
    <cellStyle name="Comma 32 2 2 3" xfId="2432" xr:uid="{00000000-0005-0000-0000-0000F3050000}"/>
    <cellStyle name="Comma 32 2 3" xfId="1814" xr:uid="{00000000-0005-0000-0000-0000F4050000}"/>
    <cellStyle name="Comma 32 2 3 2" xfId="2245" xr:uid="{00000000-0005-0000-0000-0000F5050000}"/>
    <cellStyle name="Comma 32 2 3 2 2" xfId="2969" xr:uid="{00000000-0005-0000-0000-0000F6050000}"/>
    <cellStyle name="Comma 32 2 3 3" xfId="2544" xr:uid="{00000000-0005-0000-0000-0000F7050000}"/>
    <cellStyle name="Comma 32 2 4" xfId="2101" xr:uid="{00000000-0005-0000-0000-0000F8050000}"/>
    <cellStyle name="Comma 32 2 4 2" xfId="2826" xr:uid="{00000000-0005-0000-0000-0000F9050000}"/>
    <cellStyle name="Comma 32 2 5" xfId="2431" xr:uid="{00000000-0005-0000-0000-0000FA050000}"/>
    <cellStyle name="Comma 32 2_PMS Import" xfId="1517" xr:uid="{00000000-0005-0000-0000-0000FB050000}"/>
    <cellStyle name="Comma 32 3" xfId="1261" xr:uid="{00000000-0005-0000-0000-0000FC050000}"/>
    <cellStyle name="Comma 32 3 2" xfId="2103" xr:uid="{00000000-0005-0000-0000-0000FD050000}"/>
    <cellStyle name="Comma 32 3 2 2" xfId="2828" xr:uid="{00000000-0005-0000-0000-0000FE050000}"/>
    <cellStyle name="Comma 32 3 3" xfId="2433" xr:uid="{00000000-0005-0000-0000-0000FF050000}"/>
    <cellStyle name="Comma 32 4" xfId="1258" xr:uid="{00000000-0005-0000-0000-000000060000}"/>
    <cellStyle name="Comma 32 4 2" xfId="2100" xr:uid="{00000000-0005-0000-0000-000001060000}"/>
    <cellStyle name="Comma 32 4 2 2" xfId="2825" xr:uid="{00000000-0005-0000-0000-000002060000}"/>
    <cellStyle name="Comma 32 4 3" xfId="2430" xr:uid="{00000000-0005-0000-0000-000003060000}"/>
    <cellStyle name="Comma 32 5" xfId="1115" xr:uid="{00000000-0005-0000-0000-000004060000}"/>
    <cellStyle name="Comma 32 5 2" xfId="1966" xr:uid="{00000000-0005-0000-0000-000005060000}"/>
    <cellStyle name="Comma 32 5 2 2" xfId="2691" xr:uid="{00000000-0005-0000-0000-000006060000}"/>
    <cellStyle name="Comma 32 5 3" xfId="2297" xr:uid="{00000000-0005-0000-0000-000007060000}"/>
    <cellStyle name="Comma 32 6" xfId="1749" xr:uid="{00000000-0005-0000-0000-000008060000}"/>
    <cellStyle name="Comma 32 6 2" xfId="2180" xr:uid="{00000000-0005-0000-0000-000009060000}"/>
    <cellStyle name="Comma 32 6 2 2" xfId="2904" xr:uid="{00000000-0005-0000-0000-00000A060000}"/>
    <cellStyle name="Comma 32 7" xfId="1709" xr:uid="{00000000-0005-0000-0000-00000B060000}"/>
    <cellStyle name="Comma 32 7 2" xfId="2148" xr:uid="{00000000-0005-0000-0000-00000C060000}"/>
    <cellStyle name="Comma 32 7 2 2" xfId="2872" xr:uid="{00000000-0005-0000-0000-00000D060000}"/>
    <cellStyle name="Comma 32 8" xfId="1742" xr:uid="{00000000-0005-0000-0000-00000E060000}"/>
    <cellStyle name="Comma 32 8 2" xfId="2173" xr:uid="{00000000-0005-0000-0000-00000F060000}"/>
    <cellStyle name="Comma 32 8 2 2" xfId="2897" xr:uid="{00000000-0005-0000-0000-000010060000}"/>
    <cellStyle name="Comma 32 9" xfId="1822" xr:uid="{00000000-0005-0000-0000-000011060000}"/>
    <cellStyle name="Comma 32 9 2" xfId="2253" xr:uid="{00000000-0005-0000-0000-000012060000}"/>
    <cellStyle name="Comma 32 9 2 2" xfId="2977" xr:uid="{00000000-0005-0000-0000-000013060000}"/>
    <cellStyle name="Comma 33" xfId="439" xr:uid="{00000000-0005-0000-0000-000014060000}"/>
    <cellStyle name="Comma 33 10" xfId="1715" xr:uid="{00000000-0005-0000-0000-000015060000}"/>
    <cellStyle name="Comma 33 10 2" xfId="2152" xr:uid="{00000000-0005-0000-0000-000016060000}"/>
    <cellStyle name="Comma 33 10 2 2" xfId="2876" xr:uid="{00000000-0005-0000-0000-000017060000}"/>
    <cellStyle name="Comma 33 10 3" xfId="2477" xr:uid="{00000000-0005-0000-0000-000018060000}"/>
    <cellStyle name="Comma 33 2" xfId="1263" xr:uid="{00000000-0005-0000-0000-000019060000}"/>
    <cellStyle name="Comma 33 2 2" xfId="1264" xr:uid="{00000000-0005-0000-0000-00001A060000}"/>
    <cellStyle name="Comma 33 2 2 2" xfId="2106" xr:uid="{00000000-0005-0000-0000-00001B060000}"/>
    <cellStyle name="Comma 33 2 2 2 2" xfId="2831" xr:uid="{00000000-0005-0000-0000-00001C060000}"/>
    <cellStyle name="Comma 33 2 2 3" xfId="2436" xr:uid="{00000000-0005-0000-0000-00001D060000}"/>
    <cellStyle name="Comma 33 2 3" xfId="2105" xr:uid="{00000000-0005-0000-0000-00001E060000}"/>
    <cellStyle name="Comma 33 2 3 2" xfId="2830" xr:uid="{00000000-0005-0000-0000-00001F060000}"/>
    <cellStyle name="Comma 33 2 4" xfId="2435" xr:uid="{00000000-0005-0000-0000-000020060000}"/>
    <cellStyle name="Comma 33 2_PMS Import" xfId="1515" xr:uid="{00000000-0005-0000-0000-000021060000}"/>
    <cellStyle name="Comma 33 3" xfId="1265" xr:uid="{00000000-0005-0000-0000-000022060000}"/>
    <cellStyle name="Comma 33 3 2" xfId="2107" xr:uid="{00000000-0005-0000-0000-000023060000}"/>
    <cellStyle name="Comma 33 3 2 2" xfId="2832" xr:uid="{00000000-0005-0000-0000-000024060000}"/>
    <cellStyle name="Comma 33 3 3" xfId="2437" xr:uid="{00000000-0005-0000-0000-000025060000}"/>
    <cellStyle name="Comma 33 4" xfId="1262" xr:uid="{00000000-0005-0000-0000-000026060000}"/>
    <cellStyle name="Comma 33 4 2" xfId="2104" xr:uid="{00000000-0005-0000-0000-000027060000}"/>
    <cellStyle name="Comma 33 4 2 2" xfId="2829" xr:uid="{00000000-0005-0000-0000-000028060000}"/>
    <cellStyle name="Comma 33 4 3" xfId="2434" xr:uid="{00000000-0005-0000-0000-000029060000}"/>
    <cellStyle name="Comma 33 5" xfId="1114" xr:uid="{00000000-0005-0000-0000-00002A060000}"/>
    <cellStyle name="Comma 33 5 2" xfId="1965" xr:uid="{00000000-0005-0000-0000-00002B060000}"/>
    <cellStyle name="Comma 33 5 2 2" xfId="2690" xr:uid="{00000000-0005-0000-0000-00002C060000}"/>
    <cellStyle name="Comma 33 5 3" xfId="2296" xr:uid="{00000000-0005-0000-0000-00002D060000}"/>
    <cellStyle name="Comma 33 6" xfId="1755" xr:uid="{00000000-0005-0000-0000-00002E060000}"/>
    <cellStyle name="Comma 33 6 2" xfId="2186" xr:uid="{00000000-0005-0000-0000-00002F060000}"/>
    <cellStyle name="Comma 33 6 2 2" xfId="2910" xr:uid="{00000000-0005-0000-0000-000030060000}"/>
    <cellStyle name="Comma 33 6 3" xfId="2486" xr:uid="{00000000-0005-0000-0000-000031060000}"/>
    <cellStyle name="Comma 33 7" xfId="1706" xr:uid="{00000000-0005-0000-0000-000032060000}"/>
    <cellStyle name="Comma 33 7 2" xfId="2146" xr:uid="{00000000-0005-0000-0000-000033060000}"/>
    <cellStyle name="Comma 33 7 2 2" xfId="2870" xr:uid="{00000000-0005-0000-0000-000034060000}"/>
    <cellStyle name="Comma 33 7 3" xfId="2475" xr:uid="{00000000-0005-0000-0000-000035060000}"/>
    <cellStyle name="Comma 33 8" xfId="1754" xr:uid="{00000000-0005-0000-0000-000036060000}"/>
    <cellStyle name="Comma 33 8 2" xfId="2185" xr:uid="{00000000-0005-0000-0000-000037060000}"/>
    <cellStyle name="Comma 33 8 2 2" xfId="2909" xr:uid="{00000000-0005-0000-0000-000038060000}"/>
    <cellStyle name="Comma 33 8 3" xfId="2485" xr:uid="{00000000-0005-0000-0000-000039060000}"/>
    <cellStyle name="Comma 33 9" xfId="1729" xr:uid="{00000000-0005-0000-0000-00003A060000}"/>
    <cellStyle name="Comma 33 9 2" xfId="2162" xr:uid="{00000000-0005-0000-0000-00003B060000}"/>
    <cellStyle name="Comma 33 9 2 2" xfId="2886" xr:uid="{00000000-0005-0000-0000-00003C060000}"/>
    <cellStyle name="Comma 33 9 3" xfId="2481" xr:uid="{00000000-0005-0000-0000-00003D060000}"/>
    <cellStyle name="Comma 33_PMS Import" xfId="1516" xr:uid="{00000000-0005-0000-0000-00003E060000}"/>
    <cellStyle name="Comma 34" xfId="440" xr:uid="{00000000-0005-0000-0000-00003F060000}"/>
    <cellStyle name="Comma 34 2" xfId="1266" xr:uid="{00000000-0005-0000-0000-000040060000}"/>
    <cellStyle name="Comma 34 2 2" xfId="2108" xr:uid="{00000000-0005-0000-0000-000041060000}"/>
    <cellStyle name="Comma 34 2 2 2" xfId="2833" xr:uid="{00000000-0005-0000-0000-000042060000}"/>
    <cellStyle name="Comma 34 2 3" xfId="2438" xr:uid="{00000000-0005-0000-0000-000043060000}"/>
    <cellStyle name="Comma 34 3" xfId="1113" xr:uid="{00000000-0005-0000-0000-000044060000}"/>
    <cellStyle name="Comma 34 3 2" xfId="1964" xr:uid="{00000000-0005-0000-0000-000045060000}"/>
    <cellStyle name="Comma 34 3 2 2" xfId="2689" xr:uid="{00000000-0005-0000-0000-000046060000}"/>
    <cellStyle name="Comma 34 3 3" xfId="2295" xr:uid="{00000000-0005-0000-0000-000047060000}"/>
    <cellStyle name="Comma 34 4" xfId="1750" xr:uid="{00000000-0005-0000-0000-000048060000}"/>
    <cellStyle name="Comma 34 4 2" xfId="2181" xr:uid="{00000000-0005-0000-0000-000049060000}"/>
    <cellStyle name="Comma 34 4 2 2" xfId="2905" xr:uid="{00000000-0005-0000-0000-00004A060000}"/>
    <cellStyle name="Comma 34 5" xfId="1916" xr:uid="{00000000-0005-0000-0000-00004B060000}"/>
    <cellStyle name="Comma 34 5 2" xfId="2641" xr:uid="{00000000-0005-0000-0000-00004C060000}"/>
    <cellStyle name="Comma 35" xfId="441" xr:uid="{00000000-0005-0000-0000-00004D060000}"/>
    <cellStyle name="Comma 35 2" xfId="1268" xr:uid="{00000000-0005-0000-0000-00004E060000}"/>
    <cellStyle name="Comma 35 2 2" xfId="1815" xr:uid="{00000000-0005-0000-0000-00004F060000}"/>
    <cellStyle name="Comma 35 2 2 2" xfId="2246" xr:uid="{00000000-0005-0000-0000-000050060000}"/>
    <cellStyle name="Comma 35 2 2 2 2" xfId="2970" xr:uid="{00000000-0005-0000-0000-000051060000}"/>
    <cellStyle name="Comma 35 2 2 3" xfId="2545" xr:uid="{00000000-0005-0000-0000-000052060000}"/>
    <cellStyle name="Comma 35 2 3" xfId="2110" xr:uid="{00000000-0005-0000-0000-000053060000}"/>
    <cellStyle name="Comma 35 2 3 2" xfId="2835" xr:uid="{00000000-0005-0000-0000-000054060000}"/>
    <cellStyle name="Comma 35 2 4" xfId="2440" xr:uid="{00000000-0005-0000-0000-000055060000}"/>
    <cellStyle name="Comma 35 3" xfId="1267" xr:uid="{00000000-0005-0000-0000-000056060000}"/>
    <cellStyle name="Comma 35 3 2" xfId="2109" xr:uid="{00000000-0005-0000-0000-000057060000}"/>
    <cellStyle name="Comma 35 3 2 2" xfId="2834" xr:uid="{00000000-0005-0000-0000-000058060000}"/>
    <cellStyle name="Comma 35 3 3" xfId="2439" xr:uid="{00000000-0005-0000-0000-000059060000}"/>
    <cellStyle name="Comma 35 4" xfId="1699" xr:uid="{00000000-0005-0000-0000-00005A060000}"/>
    <cellStyle name="Comma 35 4 2" xfId="2141" xr:uid="{00000000-0005-0000-0000-00005B060000}"/>
    <cellStyle name="Comma 35 4 2 2" xfId="2865" xr:uid="{00000000-0005-0000-0000-00005C060000}"/>
    <cellStyle name="Comma 35 4 3" xfId="2470" xr:uid="{00000000-0005-0000-0000-00005D060000}"/>
    <cellStyle name="Comma 35 5" xfId="1917" xr:uid="{00000000-0005-0000-0000-00005E060000}"/>
    <cellStyle name="Comma 35 5 2" xfId="2642" xr:uid="{00000000-0005-0000-0000-00005F060000}"/>
    <cellStyle name="Comma 35_PMS Import" xfId="1514" xr:uid="{00000000-0005-0000-0000-000060060000}"/>
    <cellStyle name="Comma 36" xfId="442" xr:uid="{00000000-0005-0000-0000-000061060000}"/>
    <cellStyle name="Comma 36 2" xfId="1269" xr:uid="{00000000-0005-0000-0000-000062060000}"/>
    <cellStyle name="Comma 36 2 2" xfId="2111" xr:uid="{00000000-0005-0000-0000-000063060000}"/>
    <cellStyle name="Comma 36 2 2 2" xfId="2836" xr:uid="{00000000-0005-0000-0000-000064060000}"/>
    <cellStyle name="Comma 36 2 3" xfId="2441" xr:uid="{00000000-0005-0000-0000-000065060000}"/>
    <cellStyle name="Comma 36 3" xfId="1701" xr:uid="{00000000-0005-0000-0000-000066060000}"/>
    <cellStyle name="Comma 36 3 2" xfId="2142" xr:uid="{00000000-0005-0000-0000-000067060000}"/>
    <cellStyle name="Comma 36 3 2 2" xfId="2866" xr:uid="{00000000-0005-0000-0000-000068060000}"/>
    <cellStyle name="Comma 36 3 3" xfId="2471" xr:uid="{00000000-0005-0000-0000-000069060000}"/>
    <cellStyle name="Comma 36 4" xfId="1918" xr:uid="{00000000-0005-0000-0000-00006A060000}"/>
    <cellStyle name="Comma 36 4 2" xfId="2643" xr:uid="{00000000-0005-0000-0000-00006B060000}"/>
    <cellStyle name="Comma 37" xfId="443" xr:uid="{00000000-0005-0000-0000-00006C060000}"/>
    <cellStyle name="Comma 37 2" xfId="1703" xr:uid="{00000000-0005-0000-0000-00006D060000}"/>
    <cellStyle name="Comma 37 2 2" xfId="2143" xr:uid="{00000000-0005-0000-0000-00006E060000}"/>
    <cellStyle name="Comma 37 2 2 2" xfId="2867" xr:uid="{00000000-0005-0000-0000-00006F060000}"/>
    <cellStyle name="Comma 37 2 3" xfId="2472" xr:uid="{00000000-0005-0000-0000-000070060000}"/>
    <cellStyle name="Comma 37 3" xfId="1919" xr:uid="{00000000-0005-0000-0000-000071060000}"/>
    <cellStyle name="Comma 37 3 2" xfId="2644" xr:uid="{00000000-0005-0000-0000-000072060000}"/>
    <cellStyle name="Comma 38" xfId="444" xr:uid="{00000000-0005-0000-0000-000073060000}"/>
    <cellStyle name="Comma 38 2" xfId="1794" xr:uid="{00000000-0005-0000-0000-000074060000}"/>
    <cellStyle name="Comma 38 2 2" xfId="2225" xr:uid="{00000000-0005-0000-0000-000075060000}"/>
    <cellStyle name="Comma 38 2 2 2" xfId="2949" xr:uid="{00000000-0005-0000-0000-000076060000}"/>
    <cellStyle name="Comma 38 2 3" xfId="2524" xr:uid="{00000000-0005-0000-0000-000077060000}"/>
    <cellStyle name="Comma 38 3" xfId="1920" xr:uid="{00000000-0005-0000-0000-000078060000}"/>
    <cellStyle name="Comma 38 3 2" xfId="2645" xr:uid="{00000000-0005-0000-0000-000079060000}"/>
    <cellStyle name="Comma 39" xfId="445" xr:uid="{00000000-0005-0000-0000-00007A060000}"/>
    <cellStyle name="Comma 39 2" xfId="1793" xr:uid="{00000000-0005-0000-0000-00007B060000}"/>
    <cellStyle name="Comma 39 2 2" xfId="2224" xr:uid="{00000000-0005-0000-0000-00007C060000}"/>
    <cellStyle name="Comma 39 2 2 2" xfId="2948" xr:uid="{00000000-0005-0000-0000-00007D060000}"/>
    <cellStyle name="Comma 39 2 3" xfId="2523" xr:uid="{00000000-0005-0000-0000-00007E060000}"/>
    <cellStyle name="Comma 39 3" xfId="1921" xr:uid="{00000000-0005-0000-0000-00007F060000}"/>
    <cellStyle name="Comma 39 3 2" xfId="2646" xr:uid="{00000000-0005-0000-0000-000080060000}"/>
    <cellStyle name="Comma 4" xfId="10" xr:uid="{00000000-0005-0000-0000-000081060000}"/>
    <cellStyle name="Comma 4 2" xfId="446" xr:uid="{00000000-0005-0000-0000-000082060000}"/>
    <cellStyle name="Comma 4 2 2" xfId="447" xr:uid="{00000000-0005-0000-0000-000083060000}"/>
    <cellStyle name="Comma 4 2 2 10" xfId="1708" xr:uid="{00000000-0005-0000-0000-000084060000}"/>
    <cellStyle name="Comma 4 2 2 10 2" xfId="2147" xr:uid="{00000000-0005-0000-0000-000085060000}"/>
    <cellStyle name="Comma 4 2 2 10 2 2" xfId="2871" xr:uid="{00000000-0005-0000-0000-000086060000}"/>
    <cellStyle name="Comma 4 2 2 10 3" xfId="2476" xr:uid="{00000000-0005-0000-0000-000087060000}"/>
    <cellStyle name="Comma 4 2 2 11" xfId="1923" xr:uid="{00000000-0005-0000-0000-000088060000}"/>
    <cellStyle name="Comma 4 2 2 11 2" xfId="2648" xr:uid="{00000000-0005-0000-0000-000089060000}"/>
    <cellStyle name="Comma 4 2 2 2" xfId="1273" xr:uid="{00000000-0005-0000-0000-00008A060000}"/>
    <cellStyle name="Comma 4 2 2 2 2" xfId="1274" xr:uid="{00000000-0005-0000-0000-00008B060000}"/>
    <cellStyle name="Comma 4 2 2 2 2 2" xfId="2116" xr:uid="{00000000-0005-0000-0000-00008C060000}"/>
    <cellStyle name="Comma 4 2 2 2 2 2 2" xfId="2841" xr:uid="{00000000-0005-0000-0000-00008D060000}"/>
    <cellStyle name="Comma 4 2 2 2 2 3" xfId="2446" xr:uid="{00000000-0005-0000-0000-00008E060000}"/>
    <cellStyle name="Comma 4 2 2 2 3" xfId="2115" xr:uid="{00000000-0005-0000-0000-00008F060000}"/>
    <cellStyle name="Comma 4 2 2 2 3 2" xfId="2840" xr:uid="{00000000-0005-0000-0000-000090060000}"/>
    <cellStyle name="Comma 4 2 2 2 4" xfId="2445" xr:uid="{00000000-0005-0000-0000-000091060000}"/>
    <cellStyle name="Comma 4 2 2 2_PMS Import" xfId="1512" xr:uid="{00000000-0005-0000-0000-000092060000}"/>
    <cellStyle name="Comma 4 2 2 3" xfId="1275" xr:uid="{00000000-0005-0000-0000-000093060000}"/>
    <cellStyle name="Comma 4 2 2 3 2" xfId="2117" xr:uid="{00000000-0005-0000-0000-000094060000}"/>
    <cellStyle name="Comma 4 2 2 3 2 2" xfId="2842" xr:uid="{00000000-0005-0000-0000-000095060000}"/>
    <cellStyle name="Comma 4 2 2 3 3" xfId="2447" xr:uid="{00000000-0005-0000-0000-000096060000}"/>
    <cellStyle name="Comma 4 2 2 4" xfId="1272" xr:uid="{00000000-0005-0000-0000-000097060000}"/>
    <cellStyle name="Comma 4 2 2 4 2" xfId="2114" xr:uid="{00000000-0005-0000-0000-000098060000}"/>
    <cellStyle name="Comma 4 2 2 4 2 2" xfId="2839" xr:uid="{00000000-0005-0000-0000-000099060000}"/>
    <cellStyle name="Comma 4 2 2 4 3" xfId="2444" xr:uid="{00000000-0005-0000-0000-00009A060000}"/>
    <cellStyle name="Comma 4 2 2 5" xfId="1110" xr:uid="{00000000-0005-0000-0000-00009B060000}"/>
    <cellStyle name="Comma 4 2 2 5 2" xfId="1961" xr:uid="{00000000-0005-0000-0000-00009C060000}"/>
    <cellStyle name="Comma 4 2 2 5 2 2" xfId="2686" xr:uid="{00000000-0005-0000-0000-00009D060000}"/>
    <cellStyle name="Comma 4 2 2 5 3" xfId="2292" xr:uid="{00000000-0005-0000-0000-00009E060000}"/>
    <cellStyle name="Comma 4 2 2 6" xfId="1792" xr:uid="{00000000-0005-0000-0000-00009F060000}"/>
    <cellStyle name="Comma 4 2 2 6 2" xfId="2223" xr:uid="{00000000-0005-0000-0000-0000A0060000}"/>
    <cellStyle name="Comma 4 2 2 6 2 2" xfId="2947" xr:uid="{00000000-0005-0000-0000-0000A1060000}"/>
    <cellStyle name="Comma 4 2 2 6 3" xfId="2522" xr:uid="{00000000-0005-0000-0000-0000A2060000}"/>
    <cellStyle name="Comma 4 2 2 7" xfId="1820" xr:uid="{00000000-0005-0000-0000-0000A3060000}"/>
    <cellStyle name="Comma 4 2 2 7 2" xfId="2251" xr:uid="{00000000-0005-0000-0000-0000A4060000}"/>
    <cellStyle name="Comma 4 2 2 7 2 2" xfId="2975" xr:uid="{00000000-0005-0000-0000-0000A5060000}"/>
    <cellStyle name="Comma 4 2 2 7 3" xfId="2550" xr:uid="{00000000-0005-0000-0000-0000A6060000}"/>
    <cellStyle name="Comma 4 2 2 8" xfId="1738" xr:uid="{00000000-0005-0000-0000-0000A7060000}"/>
    <cellStyle name="Comma 4 2 2 8 2" xfId="2171" xr:uid="{00000000-0005-0000-0000-0000A8060000}"/>
    <cellStyle name="Comma 4 2 2 8 2 2" xfId="2895" xr:uid="{00000000-0005-0000-0000-0000A9060000}"/>
    <cellStyle name="Comma 4 2 2 8 3" xfId="2482" xr:uid="{00000000-0005-0000-0000-0000AA060000}"/>
    <cellStyle name="Comma 4 2 2 9" xfId="1747" xr:uid="{00000000-0005-0000-0000-0000AB060000}"/>
    <cellStyle name="Comma 4 2 2 9 2" xfId="2178" xr:uid="{00000000-0005-0000-0000-0000AC060000}"/>
    <cellStyle name="Comma 4 2 2 9 2 2" xfId="2902" xr:uid="{00000000-0005-0000-0000-0000AD060000}"/>
    <cellStyle name="Comma 4 2 2 9 3" xfId="2484" xr:uid="{00000000-0005-0000-0000-0000AE060000}"/>
    <cellStyle name="Comma 4 2 3" xfId="1271" xr:uid="{00000000-0005-0000-0000-0000AF060000}"/>
    <cellStyle name="Comma 4 2 3 2" xfId="2113" xr:uid="{00000000-0005-0000-0000-0000B0060000}"/>
    <cellStyle name="Comma 4 2 3 2 2" xfId="2838" xr:uid="{00000000-0005-0000-0000-0000B1060000}"/>
    <cellStyle name="Comma 4 2 3 3" xfId="2443" xr:uid="{00000000-0005-0000-0000-0000B2060000}"/>
    <cellStyle name="Comma 4 2 4" xfId="1109" xr:uid="{00000000-0005-0000-0000-0000B3060000}"/>
    <cellStyle name="Comma 4 2 4 2" xfId="1960" xr:uid="{00000000-0005-0000-0000-0000B4060000}"/>
    <cellStyle name="Comma 4 2 4 2 2" xfId="2685" xr:uid="{00000000-0005-0000-0000-0000B5060000}"/>
    <cellStyle name="Comma 4 2 4 3" xfId="2291" xr:uid="{00000000-0005-0000-0000-0000B6060000}"/>
    <cellStyle name="Comma 4 2 5" xfId="1111" xr:uid="{00000000-0005-0000-0000-0000B7060000}"/>
    <cellStyle name="Comma 4 2 5 2" xfId="1962" xr:uid="{00000000-0005-0000-0000-0000B8060000}"/>
    <cellStyle name="Comma 4 2 5 2 2" xfId="2687" xr:uid="{00000000-0005-0000-0000-0000B9060000}"/>
    <cellStyle name="Comma 4 2 5 3" xfId="2293" xr:uid="{00000000-0005-0000-0000-0000BA060000}"/>
    <cellStyle name="Comma 4 2 6" xfId="1922" xr:uid="{00000000-0005-0000-0000-0000BB060000}"/>
    <cellStyle name="Comma 4 2 6 2" xfId="2647" xr:uid="{00000000-0005-0000-0000-0000BC060000}"/>
    <cellStyle name="Comma 4 2 7" xfId="2272" xr:uid="{00000000-0005-0000-0000-0000BD060000}"/>
    <cellStyle name="Comma 4 3" xfId="448" xr:uid="{00000000-0005-0000-0000-0000BE060000}"/>
    <cellStyle name="Comma 4 3 2" xfId="1276" xr:uid="{00000000-0005-0000-0000-0000BF060000}"/>
    <cellStyle name="Comma 4 3 2 2" xfId="2118" xr:uid="{00000000-0005-0000-0000-0000C0060000}"/>
    <cellStyle name="Comma 4 3 2 2 2" xfId="2843" xr:uid="{00000000-0005-0000-0000-0000C1060000}"/>
    <cellStyle name="Comma 4 3 2 3" xfId="2448" xr:uid="{00000000-0005-0000-0000-0000C2060000}"/>
    <cellStyle name="Comma 4 3 3" xfId="1108" xr:uid="{00000000-0005-0000-0000-0000C3060000}"/>
    <cellStyle name="Comma 4 3 3 2" xfId="1959" xr:uid="{00000000-0005-0000-0000-0000C4060000}"/>
    <cellStyle name="Comma 4 3 3 2 2" xfId="2684" xr:uid="{00000000-0005-0000-0000-0000C5060000}"/>
    <cellStyle name="Comma 4 3 3 3" xfId="2290" xr:uid="{00000000-0005-0000-0000-0000C6060000}"/>
    <cellStyle name="Comma 4 4" xfId="449" xr:uid="{00000000-0005-0000-0000-0000C7060000}"/>
    <cellStyle name="Comma 4 4 2" xfId="1107" xr:uid="{00000000-0005-0000-0000-0000C8060000}"/>
    <cellStyle name="Comma 4 4 2 2" xfId="1958" xr:uid="{00000000-0005-0000-0000-0000C9060000}"/>
    <cellStyle name="Comma 4 4 2 2 2" xfId="2683" xr:uid="{00000000-0005-0000-0000-0000CA060000}"/>
    <cellStyle name="Comma 4 4 2 3" xfId="2289" xr:uid="{00000000-0005-0000-0000-0000CB060000}"/>
    <cellStyle name="Comma 4 4 3" xfId="1762" xr:uid="{00000000-0005-0000-0000-0000CC060000}"/>
    <cellStyle name="Comma 4 4 3 2" xfId="2193" xr:uid="{00000000-0005-0000-0000-0000CD060000}"/>
    <cellStyle name="Comma 4 4 3 2 2" xfId="2917" xr:uid="{00000000-0005-0000-0000-0000CE060000}"/>
    <cellStyle name="Comma 4 4 3 3" xfId="2492" xr:uid="{00000000-0005-0000-0000-0000CF060000}"/>
    <cellStyle name="Comma 4 4 4" xfId="1924" xr:uid="{00000000-0005-0000-0000-0000D0060000}"/>
    <cellStyle name="Comma 4 4 4 2" xfId="2649" xr:uid="{00000000-0005-0000-0000-0000D1060000}"/>
    <cellStyle name="Comma 4 5" xfId="1270" xr:uid="{00000000-0005-0000-0000-0000D2060000}"/>
    <cellStyle name="Comma 4 5 2" xfId="1106" xr:uid="{00000000-0005-0000-0000-0000D3060000}"/>
    <cellStyle name="Comma 4 5 2 2" xfId="1957" xr:uid="{00000000-0005-0000-0000-0000D4060000}"/>
    <cellStyle name="Comma 4 5 2 2 2" xfId="2682" xr:uid="{00000000-0005-0000-0000-0000D5060000}"/>
    <cellStyle name="Comma 4 5 2 3" xfId="2288" xr:uid="{00000000-0005-0000-0000-0000D6060000}"/>
    <cellStyle name="Comma 4 5 3" xfId="2112" xr:uid="{00000000-0005-0000-0000-0000D7060000}"/>
    <cellStyle name="Comma 4 5 3 2" xfId="2837" xr:uid="{00000000-0005-0000-0000-0000D8060000}"/>
    <cellStyle name="Comma 4 5 4" xfId="2442" xr:uid="{00000000-0005-0000-0000-0000D9060000}"/>
    <cellStyle name="Comma 4 5_AGO Import" xfId="1680" xr:uid="{00000000-0005-0000-0000-0000DA060000}"/>
    <cellStyle name="Comma 4 6" xfId="1112" xr:uid="{00000000-0005-0000-0000-0000DB060000}"/>
    <cellStyle name="Comma 4 6 2" xfId="1963" xr:uid="{00000000-0005-0000-0000-0000DC060000}"/>
    <cellStyle name="Comma 4 6 2 2" xfId="2688" xr:uid="{00000000-0005-0000-0000-0000DD060000}"/>
    <cellStyle name="Comma 4 6 3" xfId="2294" xr:uid="{00000000-0005-0000-0000-0000DE060000}"/>
    <cellStyle name="Comma 4 7" xfId="1830" xr:uid="{00000000-0005-0000-0000-0000DF060000}"/>
    <cellStyle name="Comma 4 7 2" xfId="2555" xr:uid="{00000000-0005-0000-0000-0000E0060000}"/>
    <cellStyle name="Comma 4 8" xfId="2261" xr:uid="{00000000-0005-0000-0000-0000E1060000}"/>
    <cellStyle name="Comma 4_PMS Import" xfId="1513" xr:uid="{00000000-0005-0000-0000-0000E2060000}"/>
    <cellStyle name="Comma 40" xfId="450" xr:uid="{00000000-0005-0000-0000-0000E3060000}"/>
    <cellStyle name="Comma 40 2" xfId="1767" xr:uid="{00000000-0005-0000-0000-0000E4060000}"/>
    <cellStyle name="Comma 40 2 2" xfId="2198" xr:uid="{00000000-0005-0000-0000-0000E5060000}"/>
    <cellStyle name="Comma 40 2 2 2" xfId="2922" xr:uid="{00000000-0005-0000-0000-0000E6060000}"/>
    <cellStyle name="Comma 40 2 3" xfId="2497" xr:uid="{00000000-0005-0000-0000-0000E7060000}"/>
    <cellStyle name="Comma 40 3" xfId="1925" xr:uid="{00000000-0005-0000-0000-0000E8060000}"/>
    <cellStyle name="Comma 40 3 2" xfId="2650" xr:uid="{00000000-0005-0000-0000-0000E9060000}"/>
    <cellStyle name="Comma 41" xfId="451" xr:uid="{00000000-0005-0000-0000-0000EA060000}"/>
    <cellStyle name="Comma 41 2" xfId="1926" xr:uid="{00000000-0005-0000-0000-0000EB060000}"/>
    <cellStyle name="Comma 41 2 2" xfId="2651" xr:uid="{00000000-0005-0000-0000-0000EC060000}"/>
    <cellStyle name="Comma 41 3" xfId="2992" xr:uid="{00000000-0005-0000-0000-0000ED060000}"/>
    <cellStyle name="Comma 42" xfId="452" xr:uid="{00000000-0005-0000-0000-0000EE060000}"/>
    <cellStyle name="Comma 42 2" xfId="1927" xr:uid="{00000000-0005-0000-0000-0000EF060000}"/>
    <cellStyle name="Comma 42 2 2" xfId="2652" xr:uid="{00000000-0005-0000-0000-0000F0060000}"/>
    <cellStyle name="Comma 43" xfId="1124" xr:uid="{00000000-0005-0000-0000-0000F1060000}"/>
    <cellStyle name="Comma 43 2" xfId="1972" xr:uid="{00000000-0005-0000-0000-0000F2060000}"/>
    <cellStyle name="Comma 43 2 2" xfId="2697" xr:uid="{00000000-0005-0000-0000-0000F3060000}"/>
    <cellStyle name="Comma 43 3" xfId="2303" xr:uid="{00000000-0005-0000-0000-0000F4060000}"/>
    <cellStyle name="Comma 44" xfId="1293" xr:uid="{00000000-0005-0000-0000-0000F5060000}"/>
    <cellStyle name="Comma 44 2" xfId="2135" xr:uid="{00000000-0005-0000-0000-0000F6060000}"/>
    <cellStyle name="Comma 44 2 2" xfId="2860" xr:uid="{00000000-0005-0000-0000-0000F7060000}"/>
    <cellStyle name="Comma 44 3" xfId="2465" xr:uid="{00000000-0005-0000-0000-0000F8060000}"/>
    <cellStyle name="Comma 45" xfId="1704" xr:uid="{00000000-0005-0000-0000-0000F9060000}"/>
    <cellStyle name="Comma 45 2" xfId="2144" xr:uid="{00000000-0005-0000-0000-0000FA060000}"/>
    <cellStyle name="Comma 45 2 2" xfId="2868" xr:uid="{00000000-0005-0000-0000-0000FB060000}"/>
    <cellStyle name="Comma 45 3" xfId="2473" xr:uid="{00000000-0005-0000-0000-0000FC060000}"/>
    <cellStyle name="Comma 46" xfId="1705" xr:uid="{00000000-0005-0000-0000-0000FD060000}"/>
    <cellStyle name="Comma 46 2" xfId="2145" xr:uid="{00000000-0005-0000-0000-0000FE060000}"/>
    <cellStyle name="Comma 46 2 2" xfId="2869" xr:uid="{00000000-0005-0000-0000-0000FF060000}"/>
    <cellStyle name="Comma 46 3" xfId="2474" xr:uid="{00000000-0005-0000-0000-000000070000}"/>
    <cellStyle name="Comma 47" xfId="1728" xr:uid="{00000000-0005-0000-0000-000001070000}"/>
    <cellStyle name="Comma 47 2" xfId="2161" xr:uid="{00000000-0005-0000-0000-000002070000}"/>
    <cellStyle name="Comma 47 2 2" xfId="2885" xr:uid="{00000000-0005-0000-0000-000003070000}"/>
    <cellStyle name="Comma 47 3" xfId="2480" xr:uid="{00000000-0005-0000-0000-000004070000}"/>
    <cellStyle name="Comma 48" xfId="1717" xr:uid="{00000000-0005-0000-0000-000005070000}"/>
    <cellStyle name="Comma 48 2" xfId="2154" xr:uid="{00000000-0005-0000-0000-000006070000}"/>
    <cellStyle name="Comma 48 2 2" xfId="2878" xr:uid="{00000000-0005-0000-0000-000007070000}"/>
    <cellStyle name="Comma 48 3" xfId="2478" xr:uid="{00000000-0005-0000-0000-000008070000}"/>
    <cellStyle name="Comma 49" xfId="1722" xr:uid="{00000000-0005-0000-0000-000009070000}"/>
    <cellStyle name="Comma 49 2" xfId="2156" xr:uid="{00000000-0005-0000-0000-00000A070000}"/>
    <cellStyle name="Comma 49 2 2" xfId="2880" xr:uid="{00000000-0005-0000-0000-00000B070000}"/>
    <cellStyle name="Comma 49 3" xfId="2479" xr:uid="{00000000-0005-0000-0000-00000C070000}"/>
    <cellStyle name="Comma 5" xfId="453" xr:uid="{00000000-0005-0000-0000-00000D070000}"/>
    <cellStyle name="Comma 5 2" xfId="454" xr:uid="{00000000-0005-0000-0000-00000E070000}"/>
    <cellStyle name="Comma 5 2 2" xfId="455" xr:uid="{00000000-0005-0000-0000-00000F070000}"/>
    <cellStyle name="Comma 5 2 2 2" xfId="1279" xr:uid="{00000000-0005-0000-0000-000010070000}"/>
    <cellStyle name="Comma 5 2 2 2 2" xfId="2121" xr:uid="{00000000-0005-0000-0000-000011070000}"/>
    <cellStyle name="Comma 5 2 2 2 2 2" xfId="2846" xr:uid="{00000000-0005-0000-0000-000012070000}"/>
    <cellStyle name="Comma 5 2 2 2 3" xfId="2451" xr:uid="{00000000-0005-0000-0000-000013070000}"/>
    <cellStyle name="Comma 5 2 2 3" xfId="1104" xr:uid="{00000000-0005-0000-0000-000014070000}"/>
    <cellStyle name="Comma 5 2 2 3 2" xfId="1955" xr:uid="{00000000-0005-0000-0000-000015070000}"/>
    <cellStyle name="Comma 5 2 2 3 2 2" xfId="2680" xr:uid="{00000000-0005-0000-0000-000016070000}"/>
    <cellStyle name="Comma 5 2 2 3 3" xfId="2286" xr:uid="{00000000-0005-0000-0000-000017070000}"/>
    <cellStyle name="Comma 5 2 2_AGO Import" xfId="1678" xr:uid="{00000000-0005-0000-0000-000018070000}"/>
    <cellStyle name="Comma 5 2 3" xfId="1278" xr:uid="{00000000-0005-0000-0000-000019070000}"/>
    <cellStyle name="Comma 5 2 3 2" xfId="1103" xr:uid="{00000000-0005-0000-0000-00001A070000}"/>
    <cellStyle name="Comma 5 2 3 2 2" xfId="1954" xr:uid="{00000000-0005-0000-0000-00001B070000}"/>
    <cellStyle name="Comma 5 2 3 2 2 2" xfId="2679" xr:uid="{00000000-0005-0000-0000-00001C070000}"/>
    <cellStyle name="Comma 5 2 3 2 3" xfId="2285" xr:uid="{00000000-0005-0000-0000-00001D070000}"/>
    <cellStyle name="Comma 5 2 3 3" xfId="2120" xr:uid="{00000000-0005-0000-0000-00001E070000}"/>
    <cellStyle name="Comma 5 2 3 3 2" xfId="2845" xr:uid="{00000000-0005-0000-0000-00001F070000}"/>
    <cellStyle name="Comma 5 2 3 4" xfId="2450" xr:uid="{00000000-0005-0000-0000-000020070000}"/>
    <cellStyle name="Comma 5 2 3_AGO Import" xfId="1677" xr:uid="{00000000-0005-0000-0000-000021070000}"/>
    <cellStyle name="Comma 5 2 4" xfId="1929" xr:uid="{00000000-0005-0000-0000-000022070000}"/>
    <cellStyle name="Comma 5 2 4 2" xfId="2654" xr:uid="{00000000-0005-0000-0000-000023070000}"/>
    <cellStyle name="Comma 5 2 5" xfId="2274" xr:uid="{00000000-0005-0000-0000-000024070000}"/>
    <cellStyle name="Comma 5 3" xfId="456" xr:uid="{00000000-0005-0000-0000-000025070000}"/>
    <cellStyle name="Comma 5 3 2" xfId="457" xr:uid="{00000000-0005-0000-0000-000026070000}"/>
    <cellStyle name="Comma 5 3 2 2" xfId="1816" xr:uid="{00000000-0005-0000-0000-000027070000}"/>
    <cellStyle name="Comma 5 3 2 2 2" xfId="2247" xr:uid="{00000000-0005-0000-0000-000028070000}"/>
    <cellStyle name="Comma 5 3 2 2 2 2" xfId="2971" xr:uid="{00000000-0005-0000-0000-000029070000}"/>
    <cellStyle name="Comma 5 3 2 2 3" xfId="2546" xr:uid="{00000000-0005-0000-0000-00002A070000}"/>
    <cellStyle name="Comma 5 3 2 3" xfId="1931" xr:uid="{00000000-0005-0000-0000-00002B070000}"/>
    <cellStyle name="Comma 5 3 2 3 2" xfId="2656" xr:uid="{00000000-0005-0000-0000-00002C070000}"/>
    <cellStyle name="Comma 5 3 3" xfId="1280" xr:uid="{00000000-0005-0000-0000-00002D070000}"/>
    <cellStyle name="Comma 5 3 3 2" xfId="2122" xr:uid="{00000000-0005-0000-0000-00002E070000}"/>
    <cellStyle name="Comma 5 3 3 2 2" xfId="2847" xr:uid="{00000000-0005-0000-0000-00002F070000}"/>
    <cellStyle name="Comma 5 3 3 3" xfId="2452" xr:uid="{00000000-0005-0000-0000-000030070000}"/>
    <cellStyle name="Comma 5 3 4" xfId="1102" xr:uid="{00000000-0005-0000-0000-000031070000}"/>
    <cellStyle name="Comma 5 3 4 2" xfId="1953" xr:uid="{00000000-0005-0000-0000-000032070000}"/>
    <cellStyle name="Comma 5 3 4 2 2" xfId="2678" xr:uid="{00000000-0005-0000-0000-000033070000}"/>
    <cellStyle name="Comma 5 3 4 3" xfId="2284" xr:uid="{00000000-0005-0000-0000-000034070000}"/>
    <cellStyle name="Comma 5 3 5" xfId="1751" xr:uid="{00000000-0005-0000-0000-000035070000}"/>
    <cellStyle name="Comma 5 3 5 2" xfId="2182" xr:uid="{00000000-0005-0000-0000-000036070000}"/>
    <cellStyle name="Comma 5 3 5 2 2" xfId="2906" xr:uid="{00000000-0005-0000-0000-000037070000}"/>
    <cellStyle name="Comma 5 3 6" xfId="1930" xr:uid="{00000000-0005-0000-0000-000038070000}"/>
    <cellStyle name="Comma 5 3 6 2" xfId="2655" xr:uid="{00000000-0005-0000-0000-000039070000}"/>
    <cellStyle name="Comma 5 4" xfId="458" xr:uid="{00000000-0005-0000-0000-00003A070000}"/>
    <cellStyle name="Comma 5 4 2" xfId="1101" xr:uid="{00000000-0005-0000-0000-00003B070000}"/>
    <cellStyle name="Comma 5 4 2 2" xfId="1952" xr:uid="{00000000-0005-0000-0000-00003C070000}"/>
    <cellStyle name="Comma 5 4 2 2 2" xfId="2677" xr:uid="{00000000-0005-0000-0000-00003D070000}"/>
    <cellStyle name="Comma 5 4 2 3" xfId="2283" xr:uid="{00000000-0005-0000-0000-00003E070000}"/>
    <cellStyle name="Comma 5 4 3" xfId="1932" xr:uid="{00000000-0005-0000-0000-00003F070000}"/>
    <cellStyle name="Comma 5 4 3 2" xfId="2657" xr:uid="{00000000-0005-0000-0000-000040070000}"/>
    <cellStyle name="Comma 5 5" xfId="1277" xr:uid="{00000000-0005-0000-0000-000041070000}"/>
    <cellStyle name="Comma 5 5 2" xfId="2119" xr:uid="{00000000-0005-0000-0000-000042070000}"/>
    <cellStyle name="Comma 5 5 2 2" xfId="2844" xr:uid="{00000000-0005-0000-0000-000043070000}"/>
    <cellStyle name="Comma 5 5 3" xfId="2449" xr:uid="{00000000-0005-0000-0000-000044070000}"/>
    <cellStyle name="Comma 5 6" xfId="1105" xr:uid="{00000000-0005-0000-0000-000045070000}"/>
    <cellStyle name="Comma 5 6 2" xfId="1956" xr:uid="{00000000-0005-0000-0000-000046070000}"/>
    <cellStyle name="Comma 5 6 2 2" xfId="2681" xr:uid="{00000000-0005-0000-0000-000047070000}"/>
    <cellStyle name="Comma 5 6 3" xfId="2287" xr:uid="{00000000-0005-0000-0000-000048070000}"/>
    <cellStyle name="Comma 5 7" xfId="1928" xr:uid="{00000000-0005-0000-0000-000049070000}"/>
    <cellStyle name="Comma 5 7 2" xfId="2653" xr:uid="{00000000-0005-0000-0000-00004A070000}"/>
    <cellStyle name="Comma 5 8" xfId="2273" xr:uid="{00000000-0005-0000-0000-00004B070000}"/>
    <cellStyle name="Comma 5_AGO Import" xfId="1679" xr:uid="{00000000-0005-0000-0000-00004C070000}"/>
    <cellStyle name="Comma 50" xfId="459" xr:uid="{00000000-0005-0000-0000-00004D070000}"/>
    <cellStyle name="Comma 50 2" xfId="1933" xr:uid="{00000000-0005-0000-0000-00004E070000}"/>
    <cellStyle name="Comma 50 2 2" xfId="2658" xr:uid="{00000000-0005-0000-0000-00004F070000}"/>
    <cellStyle name="Comma 51" xfId="1740" xr:uid="{00000000-0005-0000-0000-000050070000}"/>
    <cellStyle name="Comma 51 2" xfId="2172" xr:uid="{00000000-0005-0000-0000-000051070000}"/>
    <cellStyle name="Comma 51 2 2" xfId="2896" xr:uid="{00000000-0005-0000-0000-000052070000}"/>
    <cellStyle name="Comma 51 3" xfId="2483" xr:uid="{00000000-0005-0000-0000-000053070000}"/>
    <cellStyle name="Comma 52" xfId="1825" xr:uid="{00000000-0005-0000-0000-000054070000}"/>
    <cellStyle name="Comma 52 2" xfId="2551" xr:uid="{00000000-0005-0000-0000-000055070000}"/>
    <cellStyle name="Comma 53" xfId="1827" xr:uid="{00000000-0005-0000-0000-000056070000}"/>
    <cellStyle name="Comma 53 2" xfId="2552" xr:uid="{00000000-0005-0000-0000-000057070000}"/>
    <cellStyle name="Comma 53 3" xfId="2993" xr:uid="{00000000-0005-0000-0000-000058070000}"/>
    <cellStyle name="Comma 54" xfId="2256" xr:uid="{00000000-0005-0000-0000-000059070000}"/>
    <cellStyle name="Comma 55" xfId="2258" xr:uid="{00000000-0005-0000-0000-00005A070000}"/>
    <cellStyle name="Comma 56" xfId="2980" xr:uid="{00000000-0005-0000-0000-00005B070000}"/>
    <cellStyle name="Comma 57" xfId="2983" xr:uid="{00000000-0005-0000-0000-00005C070000}"/>
    <cellStyle name="Comma 58" xfId="2986" xr:uid="{00000000-0005-0000-0000-00005D070000}"/>
    <cellStyle name="Comma 59" xfId="2998" xr:uid="{00000000-0005-0000-0000-00005E070000}"/>
    <cellStyle name="Comma 6" xfId="460" xr:uid="{00000000-0005-0000-0000-00005F070000}"/>
    <cellStyle name="Comma 6 2" xfId="461" xr:uid="{00000000-0005-0000-0000-000060070000}"/>
    <cellStyle name="Comma 6 2 2" xfId="1282" xr:uid="{00000000-0005-0000-0000-000061070000}"/>
    <cellStyle name="Comma 6 2 2 2" xfId="2124" xr:uid="{00000000-0005-0000-0000-000062070000}"/>
    <cellStyle name="Comma 6 2 2 2 2" xfId="2849" xr:uid="{00000000-0005-0000-0000-000063070000}"/>
    <cellStyle name="Comma 6 2 2 3" xfId="2454" xr:uid="{00000000-0005-0000-0000-000064070000}"/>
    <cellStyle name="Comma 6 3" xfId="462" xr:uid="{00000000-0005-0000-0000-000065070000}"/>
    <cellStyle name="Comma 6 3 2" xfId="463" xr:uid="{00000000-0005-0000-0000-000066070000}"/>
    <cellStyle name="Comma 6 3 2 2" xfId="464" xr:uid="{00000000-0005-0000-0000-000067070000}"/>
    <cellStyle name="Comma 6 3 2 2 2" xfId="1936" xr:uid="{00000000-0005-0000-0000-000068070000}"/>
    <cellStyle name="Comma 6 3 2 2 2 2" xfId="2661" xr:uid="{00000000-0005-0000-0000-000069070000}"/>
    <cellStyle name="Comma 6 3 2 2 3" xfId="2277" xr:uid="{00000000-0005-0000-0000-00006A070000}"/>
    <cellStyle name="Comma 6 3 3" xfId="1283" xr:uid="{00000000-0005-0000-0000-00006B070000}"/>
    <cellStyle name="Comma 6 3 3 2" xfId="2125" xr:uid="{00000000-0005-0000-0000-00006C070000}"/>
    <cellStyle name="Comma 6 3 3 2 2" xfId="2850" xr:uid="{00000000-0005-0000-0000-00006D070000}"/>
    <cellStyle name="Comma 6 3 3 3" xfId="2455" xr:uid="{00000000-0005-0000-0000-00006E070000}"/>
    <cellStyle name="Comma 6 3 4" xfId="1935" xr:uid="{00000000-0005-0000-0000-00006F070000}"/>
    <cellStyle name="Comma 6 3 4 2" xfId="2660" xr:uid="{00000000-0005-0000-0000-000070070000}"/>
    <cellStyle name="Comma 6 3 5" xfId="2276" xr:uid="{00000000-0005-0000-0000-000071070000}"/>
    <cellStyle name="Comma 6 4" xfId="465" xr:uid="{00000000-0005-0000-0000-000072070000}"/>
    <cellStyle name="Comma 6 4 2" xfId="1284" xr:uid="{00000000-0005-0000-0000-000073070000}"/>
    <cellStyle name="Comma 6 4 2 2" xfId="2126" xr:uid="{00000000-0005-0000-0000-000074070000}"/>
    <cellStyle name="Comma 6 4 2 2 2" xfId="2851" xr:uid="{00000000-0005-0000-0000-000075070000}"/>
    <cellStyle name="Comma 6 4 2 3" xfId="2456" xr:uid="{00000000-0005-0000-0000-000076070000}"/>
    <cellStyle name="Comma 6 5" xfId="1281" xr:uid="{00000000-0005-0000-0000-000077070000}"/>
    <cellStyle name="Comma 6 5 2" xfId="2123" xr:uid="{00000000-0005-0000-0000-000078070000}"/>
    <cellStyle name="Comma 6 5 2 2" xfId="2848" xr:uid="{00000000-0005-0000-0000-000079070000}"/>
    <cellStyle name="Comma 6 5 3" xfId="2453" xr:uid="{00000000-0005-0000-0000-00007A070000}"/>
    <cellStyle name="Comma 6 6" xfId="1934" xr:uid="{00000000-0005-0000-0000-00007B070000}"/>
    <cellStyle name="Comma 6 6 2" xfId="2659" xr:uid="{00000000-0005-0000-0000-00007C070000}"/>
    <cellStyle name="Comma 6 7" xfId="2275" xr:uid="{00000000-0005-0000-0000-00007D070000}"/>
    <cellStyle name="Comma 6_07.12 JET A-1 KOT-Mt ATLANTIC MUSE(GULF)" xfId="466" xr:uid="{00000000-0005-0000-0000-00007E070000}"/>
    <cellStyle name="Comma 60" xfId="3000" xr:uid="{00000000-0005-0000-0000-00007F070000}"/>
    <cellStyle name="Comma 61" xfId="3002" xr:uid="{00000000-0005-0000-0000-000080070000}"/>
    <cellStyle name="Comma 62" xfId="3004" xr:uid="{00000000-0005-0000-0000-000081070000}"/>
    <cellStyle name="Comma 7" xfId="467" xr:uid="{00000000-0005-0000-0000-000082070000}"/>
    <cellStyle name="Comma 7 2" xfId="468" xr:uid="{00000000-0005-0000-0000-000083070000}"/>
    <cellStyle name="Comma 7 2 2" xfId="1286" xr:uid="{00000000-0005-0000-0000-000084070000}"/>
    <cellStyle name="Comma 7 2 2 2" xfId="2128" xr:uid="{00000000-0005-0000-0000-000085070000}"/>
    <cellStyle name="Comma 7 2 2 2 2" xfId="2853" xr:uid="{00000000-0005-0000-0000-000086070000}"/>
    <cellStyle name="Comma 7 2 2 3" xfId="2458" xr:uid="{00000000-0005-0000-0000-000087070000}"/>
    <cellStyle name="Comma 7 2 3" xfId="1938" xr:uid="{00000000-0005-0000-0000-000088070000}"/>
    <cellStyle name="Comma 7 2 3 2" xfId="2663" xr:uid="{00000000-0005-0000-0000-000089070000}"/>
    <cellStyle name="Comma 7 2 4" xfId="2279" xr:uid="{00000000-0005-0000-0000-00008A070000}"/>
    <cellStyle name="Comma 7 3" xfId="469" xr:uid="{00000000-0005-0000-0000-00008B070000}"/>
    <cellStyle name="Comma 7 3 2" xfId="1763" xr:uid="{00000000-0005-0000-0000-00008C070000}"/>
    <cellStyle name="Comma 7 3 2 2" xfId="2194" xr:uid="{00000000-0005-0000-0000-00008D070000}"/>
    <cellStyle name="Comma 7 3 2 2 2" xfId="2918" xr:uid="{00000000-0005-0000-0000-00008E070000}"/>
    <cellStyle name="Comma 7 3 2 3" xfId="2493" xr:uid="{00000000-0005-0000-0000-00008F070000}"/>
    <cellStyle name="Comma 7 3 3" xfId="1939" xr:uid="{00000000-0005-0000-0000-000090070000}"/>
    <cellStyle name="Comma 7 3 3 2" xfId="2664" xr:uid="{00000000-0005-0000-0000-000091070000}"/>
    <cellStyle name="Comma 7 3 4" xfId="2280" xr:uid="{00000000-0005-0000-0000-000092070000}"/>
    <cellStyle name="Comma 7 4" xfId="1285" xr:uid="{00000000-0005-0000-0000-000093070000}"/>
    <cellStyle name="Comma 7 4 2" xfId="2127" xr:uid="{00000000-0005-0000-0000-000094070000}"/>
    <cellStyle name="Comma 7 4 2 2" xfId="2852" xr:uid="{00000000-0005-0000-0000-000095070000}"/>
    <cellStyle name="Comma 7 4 3" xfId="2457" xr:uid="{00000000-0005-0000-0000-000096070000}"/>
    <cellStyle name="Comma 7 5" xfId="1937" xr:uid="{00000000-0005-0000-0000-000097070000}"/>
    <cellStyle name="Comma 7 5 2" xfId="2662" xr:uid="{00000000-0005-0000-0000-000098070000}"/>
    <cellStyle name="Comma 7 6" xfId="2278" xr:uid="{00000000-0005-0000-0000-000099070000}"/>
    <cellStyle name="Comma 7_AGO Import" xfId="1676" xr:uid="{00000000-0005-0000-0000-00009A070000}"/>
    <cellStyle name="Comma 8" xfId="470" xr:uid="{00000000-0005-0000-0000-00009B070000}"/>
    <cellStyle name="Comma 8 2" xfId="471" xr:uid="{00000000-0005-0000-0000-00009C070000}"/>
    <cellStyle name="Comma 8 2 2" xfId="1288" xr:uid="{00000000-0005-0000-0000-00009D070000}"/>
    <cellStyle name="Comma 8 2 2 2" xfId="2130" xr:uid="{00000000-0005-0000-0000-00009E070000}"/>
    <cellStyle name="Comma 8 2 2 2 2" xfId="2855" xr:uid="{00000000-0005-0000-0000-00009F070000}"/>
    <cellStyle name="Comma 8 2 2 3" xfId="2460" xr:uid="{00000000-0005-0000-0000-0000A0070000}"/>
    <cellStyle name="Comma 8 3" xfId="1289" xr:uid="{00000000-0005-0000-0000-0000A1070000}"/>
    <cellStyle name="Comma 8 3 2" xfId="1817" xr:uid="{00000000-0005-0000-0000-0000A2070000}"/>
    <cellStyle name="Comma 8 3 2 2" xfId="2248" xr:uid="{00000000-0005-0000-0000-0000A3070000}"/>
    <cellStyle name="Comma 8 3 2 2 2" xfId="2972" xr:uid="{00000000-0005-0000-0000-0000A4070000}"/>
    <cellStyle name="Comma 8 3 2 3" xfId="2547" xr:uid="{00000000-0005-0000-0000-0000A5070000}"/>
    <cellStyle name="Comma 8 3 3" xfId="2131" xr:uid="{00000000-0005-0000-0000-0000A6070000}"/>
    <cellStyle name="Comma 8 3 3 2" xfId="2856" xr:uid="{00000000-0005-0000-0000-0000A7070000}"/>
    <cellStyle name="Comma 8 3 4" xfId="2461" xr:uid="{00000000-0005-0000-0000-0000A8070000}"/>
    <cellStyle name="Comma 8 4" xfId="1290" xr:uid="{00000000-0005-0000-0000-0000A9070000}"/>
    <cellStyle name="Comma 8 4 2" xfId="1818" xr:uid="{00000000-0005-0000-0000-0000AA070000}"/>
    <cellStyle name="Comma 8 4 2 2" xfId="2249" xr:uid="{00000000-0005-0000-0000-0000AB070000}"/>
    <cellStyle name="Comma 8 4 2 2 2" xfId="2973" xr:uid="{00000000-0005-0000-0000-0000AC070000}"/>
    <cellStyle name="Comma 8 4 2 3" xfId="2548" xr:uid="{00000000-0005-0000-0000-0000AD070000}"/>
    <cellStyle name="Comma 8 4 3" xfId="2132" xr:uid="{00000000-0005-0000-0000-0000AE070000}"/>
    <cellStyle name="Comma 8 4 3 2" xfId="2857" xr:uid="{00000000-0005-0000-0000-0000AF070000}"/>
    <cellStyle name="Comma 8 4 4" xfId="2462" xr:uid="{00000000-0005-0000-0000-0000B0070000}"/>
    <cellStyle name="Comma 8 5" xfId="1287" xr:uid="{00000000-0005-0000-0000-0000B1070000}"/>
    <cellStyle name="Comma 8 5 2" xfId="2129" xr:uid="{00000000-0005-0000-0000-0000B2070000}"/>
    <cellStyle name="Comma 8 5 2 2" xfId="2854" xr:uid="{00000000-0005-0000-0000-0000B3070000}"/>
    <cellStyle name="Comma 8 5 3" xfId="2459" xr:uid="{00000000-0005-0000-0000-0000B4070000}"/>
    <cellStyle name="Comma 8 6" xfId="1100" xr:uid="{00000000-0005-0000-0000-0000B5070000}"/>
    <cellStyle name="Comma 8 6 2" xfId="1951" xr:uid="{00000000-0005-0000-0000-0000B6070000}"/>
    <cellStyle name="Comma 8 6 2 2" xfId="2676" xr:uid="{00000000-0005-0000-0000-0000B7070000}"/>
    <cellStyle name="Comma 8 6 3" xfId="2282" xr:uid="{00000000-0005-0000-0000-0000B8070000}"/>
    <cellStyle name="Comma 9" xfId="472" xr:uid="{00000000-0005-0000-0000-0000B9070000}"/>
    <cellStyle name="Comma 9 2" xfId="473" xr:uid="{00000000-0005-0000-0000-0000BA070000}"/>
    <cellStyle name="Comma 9 2 2" xfId="1292" xr:uid="{00000000-0005-0000-0000-0000BB070000}"/>
    <cellStyle name="Comma 9 2 2 2" xfId="2134" xr:uid="{00000000-0005-0000-0000-0000BC070000}"/>
    <cellStyle name="Comma 9 2 2 2 2" xfId="2859" xr:uid="{00000000-0005-0000-0000-0000BD070000}"/>
    <cellStyle name="Comma 9 2 2 3" xfId="2464" xr:uid="{00000000-0005-0000-0000-0000BE070000}"/>
    <cellStyle name="Comma 9 3" xfId="1291" xr:uid="{00000000-0005-0000-0000-0000BF070000}"/>
    <cellStyle name="Comma 9 3 2" xfId="2133" xr:uid="{00000000-0005-0000-0000-0000C0070000}"/>
    <cellStyle name="Comma 9 3 2 2" xfId="2858" xr:uid="{00000000-0005-0000-0000-0000C1070000}"/>
    <cellStyle name="Comma 9 3 3" xfId="2463" xr:uid="{00000000-0005-0000-0000-0000C2070000}"/>
    <cellStyle name="Comma 9 4" xfId="1099" xr:uid="{00000000-0005-0000-0000-0000C3070000}"/>
    <cellStyle name="Comma 9 4 2" xfId="1950" xr:uid="{00000000-0005-0000-0000-0000C4070000}"/>
    <cellStyle name="Comma 9 4 2 2" xfId="2675" xr:uid="{00000000-0005-0000-0000-0000C5070000}"/>
    <cellStyle name="Comma 9 4 3" xfId="2281" xr:uid="{00000000-0005-0000-0000-0000C6070000}"/>
    <cellStyle name="Comma0" xfId="474" xr:uid="{00000000-0005-0000-0000-0000C7070000}"/>
    <cellStyle name="Comma0 - Style1" xfId="475" xr:uid="{00000000-0005-0000-0000-0000C8070000}"/>
    <cellStyle name="Comma0 - Style2" xfId="476" xr:uid="{00000000-0005-0000-0000-0000C9070000}"/>
    <cellStyle name="Comma0_~6494637" xfId="477" xr:uid="{00000000-0005-0000-0000-0000CA070000}"/>
    <cellStyle name="Comma1 - Style1" xfId="478" xr:uid="{00000000-0005-0000-0000-0000CB070000}"/>
    <cellStyle name="Commentaire" xfId="479" xr:uid="{00000000-0005-0000-0000-0000CC070000}"/>
    <cellStyle name="CommĬ [0]_pldt_1_SGV_SGV" xfId="480" xr:uid="{00000000-0005-0000-0000-0000CD070000}"/>
    <cellStyle name="Copied" xfId="481" xr:uid="{00000000-0005-0000-0000-0000CE070000}"/>
    <cellStyle name="CRORE" xfId="482" xr:uid="{00000000-0005-0000-0000-0000CF070000}"/>
    <cellStyle name="CRORE2 - Style2" xfId="483" xr:uid="{00000000-0005-0000-0000-0000D0070000}"/>
    <cellStyle name="Curren - Style2" xfId="484" xr:uid="{00000000-0005-0000-0000-0000D1070000}"/>
    <cellStyle name="Currency [0]b" xfId="485" xr:uid="{00000000-0005-0000-0000-0000D2070000}"/>
    <cellStyle name="Currency [00]" xfId="486" xr:uid="{00000000-0005-0000-0000-0000D3070000}"/>
    <cellStyle name="Currency [00] 2" xfId="487" xr:uid="{00000000-0005-0000-0000-0000D4070000}"/>
    <cellStyle name="Currency 2" xfId="488" xr:uid="{00000000-0005-0000-0000-0000D5070000}"/>
    <cellStyle name="Currency 2 2" xfId="489" xr:uid="{00000000-0005-0000-0000-0000D6070000}"/>
    <cellStyle name="Currency 2 2 2" xfId="1098" xr:uid="{00000000-0005-0000-0000-0000D7070000}"/>
    <cellStyle name="Currency 2 2 2 2" xfId="1949" xr:uid="{00000000-0005-0000-0000-0000D8070000}"/>
    <cellStyle name="Currency 2 2 2 2 2" xfId="2674" xr:uid="{00000000-0005-0000-0000-0000D9070000}"/>
    <cellStyle name="Currency 2 2_AGO Import" xfId="1675" xr:uid="{00000000-0005-0000-0000-0000DA070000}"/>
    <cellStyle name="Currency 2 3" xfId="1940" xr:uid="{00000000-0005-0000-0000-0000DB070000}"/>
    <cellStyle name="Currency 2 3 2" xfId="2665" xr:uid="{00000000-0005-0000-0000-0000DC070000}"/>
    <cellStyle name="Currency 3" xfId="490" xr:uid="{00000000-0005-0000-0000-0000DD070000}"/>
    <cellStyle name="Currency 3 2" xfId="491" xr:uid="{00000000-0005-0000-0000-0000DE070000}"/>
    <cellStyle name="Currency 3 3" xfId="1941" xr:uid="{00000000-0005-0000-0000-0000DF070000}"/>
    <cellStyle name="Currency 3 3 2" xfId="2666" xr:uid="{00000000-0005-0000-0000-0000E0070000}"/>
    <cellStyle name="Currency 4" xfId="492" xr:uid="{00000000-0005-0000-0000-0000E1070000}"/>
    <cellStyle name="Currency 4 2" xfId="1942" xr:uid="{00000000-0005-0000-0000-0000E2070000}"/>
    <cellStyle name="Currency 4 2 2" xfId="2667" xr:uid="{00000000-0005-0000-0000-0000E3070000}"/>
    <cellStyle name="currency(2)" xfId="493" xr:uid="{00000000-0005-0000-0000-0000E4070000}"/>
    <cellStyle name="Currency0" xfId="494" xr:uid="{00000000-0005-0000-0000-0000E5070000}"/>
    <cellStyle name="Cu䥤rency [0]_laroux_2_laroux_dimon" xfId="495" xr:uid="{00000000-0005-0000-0000-0000E6070000}"/>
    <cellStyle name="Date" xfId="496" xr:uid="{00000000-0005-0000-0000-0000E7070000}"/>
    <cellStyle name="Date Short" xfId="497" xr:uid="{00000000-0005-0000-0000-0000E8070000}"/>
    <cellStyle name="Date_Closing Stock 31.07.2009" xfId="498" xr:uid="{00000000-0005-0000-0000-0000E9070000}"/>
    <cellStyle name="Dezimal [0]_laroux" xfId="499" xr:uid="{00000000-0005-0000-0000-0000EA070000}"/>
    <cellStyle name="Dezimal_laroux" xfId="500" xr:uid="{00000000-0005-0000-0000-0000EB070000}"/>
    <cellStyle name="Emphasis 1" xfId="501" xr:uid="{00000000-0005-0000-0000-0000EC070000}"/>
    <cellStyle name="Emphasis 2" xfId="502" xr:uid="{00000000-0005-0000-0000-0000ED070000}"/>
    <cellStyle name="Emphasis 3" xfId="503" xr:uid="{00000000-0005-0000-0000-0000EE070000}"/>
    <cellStyle name="Enter Currency (0)" xfId="504" xr:uid="{00000000-0005-0000-0000-0000EF070000}"/>
    <cellStyle name="Enter Currency (0) 2" xfId="505" xr:uid="{00000000-0005-0000-0000-0000F0070000}"/>
    <cellStyle name="Enter Currency (0) 3" xfId="1943" xr:uid="{00000000-0005-0000-0000-0000F1070000}"/>
    <cellStyle name="Enter Currency (0) 3 2" xfId="2668" xr:uid="{00000000-0005-0000-0000-0000F2070000}"/>
    <cellStyle name="Enter Currency (2)" xfId="506" xr:uid="{00000000-0005-0000-0000-0000F3070000}"/>
    <cellStyle name="Enter Currency (2) 2" xfId="507" xr:uid="{00000000-0005-0000-0000-0000F4070000}"/>
    <cellStyle name="Enter Units (0)" xfId="508" xr:uid="{00000000-0005-0000-0000-0000F5070000}"/>
    <cellStyle name="Enter Units (0) 2" xfId="509" xr:uid="{00000000-0005-0000-0000-0000F6070000}"/>
    <cellStyle name="Enter Units (0) 3" xfId="1944" xr:uid="{00000000-0005-0000-0000-0000F7070000}"/>
    <cellStyle name="Enter Units (0) 3 2" xfId="2669" xr:uid="{00000000-0005-0000-0000-0000F8070000}"/>
    <cellStyle name="Enter Units (1)" xfId="510" xr:uid="{00000000-0005-0000-0000-0000F9070000}"/>
    <cellStyle name="Enter Units (1) 2" xfId="511" xr:uid="{00000000-0005-0000-0000-0000FA070000}"/>
    <cellStyle name="Enter Units (2)" xfId="512" xr:uid="{00000000-0005-0000-0000-0000FB070000}"/>
    <cellStyle name="Enter Units (2) 2" xfId="513" xr:uid="{00000000-0005-0000-0000-0000FC070000}"/>
    <cellStyle name="Entered" xfId="514" xr:uid="{00000000-0005-0000-0000-0000FD070000}"/>
    <cellStyle name="Entrée" xfId="515" xr:uid="{00000000-0005-0000-0000-0000FE070000}"/>
    <cellStyle name="Euro" xfId="516" xr:uid="{00000000-0005-0000-0000-0000FF070000}"/>
    <cellStyle name="Explanatory Text 2" xfId="517" xr:uid="{00000000-0005-0000-0000-000000080000}"/>
    <cellStyle name="F2 - Style3" xfId="518" xr:uid="{00000000-0005-0000-0000-000001080000}"/>
    <cellStyle name="F5 - Style3" xfId="519" xr:uid="{00000000-0005-0000-0000-000002080000}"/>
    <cellStyle name="F8 - Style4" xfId="520" xr:uid="{00000000-0005-0000-0000-000003080000}"/>
    <cellStyle name="Fixed" xfId="521" xr:uid="{00000000-0005-0000-0000-000004080000}"/>
    <cellStyle name="Fixed1 - Style1" xfId="522" xr:uid="{00000000-0005-0000-0000-000005080000}"/>
    <cellStyle name="FORM" xfId="523" xr:uid="{00000000-0005-0000-0000-000006080000}"/>
    <cellStyle name="ge" xfId="524" xr:uid="{00000000-0005-0000-0000-000007080000}"/>
    <cellStyle name="general" xfId="525" xr:uid="{00000000-0005-0000-0000-000008080000}"/>
    <cellStyle name="Good 2" xfId="526" xr:uid="{00000000-0005-0000-0000-000009080000}"/>
    <cellStyle name="Grey" xfId="527" xr:uid="{00000000-0005-0000-0000-00000A080000}"/>
    <cellStyle name="Grey 2" xfId="528" xr:uid="{00000000-0005-0000-0000-00000B080000}"/>
    <cellStyle name="Grey 3" xfId="1294" xr:uid="{00000000-0005-0000-0000-00000C080000}"/>
    <cellStyle name="HEADER" xfId="529" xr:uid="{00000000-0005-0000-0000-00000D080000}"/>
    <cellStyle name="Header1" xfId="530" xr:uid="{00000000-0005-0000-0000-00000E080000}"/>
    <cellStyle name="Header2" xfId="531" xr:uid="{00000000-0005-0000-0000-00000F080000}"/>
    <cellStyle name="Header2 2" xfId="532" xr:uid="{00000000-0005-0000-0000-000010080000}"/>
    <cellStyle name="Header2 2 2" xfId="533" xr:uid="{00000000-0005-0000-0000-000011080000}"/>
    <cellStyle name="Header2 3" xfId="534" xr:uid="{00000000-0005-0000-0000-000012080000}"/>
    <cellStyle name="Heading 1 2" xfId="535" xr:uid="{00000000-0005-0000-0000-000013080000}"/>
    <cellStyle name="Heading 1 2 2" xfId="536" xr:uid="{00000000-0005-0000-0000-000014080000}"/>
    <cellStyle name="Heading 2 2" xfId="537" xr:uid="{00000000-0005-0000-0000-000015080000}"/>
    <cellStyle name="Heading 2 2 2" xfId="538" xr:uid="{00000000-0005-0000-0000-000016080000}"/>
    <cellStyle name="Heading 3 2" xfId="539" xr:uid="{00000000-0005-0000-0000-000017080000}"/>
    <cellStyle name="Heading 4 2" xfId="540" xr:uid="{00000000-0005-0000-0000-000018080000}"/>
    <cellStyle name="Heading1" xfId="541" xr:uid="{00000000-0005-0000-0000-000019080000}"/>
    <cellStyle name="Heading2" xfId="542" xr:uid="{00000000-0005-0000-0000-00001A080000}"/>
    <cellStyle name="Horizontal" xfId="543" xr:uid="{00000000-0005-0000-0000-00001B080000}"/>
    <cellStyle name="Hyperlink 2" xfId="544" xr:uid="{00000000-0005-0000-0000-00001C080000}"/>
    <cellStyle name="Hyperlink 2 2" xfId="545" xr:uid="{00000000-0005-0000-0000-00001D080000}"/>
    <cellStyle name="Hyperlink 3" xfId="1295" xr:uid="{00000000-0005-0000-0000-00001E080000}"/>
    <cellStyle name="INCHES" xfId="546" xr:uid="{00000000-0005-0000-0000-00001F080000}"/>
    <cellStyle name="Indian Amount" xfId="547" xr:uid="{00000000-0005-0000-0000-000020080000}"/>
    <cellStyle name="Input [yellow]" xfId="548" xr:uid="{00000000-0005-0000-0000-000021080000}"/>
    <cellStyle name="Input [yellow] 2" xfId="549" xr:uid="{00000000-0005-0000-0000-000022080000}"/>
    <cellStyle name="Input [yellow] 2 2" xfId="550" xr:uid="{00000000-0005-0000-0000-000023080000}"/>
    <cellStyle name="Input [yellow] 2 3" xfId="551" xr:uid="{00000000-0005-0000-0000-000024080000}"/>
    <cellStyle name="Input [yellow] 3" xfId="552" xr:uid="{00000000-0005-0000-0000-000025080000}"/>
    <cellStyle name="Input 2" xfId="553" xr:uid="{00000000-0005-0000-0000-000026080000}"/>
    <cellStyle name="Input 2 2" xfId="554" xr:uid="{00000000-0005-0000-0000-000027080000}"/>
    <cellStyle name="Input 3" xfId="555" xr:uid="{00000000-0005-0000-0000-000028080000}"/>
    <cellStyle name="Input 4" xfId="556" xr:uid="{00000000-0005-0000-0000-000029080000}"/>
    <cellStyle name="Input 5" xfId="557" xr:uid="{00000000-0005-0000-0000-00002A080000}"/>
    <cellStyle name="Input 6" xfId="558" xr:uid="{00000000-0005-0000-0000-00002B080000}"/>
    <cellStyle name="InputBlueFont" xfId="559" xr:uid="{00000000-0005-0000-0000-00002C080000}"/>
    <cellStyle name="INR" xfId="560" xr:uid="{00000000-0005-0000-0000-00002D080000}"/>
    <cellStyle name="inr (thousand)" xfId="561" xr:uid="{00000000-0005-0000-0000-00002E080000}"/>
    <cellStyle name="inr (thousands)" xfId="562" xr:uid="{00000000-0005-0000-0000-00002F080000}"/>
    <cellStyle name="INR(RS.PS)" xfId="563" xr:uid="{00000000-0005-0000-0000-000030080000}"/>
    <cellStyle name="inr(thousand)" xfId="564" xr:uid="{00000000-0005-0000-0000-000031080000}"/>
    <cellStyle name="inr.ps" xfId="565" xr:uid="{00000000-0005-0000-0000-000032080000}"/>
    <cellStyle name="INR_Book34" xfId="566" xr:uid="{00000000-0005-0000-0000-000033080000}"/>
    <cellStyle name="INR-PS" xfId="567" xr:uid="{00000000-0005-0000-0000-000034080000}"/>
    <cellStyle name="Insatisfaisant" xfId="568" xr:uid="{00000000-0005-0000-0000-000035080000}"/>
    <cellStyle name="item2" xfId="569" xr:uid="{00000000-0005-0000-0000-000036080000}"/>
    <cellStyle name="Legal 8½ x 14 in" xfId="570" xr:uid="{00000000-0005-0000-0000-000037080000}"/>
    <cellStyle name="Link Currency (0)" xfId="571" xr:uid="{00000000-0005-0000-0000-000038080000}"/>
    <cellStyle name="Link Currency (0) 2" xfId="572" xr:uid="{00000000-0005-0000-0000-000039080000}"/>
    <cellStyle name="Link Currency (0) 3" xfId="1945" xr:uid="{00000000-0005-0000-0000-00003A080000}"/>
    <cellStyle name="Link Currency (0) 3 2" xfId="2670" xr:uid="{00000000-0005-0000-0000-00003B080000}"/>
    <cellStyle name="Link Currency (2)" xfId="573" xr:uid="{00000000-0005-0000-0000-00003C080000}"/>
    <cellStyle name="Link Currency (2) 2" xfId="574" xr:uid="{00000000-0005-0000-0000-00003D080000}"/>
    <cellStyle name="Link Units (0)" xfId="575" xr:uid="{00000000-0005-0000-0000-00003E080000}"/>
    <cellStyle name="Link Units (0) 2" xfId="576" xr:uid="{00000000-0005-0000-0000-00003F080000}"/>
    <cellStyle name="Link Units (0) 3" xfId="1946" xr:uid="{00000000-0005-0000-0000-000040080000}"/>
    <cellStyle name="Link Units (0) 3 2" xfId="2671" xr:uid="{00000000-0005-0000-0000-000041080000}"/>
    <cellStyle name="Link Units (1)" xfId="577" xr:uid="{00000000-0005-0000-0000-000042080000}"/>
    <cellStyle name="Link Units (1) 2" xfId="578" xr:uid="{00000000-0005-0000-0000-000043080000}"/>
    <cellStyle name="Link Units (2)" xfId="579" xr:uid="{00000000-0005-0000-0000-000044080000}"/>
    <cellStyle name="Link Units (2) 2" xfId="580" xr:uid="{00000000-0005-0000-0000-000045080000}"/>
    <cellStyle name="Linked Cell 2" xfId="581" xr:uid="{00000000-0005-0000-0000-000046080000}"/>
    <cellStyle name="MANKAD" xfId="582" xr:uid="{00000000-0005-0000-0000-000047080000}"/>
    <cellStyle name="Matrix" xfId="583" xr:uid="{00000000-0005-0000-0000-000048080000}"/>
    <cellStyle name="Milliers [0]_calcul" xfId="584" xr:uid="{00000000-0005-0000-0000-000049080000}"/>
    <cellStyle name="Milliers 2" xfId="585" xr:uid="{00000000-0005-0000-0000-00004A080000}"/>
    <cellStyle name="Milliers 2 2" xfId="1299" xr:uid="{00000000-0005-0000-0000-00004B080000}"/>
    <cellStyle name="Milliers 2 2 2" xfId="1300" xr:uid="{00000000-0005-0000-0000-00004C080000}"/>
    <cellStyle name="Milliers 2 2 2 2" xfId="1819" xr:uid="{00000000-0005-0000-0000-00004D080000}"/>
    <cellStyle name="Milliers 2 2 2 2 2" xfId="2250" xr:uid="{00000000-0005-0000-0000-00004E080000}"/>
    <cellStyle name="Milliers 2 2 2 2 2 2" xfId="2974" xr:uid="{00000000-0005-0000-0000-00004F080000}"/>
    <cellStyle name="Milliers 2 2 2 2 3" xfId="2549" xr:uid="{00000000-0005-0000-0000-000050080000}"/>
    <cellStyle name="Milliers 2 2 2 3" xfId="2138" xr:uid="{00000000-0005-0000-0000-000051080000}"/>
    <cellStyle name="Milliers 2 2 2 3 2" xfId="2863" xr:uid="{00000000-0005-0000-0000-000052080000}"/>
    <cellStyle name="Milliers 2 2 2 4" xfId="2468" xr:uid="{00000000-0005-0000-0000-000053080000}"/>
    <cellStyle name="Milliers 2 2 3" xfId="1753" xr:uid="{00000000-0005-0000-0000-000054080000}"/>
    <cellStyle name="Milliers 2 2 3 2" xfId="2184" xr:uid="{00000000-0005-0000-0000-000055080000}"/>
    <cellStyle name="Milliers 2 2 3 2 2" xfId="2908" xr:uid="{00000000-0005-0000-0000-000056080000}"/>
    <cellStyle name="Milliers 2 2 4" xfId="2137" xr:uid="{00000000-0005-0000-0000-000057080000}"/>
    <cellStyle name="Milliers 2 2 4 2" xfId="2862" xr:uid="{00000000-0005-0000-0000-000058080000}"/>
    <cellStyle name="Milliers 2 2 5" xfId="2467" xr:uid="{00000000-0005-0000-0000-000059080000}"/>
    <cellStyle name="Milliers 2 2_PMS Import" xfId="1511" xr:uid="{00000000-0005-0000-0000-00005A080000}"/>
    <cellStyle name="Milliers 2 3" xfId="1301" xr:uid="{00000000-0005-0000-0000-00005B080000}"/>
    <cellStyle name="Milliers 2 3 2" xfId="1764" xr:uid="{00000000-0005-0000-0000-00005C080000}"/>
    <cellStyle name="Milliers 2 3 2 2" xfId="2195" xr:uid="{00000000-0005-0000-0000-00005D080000}"/>
    <cellStyle name="Milliers 2 3 2 2 2" xfId="2919" xr:uid="{00000000-0005-0000-0000-00005E080000}"/>
    <cellStyle name="Milliers 2 3 2 3" xfId="2494" xr:uid="{00000000-0005-0000-0000-00005F080000}"/>
    <cellStyle name="Milliers 2 3 3" xfId="2139" xr:uid="{00000000-0005-0000-0000-000060080000}"/>
    <cellStyle name="Milliers 2 3 3 2" xfId="2864" xr:uid="{00000000-0005-0000-0000-000061080000}"/>
    <cellStyle name="Milliers 2 3 4" xfId="2469" xr:uid="{00000000-0005-0000-0000-000062080000}"/>
    <cellStyle name="Milliers 2 4" xfId="1298" xr:uid="{00000000-0005-0000-0000-000063080000}"/>
    <cellStyle name="Milliers 2 4 2" xfId="2136" xr:uid="{00000000-0005-0000-0000-000064080000}"/>
    <cellStyle name="Milliers 2 4 2 2" xfId="2861" xr:uid="{00000000-0005-0000-0000-000065080000}"/>
    <cellStyle name="Milliers 2 4 3" xfId="2466" xr:uid="{00000000-0005-0000-0000-000066080000}"/>
    <cellStyle name="Milliers_calcul" xfId="586" xr:uid="{00000000-0005-0000-0000-000067080000}"/>
    <cellStyle name="Monétaire [0]_calcul" xfId="587" xr:uid="{00000000-0005-0000-0000-000068080000}"/>
    <cellStyle name="Monétaire_calcul" xfId="588" xr:uid="{00000000-0005-0000-0000-000069080000}"/>
    <cellStyle name="Neutral 2" xfId="589" xr:uid="{00000000-0005-0000-0000-00006A080000}"/>
    <cellStyle name="Neutre" xfId="590" xr:uid="{00000000-0005-0000-0000-00006B080000}"/>
    <cellStyle name="New Times Roman" xfId="591" xr:uid="{00000000-0005-0000-0000-00006C080000}"/>
    <cellStyle name="no dec" xfId="592" xr:uid="{00000000-0005-0000-0000-00006D080000}"/>
    <cellStyle name="Normal" xfId="0" builtinId="0"/>
    <cellStyle name="Normal - Style1" xfId="593" xr:uid="{00000000-0005-0000-0000-00006F080000}"/>
    <cellStyle name="Normal - Style1 2" xfId="594" xr:uid="{00000000-0005-0000-0000-000070080000}"/>
    <cellStyle name="Normal - Style1 3" xfId="595" xr:uid="{00000000-0005-0000-0000-000071080000}"/>
    <cellStyle name="Normal - Style1 3 2" xfId="596" xr:uid="{00000000-0005-0000-0000-000072080000}"/>
    <cellStyle name="Normal - Style1 4" xfId="597" xr:uid="{00000000-0005-0000-0000-000073080000}"/>
    <cellStyle name="Normal - Style1 5" xfId="1307" xr:uid="{00000000-0005-0000-0000-000074080000}"/>
    <cellStyle name="Normal - Style1 6" xfId="1305" xr:uid="{00000000-0005-0000-0000-000075080000}"/>
    <cellStyle name="Normal - Style1_~2985205" xfId="1308" xr:uid="{00000000-0005-0000-0000-000076080000}"/>
    <cellStyle name="Normal 10" xfId="598" xr:uid="{00000000-0005-0000-0000-000077080000}"/>
    <cellStyle name="Normal 10 2" xfId="599" xr:uid="{00000000-0005-0000-0000-000078080000}"/>
    <cellStyle name="Normal 10 3" xfId="600" xr:uid="{00000000-0005-0000-0000-000079080000}"/>
    <cellStyle name="Normal 10 4" xfId="601" xr:uid="{00000000-0005-0000-0000-00007A080000}"/>
    <cellStyle name="Normal 11" xfId="17" xr:uid="{00000000-0005-0000-0000-00007B080000}"/>
    <cellStyle name="Normal 11 10" xfId="1741" xr:uid="{00000000-0005-0000-0000-00007C080000}"/>
    <cellStyle name="Normal 11 2" xfId="602" xr:uid="{00000000-0005-0000-0000-00007D080000}"/>
    <cellStyle name="Normal 11 2 2" xfId="603" xr:uid="{00000000-0005-0000-0000-00007E080000}"/>
    <cellStyle name="Normal 11 2 2 2" xfId="604" xr:uid="{00000000-0005-0000-0000-00007F080000}"/>
    <cellStyle name="Normal 11 2 2_PMS Import" xfId="1504" xr:uid="{00000000-0005-0000-0000-000080080000}"/>
    <cellStyle name="Normal 11 2 3" xfId="605" xr:uid="{00000000-0005-0000-0000-000081080000}"/>
    <cellStyle name="Normal 11 2 3 2" xfId="2994" xr:uid="{00000000-0005-0000-0000-000082080000}"/>
    <cellStyle name="Normal 11 3" xfId="606" xr:uid="{00000000-0005-0000-0000-000083080000}"/>
    <cellStyle name="Normal 11 3 2" xfId="1313" xr:uid="{00000000-0005-0000-0000-000084080000}"/>
    <cellStyle name="Normal 11 3 3" xfId="1312" xr:uid="{00000000-0005-0000-0000-000085080000}"/>
    <cellStyle name="Normal 11 3_PMS Import" xfId="1503" xr:uid="{00000000-0005-0000-0000-000086080000}"/>
    <cellStyle name="Normal 11 4" xfId="1314" xr:uid="{00000000-0005-0000-0000-000087080000}"/>
    <cellStyle name="Normal 11 5" xfId="1310" xr:uid="{00000000-0005-0000-0000-000088080000}"/>
    <cellStyle name="Normal 11 6" xfId="1637" xr:uid="{00000000-0005-0000-0000-000089080000}"/>
    <cellStyle name="Normal 11 7" xfId="1718" xr:uid="{00000000-0005-0000-0000-00008A080000}"/>
    <cellStyle name="Normal 11 8" xfId="1721" xr:uid="{00000000-0005-0000-0000-00008B080000}"/>
    <cellStyle name="Normal 11 9" xfId="1720" xr:uid="{00000000-0005-0000-0000-00008C080000}"/>
    <cellStyle name="Normal 11_AGO Import" xfId="1674" xr:uid="{00000000-0005-0000-0000-00008D080000}"/>
    <cellStyle name="Normal 12" xfId="18" xr:uid="{00000000-0005-0000-0000-00008E080000}"/>
    <cellStyle name="Normal 12 2" xfId="607" xr:uid="{00000000-0005-0000-0000-00008F080000}"/>
    <cellStyle name="Normal 12 2 2" xfId="1317" xr:uid="{00000000-0005-0000-0000-000090080000}"/>
    <cellStyle name="Normal 12 2 3" xfId="1316" xr:uid="{00000000-0005-0000-0000-000091080000}"/>
    <cellStyle name="Normal 12 2_PMS Import" xfId="1502" xr:uid="{00000000-0005-0000-0000-000092080000}"/>
    <cellStyle name="Normal 12 3" xfId="1318" xr:uid="{00000000-0005-0000-0000-000093080000}"/>
    <cellStyle name="Normal 12 4" xfId="1315" xr:uid="{00000000-0005-0000-0000-000094080000}"/>
    <cellStyle name="Normal 12_AGO Import" xfId="1673" xr:uid="{00000000-0005-0000-0000-000095080000}"/>
    <cellStyle name="Normal 13" xfId="20" xr:uid="{00000000-0005-0000-0000-000096080000}"/>
    <cellStyle name="Normal 13 2" xfId="608" xr:uid="{00000000-0005-0000-0000-000097080000}"/>
    <cellStyle name="Normal 13 2 2" xfId="1321" xr:uid="{00000000-0005-0000-0000-000098080000}"/>
    <cellStyle name="Normal 13 2 2 2" xfId="1322" xr:uid="{00000000-0005-0000-0000-000099080000}"/>
    <cellStyle name="Normal 13 2 2 2 2" xfId="1323" xr:uid="{00000000-0005-0000-0000-00009A080000}"/>
    <cellStyle name="Normal 13 2 2 3" xfId="1324" xr:uid="{00000000-0005-0000-0000-00009B080000}"/>
    <cellStyle name="Normal 13 2 3" xfId="1325" xr:uid="{00000000-0005-0000-0000-00009C080000}"/>
    <cellStyle name="Normal 13 2 3 2" xfId="1326" xr:uid="{00000000-0005-0000-0000-00009D080000}"/>
    <cellStyle name="Normal 13 2 3 2 2" xfId="1327" xr:uid="{00000000-0005-0000-0000-00009E080000}"/>
    <cellStyle name="Normal 13 2 3 3" xfId="1328" xr:uid="{00000000-0005-0000-0000-00009F080000}"/>
    <cellStyle name="Normal 13 2 4" xfId="1329" xr:uid="{00000000-0005-0000-0000-0000A0080000}"/>
    <cellStyle name="Normal 13 2 4 2" xfId="1330" xr:uid="{00000000-0005-0000-0000-0000A1080000}"/>
    <cellStyle name="Normal 13 2 4 2 2" xfId="1331" xr:uid="{00000000-0005-0000-0000-0000A2080000}"/>
    <cellStyle name="Normal 13 2 4 3" xfId="1332" xr:uid="{00000000-0005-0000-0000-0000A3080000}"/>
    <cellStyle name="Normal 13 2 5" xfId="1333" xr:uid="{00000000-0005-0000-0000-0000A4080000}"/>
    <cellStyle name="Normal 13 2 5 2" xfId="1334" xr:uid="{00000000-0005-0000-0000-0000A5080000}"/>
    <cellStyle name="Normal 13 2 6" xfId="1335" xr:uid="{00000000-0005-0000-0000-0000A6080000}"/>
    <cellStyle name="Normal 13 2 7" xfId="1320" xr:uid="{00000000-0005-0000-0000-0000A7080000}"/>
    <cellStyle name="Normal 13 2_PMS Import" xfId="1501" xr:uid="{00000000-0005-0000-0000-0000A8080000}"/>
    <cellStyle name="Normal 13 3" xfId="1336" xr:uid="{00000000-0005-0000-0000-0000A9080000}"/>
    <cellStyle name="Normal 13 3 2" xfId="1337" xr:uid="{00000000-0005-0000-0000-0000AA080000}"/>
    <cellStyle name="Normal 13 3 2 2" xfId="1338" xr:uid="{00000000-0005-0000-0000-0000AB080000}"/>
    <cellStyle name="Normal 13 3 3" xfId="1339" xr:uid="{00000000-0005-0000-0000-0000AC080000}"/>
    <cellStyle name="Normal 13 4" xfId="1340" xr:uid="{00000000-0005-0000-0000-0000AD080000}"/>
    <cellStyle name="Normal 13 4 2" xfId="1341" xr:uid="{00000000-0005-0000-0000-0000AE080000}"/>
    <cellStyle name="Normal 13 5" xfId="1342" xr:uid="{00000000-0005-0000-0000-0000AF080000}"/>
    <cellStyle name="Normal 13 6" xfId="2996" xr:uid="{00000000-0005-0000-0000-0000B0080000}"/>
    <cellStyle name="Normal 13 7" xfId="2999" xr:uid="{00000000-0005-0000-0000-0000B1080000}"/>
    <cellStyle name="Normal 13 8" xfId="3001" xr:uid="{00000000-0005-0000-0000-0000B2080000}"/>
    <cellStyle name="Normal 13 9" xfId="3003" xr:uid="{00000000-0005-0000-0000-0000B3080000}"/>
    <cellStyle name="Normal 14" xfId="609" xr:uid="{00000000-0005-0000-0000-0000B4080000}"/>
    <cellStyle name="Normal 14 2" xfId="610" xr:uid="{00000000-0005-0000-0000-0000B5080000}"/>
    <cellStyle name="Normal 15" xfId="611" xr:uid="{00000000-0005-0000-0000-0000B6080000}"/>
    <cellStyle name="Normal 15 2" xfId="612" xr:uid="{00000000-0005-0000-0000-0000B7080000}"/>
    <cellStyle name="Normal 15 2 2" xfId="1345" xr:uid="{00000000-0005-0000-0000-0000B8080000}"/>
    <cellStyle name="Normal 15 2 3" xfId="1344" xr:uid="{00000000-0005-0000-0000-0000B9080000}"/>
    <cellStyle name="Normal 15 2_PMS Import" xfId="1499" xr:uid="{00000000-0005-0000-0000-0000BA080000}"/>
    <cellStyle name="Normal 15 3" xfId="1346" xr:uid="{00000000-0005-0000-0000-0000BB080000}"/>
    <cellStyle name="Normal 15 4" xfId="1343" xr:uid="{00000000-0005-0000-0000-0000BC080000}"/>
    <cellStyle name="Normal 15_PMS Import" xfId="1500" xr:uid="{00000000-0005-0000-0000-0000BD080000}"/>
    <cellStyle name="Normal 16" xfId="613" xr:uid="{00000000-0005-0000-0000-0000BE080000}"/>
    <cellStyle name="Normal 16 2" xfId="614" xr:uid="{00000000-0005-0000-0000-0000BF080000}"/>
    <cellStyle name="Normal 16 2 2" xfId="1349" xr:uid="{00000000-0005-0000-0000-0000C0080000}"/>
    <cellStyle name="Normal 16 2 2 2" xfId="1350" xr:uid="{00000000-0005-0000-0000-0000C1080000}"/>
    <cellStyle name="Normal 16 2 2 2 2" xfId="1351" xr:uid="{00000000-0005-0000-0000-0000C2080000}"/>
    <cellStyle name="Normal 16 2 2 3" xfId="1352" xr:uid="{00000000-0005-0000-0000-0000C3080000}"/>
    <cellStyle name="Normal 16 2 3" xfId="1353" xr:uid="{00000000-0005-0000-0000-0000C4080000}"/>
    <cellStyle name="Normal 16 2 3 2" xfId="1354" xr:uid="{00000000-0005-0000-0000-0000C5080000}"/>
    <cellStyle name="Normal 16 2 4" xfId="1355" xr:uid="{00000000-0005-0000-0000-0000C6080000}"/>
    <cellStyle name="Normal 16 2 5" xfId="1348" xr:uid="{00000000-0005-0000-0000-0000C7080000}"/>
    <cellStyle name="Normal 16 2_PMS Import" xfId="1497" xr:uid="{00000000-0005-0000-0000-0000C8080000}"/>
    <cellStyle name="Normal 16 3" xfId="615" xr:uid="{00000000-0005-0000-0000-0000C9080000}"/>
    <cellStyle name="Normal 16 3 2" xfId="1357" xr:uid="{00000000-0005-0000-0000-0000CA080000}"/>
    <cellStyle name="Normal 16 3 2 2" xfId="1358" xr:uid="{00000000-0005-0000-0000-0000CB080000}"/>
    <cellStyle name="Normal 16 3 3" xfId="1359" xr:uid="{00000000-0005-0000-0000-0000CC080000}"/>
    <cellStyle name="Normal 16 3 4" xfId="1356" xr:uid="{00000000-0005-0000-0000-0000CD080000}"/>
    <cellStyle name="Normal 16 3_PMS Import" xfId="1495" xr:uid="{00000000-0005-0000-0000-0000CE080000}"/>
    <cellStyle name="Normal 16 4" xfId="1360" xr:uid="{00000000-0005-0000-0000-0000CF080000}"/>
    <cellStyle name="Normal 16 4 2" xfId="1361" xr:uid="{00000000-0005-0000-0000-0000D0080000}"/>
    <cellStyle name="Normal 16 5" xfId="1362" xr:uid="{00000000-0005-0000-0000-0000D1080000}"/>
    <cellStyle name="Normal 16 6" xfId="1347" xr:uid="{00000000-0005-0000-0000-0000D2080000}"/>
    <cellStyle name="Normal 16_PMS Import" xfId="1498" xr:uid="{00000000-0005-0000-0000-0000D3080000}"/>
    <cellStyle name="Normal 17" xfId="19" xr:uid="{00000000-0005-0000-0000-0000D4080000}"/>
    <cellStyle name="Normal 17 2" xfId="616" xr:uid="{00000000-0005-0000-0000-0000D5080000}"/>
    <cellStyle name="Normal 17 2 2" xfId="1365" xr:uid="{00000000-0005-0000-0000-0000D6080000}"/>
    <cellStyle name="Normal 17 2 2 2" xfId="1366" xr:uid="{00000000-0005-0000-0000-0000D7080000}"/>
    <cellStyle name="Normal 17 2 3" xfId="1367" xr:uid="{00000000-0005-0000-0000-0000D8080000}"/>
    <cellStyle name="Normal 17 2 4" xfId="1364" xr:uid="{00000000-0005-0000-0000-0000D9080000}"/>
    <cellStyle name="Normal 17 2_PMS Import" xfId="1494" xr:uid="{00000000-0005-0000-0000-0000DA080000}"/>
    <cellStyle name="Normal 17 3" xfId="617" xr:uid="{00000000-0005-0000-0000-0000DB080000}"/>
    <cellStyle name="Normal 17 3 2" xfId="1369" xr:uid="{00000000-0005-0000-0000-0000DC080000}"/>
    <cellStyle name="Normal 17 3 3" xfId="1368" xr:uid="{00000000-0005-0000-0000-0000DD080000}"/>
    <cellStyle name="Normal 17 3_PMS Import" xfId="1493" xr:uid="{00000000-0005-0000-0000-0000DE080000}"/>
    <cellStyle name="Normal 17 4" xfId="1370" xr:uid="{00000000-0005-0000-0000-0000DF080000}"/>
    <cellStyle name="Normal 17 5" xfId="1363" xr:uid="{00000000-0005-0000-0000-0000E0080000}"/>
    <cellStyle name="Normal 17 6" xfId="1638" xr:uid="{00000000-0005-0000-0000-0000E1080000}"/>
    <cellStyle name="Normal 17_AGO Import" xfId="1672" xr:uid="{00000000-0005-0000-0000-0000E2080000}"/>
    <cellStyle name="Normal 18" xfId="618" xr:uid="{00000000-0005-0000-0000-0000E3080000}"/>
    <cellStyle name="Normal 18 2" xfId="619" xr:uid="{00000000-0005-0000-0000-0000E4080000}"/>
    <cellStyle name="Normal 18 2 2" xfId="1372" xr:uid="{00000000-0005-0000-0000-0000E5080000}"/>
    <cellStyle name="Normal 18 2 2 2" xfId="1373" xr:uid="{00000000-0005-0000-0000-0000E6080000}"/>
    <cellStyle name="Normal 18 2 2 2 2" xfId="1374" xr:uid="{00000000-0005-0000-0000-0000E7080000}"/>
    <cellStyle name="Normal 18 2 2 2 2 2" xfId="1375" xr:uid="{00000000-0005-0000-0000-0000E8080000}"/>
    <cellStyle name="Normal 18 2 2 2 3" xfId="1376" xr:uid="{00000000-0005-0000-0000-0000E9080000}"/>
    <cellStyle name="Normal 18 2 2 3" xfId="1377" xr:uid="{00000000-0005-0000-0000-0000EA080000}"/>
    <cellStyle name="Normal 18 2 2 3 2" xfId="1378" xr:uid="{00000000-0005-0000-0000-0000EB080000}"/>
    <cellStyle name="Normal 18 2 2 3 2 2" xfId="1379" xr:uid="{00000000-0005-0000-0000-0000EC080000}"/>
    <cellStyle name="Normal 18 2 2 3 3" xfId="1380" xr:uid="{00000000-0005-0000-0000-0000ED080000}"/>
    <cellStyle name="Normal 18 2 2 4" xfId="1381" xr:uid="{00000000-0005-0000-0000-0000EE080000}"/>
    <cellStyle name="Normal 18 2 2 4 2" xfId="1382" xr:uid="{00000000-0005-0000-0000-0000EF080000}"/>
    <cellStyle name="Normal 18 2 2 5" xfId="1383" xr:uid="{00000000-0005-0000-0000-0000F0080000}"/>
    <cellStyle name="Normal 18 2 3" xfId="1384" xr:uid="{00000000-0005-0000-0000-0000F1080000}"/>
    <cellStyle name="Normal 18 2 3 2" xfId="1385" xr:uid="{00000000-0005-0000-0000-0000F2080000}"/>
    <cellStyle name="Normal 18 2 3 2 2" xfId="1386" xr:uid="{00000000-0005-0000-0000-0000F3080000}"/>
    <cellStyle name="Normal 18 2 3 3" xfId="1387" xr:uid="{00000000-0005-0000-0000-0000F4080000}"/>
    <cellStyle name="Normal 18 2 4" xfId="1388" xr:uid="{00000000-0005-0000-0000-0000F5080000}"/>
    <cellStyle name="Normal 18 2 4 2" xfId="1389" xr:uid="{00000000-0005-0000-0000-0000F6080000}"/>
    <cellStyle name="Normal 18 2 5" xfId="1390" xr:uid="{00000000-0005-0000-0000-0000F7080000}"/>
    <cellStyle name="Normal 18 2 6" xfId="1371" xr:uid="{00000000-0005-0000-0000-0000F8080000}"/>
    <cellStyle name="Normal 18 2_PMS Import" xfId="1490" xr:uid="{00000000-0005-0000-0000-0000F9080000}"/>
    <cellStyle name="Normal 18 3" xfId="620" xr:uid="{00000000-0005-0000-0000-0000FA080000}"/>
    <cellStyle name="Normal 18 3 2" xfId="1392" xr:uid="{00000000-0005-0000-0000-0000FB080000}"/>
    <cellStyle name="Normal 18 3 2 2" xfId="1393" xr:uid="{00000000-0005-0000-0000-0000FC080000}"/>
    <cellStyle name="Normal 18 3 2 2 2" xfId="1394" xr:uid="{00000000-0005-0000-0000-0000FD080000}"/>
    <cellStyle name="Normal 18 3 2 3" xfId="1395" xr:uid="{00000000-0005-0000-0000-0000FE080000}"/>
    <cellStyle name="Normal 18 3 3" xfId="1396" xr:uid="{00000000-0005-0000-0000-0000FF080000}"/>
    <cellStyle name="Normal 18 3 3 2" xfId="1397" xr:uid="{00000000-0005-0000-0000-000000090000}"/>
    <cellStyle name="Normal 18 3 3 2 2" xfId="1398" xr:uid="{00000000-0005-0000-0000-000001090000}"/>
    <cellStyle name="Normal 18 3 3 3" xfId="1399" xr:uid="{00000000-0005-0000-0000-000002090000}"/>
    <cellStyle name="Normal 18 3 4" xfId="1400" xr:uid="{00000000-0005-0000-0000-000003090000}"/>
    <cellStyle name="Normal 18 3 4 2" xfId="1401" xr:uid="{00000000-0005-0000-0000-000004090000}"/>
    <cellStyle name="Normal 18 3 5" xfId="1402" xr:uid="{00000000-0005-0000-0000-000005090000}"/>
    <cellStyle name="Normal 18 4" xfId="621" xr:uid="{00000000-0005-0000-0000-000006090000}"/>
    <cellStyle name="Normal 18 4 2" xfId="1404" xr:uid="{00000000-0005-0000-0000-000007090000}"/>
    <cellStyle name="Normal 18 4 2 2" xfId="1405" xr:uid="{00000000-0005-0000-0000-000008090000}"/>
    <cellStyle name="Normal 18 4 3" xfId="1406" xr:uid="{00000000-0005-0000-0000-000009090000}"/>
    <cellStyle name="Normal 18 4 4" xfId="1403" xr:uid="{00000000-0005-0000-0000-00000A090000}"/>
    <cellStyle name="Normal 18 4_PMS Import" xfId="1486" xr:uid="{00000000-0005-0000-0000-00000B090000}"/>
    <cellStyle name="Normal 18 5" xfId="1407" xr:uid="{00000000-0005-0000-0000-00000C090000}"/>
    <cellStyle name="Normal 18 5 2" xfId="1408" xr:uid="{00000000-0005-0000-0000-00000D090000}"/>
    <cellStyle name="Normal 18 5 2 2" xfId="1409" xr:uid="{00000000-0005-0000-0000-00000E090000}"/>
    <cellStyle name="Normal 18 5 3" xfId="1410" xr:uid="{00000000-0005-0000-0000-00000F090000}"/>
    <cellStyle name="Normal 18 6" xfId="1411" xr:uid="{00000000-0005-0000-0000-000010090000}"/>
    <cellStyle name="Normal 18 6 2" xfId="1412" xr:uid="{00000000-0005-0000-0000-000011090000}"/>
    <cellStyle name="Normal 18 7" xfId="1413" xr:uid="{00000000-0005-0000-0000-000012090000}"/>
    <cellStyle name="Normal 19" xfId="622" xr:uid="{00000000-0005-0000-0000-000013090000}"/>
    <cellStyle name="Normal 19 2" xfId="623" xr:uid="{00000000-0005-0000-0000-000014090000}"/>
    <cellStyle name="Normal 19 2 2" xfId="1415" xr:uid="{00000000-0005-0000-0000-000015090000}"/>
    <cellStyle name="Normal 19 2_PMS Import" xfId="1485" xr:uid="{00000000-0005-0000-0000-000016090000}"/>
    <cellStyle name="Normal 2" xfId="4" xr:uid="{00000000-0005-0000-0000-000017090000}"/>
    <cellStyle name="Normal 2 10" xfId="624" xr:uid="{00000000-0005-0000-0000-000018090000}"/>
    <cellStyle name="Normal 2 11" xfId="625" xr:uid="{00000000-0005-0000-0000-000019090000}"/>
    <cellStyle name="Normal 2 12" xfId="626" xr:uid="{00000000-0005-0000-0000-00001A090000}"/>
    <cellStyle name="Normal 2 13" xfId="627" xr:uid="{00000000-0005-0000-0000-00001B090000}"/>
    <cellStyle name="Normal 2 14" xfId="628" xr:uid="{00000000-0005-0000-0000-00001C090000}"/>
    <cellStyle name="Normal 2 15" xfId="629" xr:uid="{00000000-0005-0000-0000-00001D090000}"/>
    <cellStyle name="Normal 2 16" xfId="630" xr:uid="{00000000-0005-0000-0000-00001E090000}"/>
    <cellStyle name="Normal 2 17" xfId="631" xr:uid="{00000000-0005-0000-0000-00001F090000}"/>
    <cellStyle name="Normal 2 18" xfId="632" xr:uid="{00000000-0005-0000-0000-000020090000}"/>
    <cellStyle name="Normal 2 19" xfId="633" xr:uid="{00000000-0005-0000-0000-000021090000}"/>
    <cellStyle name="Normal 2 2" xfId="634" xr:uid="{00000000-0005-0000-0000-000022090000}"/>
    <cellStyle name="Normal 2 2 10" xfId="635" xr:uid="{00000000-0005-0000-0000-000023090000}"/>
    <cellStyle name="Normal 2 2 11" xfId="636" xr:uid="{00000000-0005-0000-0000-000024090000}"/>
    <cellStyle name="Normal 2 2 12" xfId="637" xr:uid="{00000000-0005-0000-0000-000025090000}"/>
    <cellStyle name="Normal 2 2 13" xfId="638" xr:uid="{00000000-0005-0000-0000-000026090000}"/>
    <cellStyle name="Normal 2 2 14" xfId="639" xr:uid="{00000000-0005-0000-0000-000027090000}"/>
    <cellStyle name="Normal 2 2 15" xfId="640" xr:uid="{00000000-0005-0000-0000-000028090000}"/>
    <cellStyle name="Normal 2 2 16" xfId="641" xr:uid="{00000000-0005-0000-0000-000029090000}"/>
    <cellStyle name="Normal 2 2 17" xfId="642" xr:uid="{00000000-0005-0000-0000-00002A090000}"/>
    <cellStyle name="Normal 2 2 18" xfId="643" xr:uid="{00000000-0005-0000-0000-00002B090000}"/>
    <cellStyle name="Normal 2 2 2" xfId="644" xr:uid="{00000000-0005-0000-0000-00002C090000}"/>
    <cellStyle name="Normal 2 2 2 2" xfId="645" xr:uid="{00000000-0005-0000-0000-00002D090000}"/>
    <cellStyle name="Normal 2 2 2 2 2" xfId="646" xr:uid="{00000000-0005-0000-0000-00002E090000}"/>
    <cellStyle name="Normal 2 2 2 2 3" xfId="647" xr:uid="{00000000-0005-0000-0000-00002F090000}"/>
    <cellStyle name="Normal 2 2 3" xfId="648" xr:uid="{00000000-0005-0000-0000-000030090000}"/>
    <cellStyle name="Normal 2 2 3 2" xfId="649" xr:uid="{00000000-0005-0000-0000-000031090000}"/>
    <cellStyle name="Normal 2 2 3 3" xfId="650" xr:uid="{00000000-0005-0000-0000-000032090000}"/>
    <cellStyle name="Normal 2 2 4" xfId="651" xr:uid="{00000000-0005-0000-0000-000033090000}"/>
    <cellStyle name="Normal 2 2 4 2" xfId="652" xr:uid="{00000000-0005-0000-0000-000034090000}"/>
    <cellStyle name="Normal 2 2 4 3" xfId="653" xr:uid="{00000000-0005-0000-0000-000035090000}"/>
    <cellStyle name="Normal 2 2 5" xfId="654" xr:uid="{00000000-0005-0000-0000-000036090000}"/>
    <cellStyle name="Normal 2 2 6" xfId="655" xr:uid="{00000000-0005-0000-0000-000037090000}"/>
    <cellStyle name="Normal 2 2 7" xfId="656" xr:uid="{00000000-0005-0000-0000-000038090000}"/>
    <cellStyle name="Normal 2 2 8" xfId="657" xr:uid="{00000000-0005-0000-0000-000039090000}"/>
    <cellStyle name="Normal 2 2 9" xfId="658" xr:uid="{00000000-0005-0000-0000-00003A090000}"/>
    <cellStyle name="Normal 2 2_07.12 JET A-1 KOT-Mt ATLANTIC MUSE(GULF)" xfId="659" xr:uid="{00000000-0005-0000-0000-00003B090000}"/>
    <cellStyle name="Normal 2 20" xfId="660" xr:uid="{00000000-0005-0000-0000-00003C090000}"/>
    <cellStyle name="Normal 2 21" xfId="661" xr:uid="{00000000-0005-0000-0000-00003D090000}"/>
    <cellStyle name="Normal 2 22" xfId="662" xr:uid="{00000000-0005-0000-0000-00003E090000}"/>
    <cellStyle name="Normal 2 23" xfId="663" xr:uid="{00000000-0005-0000-0000-00003F090000}"/>
    <cellStyle name="Normal 2 24" xfId="664" xr:uid="{00000000-0005-0000-0000-000040090000}"/>
    <cellStyle name="Normal 2 25" xfId="665" xr:uid="{00000000-0005-0000-0000-000041090000}"/>
    <cellStyle name="Normal 2 26" xfId="666" xr:uid="{00000000-0005-0000-0000-000042090000}"/>
    <cellStyle name="Normal 2 27" xfId="667" xr:uid="{00000000-0005-0000-0000-000043090000}"/>
    <cellStyle name="Normal 2 28" xfId="668" xr:uid="{00000000-0005-0000-0000-000044090000}"/>
    <cellStyle name="Normal 2 29" xfId="669" xr:uid="{00000000-0005-0000-0000-000045090000}"/>
    <cellStyle name="Normal 2 3" xfId="670" xr:uid="{00000000-0005-0000-0000-000046090000}"/>
    <cellStyle name="Normal 2 3 2" xfId="671" xr:uid="{00000000-0005-0000-0000-000047090000}"/>
    <cellStyle name="Normal 2 3 2 2" xfId="672" xr:uid="{00000000-0005-0000-0000-000048090000}"/>
    <cellStyle name="Normal 2 3 3" xfId="673" xr:uid="{00000000-0005-0000-0000-000049090000}"/>
    <cellStyle name="Normal 2 3 3 2" xfId="1426" xr:uid="{00000000-0005-0000-0000-00004A090000}"/>
    <cellStyle name="Normal 2 3 3_PMS Import" xfId="1484" xr:uid="{00000000-0005-0000-0000-00004B090000}"/>
    <cellStyle name="Normal 2 3 4" xfId="674" xr:uid="{00000000-0005-0000-0000-00004C090000}"/>
    <cellStyle name="Normal 2 3_AGO Import" xfId="1671" xr:uid="{00000000-0005-0000-0000-00004D090000}"/>
    <cellStyle name="Normal 2 30" xfId="675" xr:uid="{00000000-0005-0000-0000-00004E090000}"/>
    <cellStyle name="Normal 2 31" xfId="676" xr:uid="{00000000-0005-0000-0000-00004F090000}"/>
    <cellStyle name="Normal 2 32" xfId="677" xr:uid="{00000000-0005-0000-0000-000050090000}"/>
    <cellStyle name="Normal 2 33" xfId="678" xr:uid="{00000000-0005-0000-0000-000051090000}"/>
    <cellStyle name="Normal 2 34" xfId="679" xr:uid="{00000000-0005-0000-0000-000052090000}"/>
    <cellStyle name="Normal 2 35" xfId="680" xr:uid="{00000000-0005-0000-0000-000053090000}"/>
    <cellStyle name="Normal 2 36" xfId="681" xr:uid="{00000000-0005-0000-0000-000054090000}"/>
    <cellStyle name="Normal 2 37" xfId="682" xr:uid="{00000000-0005-0000-0000-000055090000}"/>
    <cellStyle name="Normal 2 38" xfId="683" xr:uid="{00000000-0005-0000-0000-000056090000}"/>
    <cellStyle name="Normal 2 39" xfId="684" xr:uid="{00000000-0005-0000-0000-000057090000}"/>
    <cellStyle name="Normal 2 39 2" xfId="685" xr:uid="{00000000-0005-0000-0000-000058090000}"/>
    <cellStyle name="Normal 2 39 2 2" xfId="1430" xr:uid="{00000000-0005-0000-0000-000059090000}"/>
    <cellStyle name="Normal 2 39 2 3" xfId="1429" xr:uid="{00000000-0005-0000-0000-00005A090000}"/>
    <cellStyle name="Normal 2 39 2_PMS Import" xfId="1483" xr:uid="{00000000-0005-0000-0000-00005B090000}"/>
    <cellStyle name="Normal 2 39 3" xfId="1431" xr:uid="{00000000-0005-0000-0000-00005C090000}"/>
    <cellStyle name="Normal 2 4" xfId="686" xr:uid="{00000000-0005-0000-0000-00005D090000}"/>
    <cellStyle name="Normal 2 4 2" xfId="687" xr:uid="{00000000-0005-0000-0000-00005E090000}"/>
    <cellStyle name="Normal 2 4 2 2" xfId="688" xr:uid="{00000000-0005-0000-0000-00005F090000}"/>
    <cellStyle name="Normal 2 4 2 2 2" xfId="1433" xr:uid="{00000000-0005-0000-0000-000060090000}"/>
    <cellStyle name="Normal 2 4 2 2_PMS Import" xfId="1480" xr:uid="{00000000-0005-0000-0000-000061090000}"/>
    <cellStyle name="Normal 2 4 3" xfId="689" xr:uid="{00000000-0005-0000-0000-000062090000}"/>
    <cellStyle name="Normal 2 4 3 2" xfId="1434" xr:uid="{00000000-0005-0000-0000-000063090000}"/>
    <cellStyle name="Normal 2 4 3_PMS Import" xfId="1476" xr:uid="{00000000-0005-0000-0000-000064090000}"/>
    <cellStyle name="Normal 2 4 4" xfId="690" xr:uid="{00000000-0005-0000-0000-000065090000}"/>
    <cellStyle name="Normal 2 4_AGO Import" xfId="1670" xr:uid="{00000000-0005-0000-0000-000066090000}"/>
    <cellStyle name="Normal 2 40" xfId="691" xr:uid="{00000000-0005-0000-0000-000067090000}"/>
    <cellStyle name="Normal 2 40 2" xfId="692" xr:uid="{00000000-0005-0000-0000-000068090000}"/>
    <cellStyle name="Normal 2 40 2 2" xfId="1436" xr:uid="{00000000-0005-0000-0000-000069090000}"/>
    <cellStyle name="Normal 2 40 2 3" xfId="1435" xr:uid="{00000000-0005-0000-0000-00006A090000}"/>
    <cellStyle name="Normal 2 40 2_PMS Import" xfId="1475" xr:uid="{00000000-0005-0000-0000-00006B090000}"/>
    <cellStyle name="Normal 2 40 3" xfId="1437" xr:uid="{00000000-0005-0000-0000-00006C090000}"/>
    <cellStyle name="Normal 2 41" xfId="693" xr:uid="{00000000-0005-0000-0000-00006D090000}"/>
    <cellStyle name="Normal 2 41 2" xfId="694" xr:uid="{00000000-0005-0000-0000-00006E090000}"/>
    <cellStyle name="Normal 2 41 2 2" xfId="1439" xr:uid="{00000000-0005-0000-0000-00006F090000}"/>
    <cellStyle name="Normal 2 41 2 3" xfId="1438" xr:uid="{00000000-0005-0000-0000-000070090000}"/>
    <cellStyle name="Normal 2 41 2_PMS Import" xfId="1474" xr:uid="{00000000-0005-0000-0000-000071090000}"/>
    <cellStyle name="Normal 2 41 3" xfId="1440" xr:uid="{00000000-0005-0000-0000-000072090000}"/>
    <cellStyle name="Normal 2 42" xfId="695" xr:uid="{00000000-0005-0000-0000-000073090000}"/>
    <cellStyle name="Normal 2 42 2" xfId="696" xr:uid="{00000000-0005-0000-0000-000074090000}"/>
    <cellStyle name="Normal 2 42_AGO Import" xfId="1669" xr:uid="{00000000-0005-0000-0000-000075090000}"/>
    <cellStyle name="Normal 2 43" xfId="697" xr:uid="{00000000-0005-0000-0000-000076090000}"/>
    <cellStyle name="Normal 2 43 2" xfId="1441" xr:uid="{00000000-0005-0000-0000-000077090000}"/>
    <cellStyle name="Normal 2 43_PMS Import" xfId="1473" xr:uid="{00000000-0005-0000-0000-000078090000}"/>
    <cellStyle name="Normal 2 44" xfId="698" xr:uid="{00000000-0005-0000-0000-000079090000}"/>
    <cellStyle name="Normal 2 44 2" xfId="1442" xr:uid="{00000000-0005-0000-0000-00007A090000}"/>
    <cellStyle name="Normal 2 44_PMS Import" xfId="1472" xr:uid="{00000000-0005-0000-0000-00007B090000}"/>
    <cellStyle name="Normal 2 45" xfId="1443" xr:uid="{00000000-0005-0000-0000-00007C090000}"/>
    <cellStyle name="Normal 2 46" xfId="1444" xr:uid="{00000000-0005-0000-0000-00007D090000}"/>
    <cellStyle name="Normal 2 47" xfId="1445" xr:uid="{00000000-0005-0000-0000-00007E090000}"/>
    <cellStyle name="Normal 2 5" xfId="699" xr:uid="{00000000-0005-0000-0000-00007F090000}"/>
    <cellStyle name="Normal 2 5 2" xfId="700" xr:uid="{00000000-0005-0000-0000-000080090000}"/>
    <cellStyle name="Normal 2 6" xfId="701" xr:uid="{00000000-0005-0000-0000-000081090000}"/>
    <cellStyle name="Normal 2 6 2" xfId="1447" xr:uid="{00000000-0005-0000-0000-000082090000}"/>
    <cellStyle name="Normal 2 6_Final Price Build Up" xfId="1448" xr:uid="{00000000-0005-0000-0000-000083090000}"/>
    <cellStyle name="Normal 2 7" xfId="702" xr:uid="{00000000-0005-0000-0000-000084090000}"/>
    <cellStyle name="Normal 2 8" xfId="703" xr:uid="{00000000-0005-0000-0000-000085090000}"/>
    <cellStyle name="Normal 2 9" xfId="704" xr:uid="{00000000-0005-0000-0000-000086090000}"/>
    <cellStyle name="Normal 2_~2985205" xfId="1450" xr:uid="{00000000-0005-0000-0000-000087090000}"/>
    <cellStyle name="Normal 20" xfId="705" xr:uid="{00000000-0005-0000-0000-000088090000}"/>
    <cellStyle name="Normal 20 2" xfId="1452" xr:uid="{00000000-0005-0000-0000-000089090000}"/>
    <cellStyle name="Normal 20 3" xfId="1451" xr:uid="{00000000-0005-0000-0000-00008A090000}"/>
    <cellStyle name="Normal 20_PMS Import" xfId="1471" xr:uid="{00000000-0005-0000-0000-00008B090000}"/>
    <cellStyle name="Normal 21" xfId="706" xr:uid="{00000000-0005-0000-0000-00008C090000}"/>
    <cellStyle name="Normal 21 2" xfId="707" xr:uid="{00000000-0005-0000-0000-00008D090000}"/>
    <cellStyle name="Normal 21 2 2" xfId="1454" xr:uid="{00000000-0005-0000-0000-00008E090000}"/>
    <cellStyle name="Normal 21 2 3" xfId="1453" xr:uid="{00000000-0005-0000-0000-00008F090000}"/>
    <cellStyle name="Normal 21 2_PMS Import" xfId="1464" xr:uid="{00000000-0005-0000-0000-000090090000}"/>
    <cellStyle name="Normal 21 3" xfId="1455" xr:uid="{00000000-0005-0000-0000-000091090000}"/>
    <cellStyle name="Normal 21 4" xfId="1456" xr:uid="{00000000-0005-0000-0000-000092090000}"/>
    <cellStyle name="Normal 21_PMS Import" xfId="1470" xr:uid="{00000000-0005-0000-0000-000093090000}"/>
    <cellStyle name="Normal 22" xfId="708" xr:uid="{00000000-0005-0000-0000-000094090000}"/>
    <cellStyle name="Normal 22 2" xfId="709" xr:uid="{00000000-0005-0000-0000-000095090000}"/>
    <cellStyle name="Normal 23" xfId="710" xr:uid="{00000000-0005-0000-0000-000096090000}"/>
    <cellStyle name="Normal 23 2" xfId="711" xr:uid="{00000000-0005-0000-0000-000097090000}"/>
    <cellStyle name="Normal 24" xfId="712" xr:uid="{00000000-0005-0000-0000-000098090000}"/>
    <cellStyle name="Normal 24 2" xfId="713" xr:uid="{00000000-0005-0000-0000-000099090000}"/>
    <cellStyle name="Normal 25" xfId="714" xr:uid="{00000000-0005-0000-0000-00009A090000}"/>
    <cellStyle name="Normal 25 2" xfId="715" xr:uid="{00000000-0005-0000-0000-00009B090000}"/>
    <cellStyle name="Normal 26" xfId="716" xr:uid="{00000000-0005-0000-0000-00009C090000}"/>
    <cellStyle name="Normal 26 2" xfId="717" xr:uid="{00000000-0005-0000-0000-00009D090000}"/>
    <cellStyle name="Normal 27" xfId="11" xr:uid="{00000000-0005-0000-0000-00009E090000}"/>
    <cellStyle name="Normal 27 2" xfId="718" xr:uid="{00000000-0005-0000-0000-00009F090000}"/>
    <cellStyle name="Normal 27 3" xfId="719" xr:uid="{00000000-0005-0000-0000-0000A0090000}"/>
    <cellStyle name="Normal 27 4" xfId="1458" xr:uid="{00000000-0005-0000-0000-0000A1090000}"/>
    <cellStyle name="Normal 27_AGO Import" xfId="1668" xr:uid="{00000000-0005-0000-0000-0000A2090000}"/>
    <cellStyle name="Normal 28" xfId="12" xr:uid="{00000000-0005-0000-0000-0000A3090000}"/>
    <cellStyle name="Normal 28 2" xfId="720" xr:uid="{00000000-0005-0000-0000-0000A4090000}"/>
    <cellStyle name="Normal 28 3" xfId="721" xr:uid="{00000000-0005-0000-0000-0000A5090000}"/>
    <cellStyle name="Normal 28 4" xfId="1459" xr:uid="{00000000-0005-0000-0000-0000A6090000}"/>
    <cellStyle name="Normal 28_AGO Import" xfId="1667" xr:uid="{00000000-0005-0000-0000-0000A7090000}"/>
    <cellStyle name="Normal 29" xfId="722" xr:uid="{00000000-0005-0000-0000-0000A8090000}"/>
    <cellStyle name="Normal 29 2" xfId="723" xr:uid="{00000000-0005-0000-0000-0000A9090000}"/>
    <cellStyle name="Normal 29 3" xfId="724" xr:uid="{00000000-0005-0000-0000-0000AA090000}"/>
    <cellStyle name="Normal 3" xfId="7" xr:uid="{00000000-0005-0000-0000-0000AB090000}"/>
    <cellStyle name="Normal 3 10" xfId="725" xr:uid="{00000000-0005-0000-0000-0000AC090000}"/>
    <cellStyle name="Normal 3 11" xfId="726" xr:uid="{00000000-0005-0000-0000-0000AD090000}"/>
    <cellStyle name="Normal 3 2" xfId="727" xr:uid="{00000000-0005-0000-0000-0000AE090000}"/>
    <cellStyle name="Normal 3 2 2" xfId="728" xr:uid="{00000000-0005-0000-0000-0000AF090000}"/>
    <cellStyle name="Normal 3 3" xfId="729" xr:uid="{00000000-0005-0000-0000-0000B0090000}"/>
    <cellStyle name="Normal 3 4" xfId="730" xr:uid="{00000000-0005-0000-0000-0000B1090000}"/>
    <cellStyle name="Normal 3 4 2" xfId="731" xr:uid="{00000000-0005-0000-0000-0000B2090000}"/>
    <cellStyle name="Normal 3 4 2 2" xfId="1461" xr:uid="{00000000-0005-0000-0000-0000B3090000}"/>
    <cellStyle name="Normal 3 4 2 2 2" xfId="1462" xr:uid="{00000000-0005-0000-0000-0000B4090000}"/>
    <cellStyle name="Normal 3 4 2 3" xfId="1463" xr:uid="{00000000-0005-0000-0000-0000B5090000}"/>
    <cellStyle name="Normal 3 4 3" xfId="732" xr:uid="{00000000-0005-0000-0000-0000B6090000}"/>
    <cellStyle name="Normal 3 5" xfId="733" xr:uid="{00000000-0005-0000-0000-0000B7090000}"/>
    <cellStyle name="Normal 3 5 2" xfId="734" xr:uid="{00000000-0005-0000-0000-0000B8090000}"/>
    <cellStyle name="Normal 3 5 2 2" xfId="1466" xr:uid="{00000000-0005-0000-0000-0000B9090000}"/>
    <cellStyle name="Normal 3 5 2 3" xfId="1465" xr:uid="{00000000-0005-0000-0000-0000BA090000}"/>
    <cellStyle name="Normal 3 5 2_PMS Import" xfId="1460" xr:uid="{00000000-0005-0000-0000-0000BB090000}"/>
    <cellStyle name="Normal 3 5 3" xfId="1467" xr:uid="{00000000-0005-0000-0000-0000BC090000}"/>
    <cellStyle name="Normal 3 5_AGO Import" xfId="1666" xr:uid="{00000000-0005-0000-0000-0000BD090000}"/>
    <cellStyle name="Normal 3 6" xfId="735" xr:uid="{00000000-0005-0000-0000-0000BE090000}"/>
    <cellStyle name="Normal 3 6 2" xfId="1639" xr:uid="{00000000-0005-0000-0000-0000BF090000}"/>
    <cellStyle name="Normal 3 6_AGO Import" xfId="1665" xr:uid="{00000000-0005-0000-0000-0000C0090000}"/>
    <cellStyle name="Normal 3 7" xfId="736" xr:uid="{00000000-0005-0000-0000-0000C1090000}"/>
    <cellStyle name="Normal 3 8" xfId="737" xr:uid="{00000000-0005-0000-0000-0000C2090000}"/>
    <cellStyle name="Normal 3 9" xfId="738" xr:uid="{00000000-0005-0000-0000-0000C3090000}"/>
    <cellStyle name="Normal 3_~2985205" xfId="1468" xr:uid="{00000000-0005-0000-0000-0000C4090000}"/>
    <cellStyle name="Normal 30" xfId="13" xr:uid="{00000000-0005-0000-0000-0000C5090000}"/>
    <cellStyle name="Normal 30 2" xfId="1469" xr:uid="{00000000-0005-0000-0000-0000C6090000}"/>
    <cellStyle name="Normal 30_AGO Import" xfId="1664" xr:uid="{00000000-0005-0000-0000-0000C7090000}"/>
    <cellStyle name="Normal 31" xfId="14" xr:uid="{00000000-0005-0000-0000-0000C8090000}"/>
    <cellStyle name="Normal 31 2" xfId="739" xr:uid="{00000000-0005-0000-0000-0000C9090000}"/>
    <cellStyle name="Normal 31 2 2" xfId="740" xr:uid="{00000000-0005-0000-0000-0000CA090000}"/>
    <cellStyle name="Normal 31 3" xfId="741" xr:uid="{00000000-0005-0000-0000-0000CB090000}"/>
    <cellStyle name="Normal 31_AGO Import" xfId="1663" xr:uid="{00000000-0005-0000-0000-0000CC090000}"/>
    <cellStyle name="Normal 32" xfId="742" xr:uid="{00000000-0005-0000-0000-0000CD090000}"/>
    <cellStyle name="Normal 32 2" xfId="743" xr:uid="{00000000-0005-0000-0000-0000CE090000}"/>
    <cellStyle name="Normal 32 3" xfId="744" xr:uid="{00000000-0005-0000-0000-0000CF090000}"/>
    <cellStyle name="Normal 33" xfId="745" xr:uid="{00000000-0005-0000-0000-0000D0090000}"/>
    <cellStyle name="Normal 33 2" xfId="746" xr:uid="{00000000-0005-0000-0000-0000D1090000}"/>
    <cellStyle name="Normal 34" xfId="747" xr:uid="{00000000-0005-0000-0000-0000D2090000}"/>
    <cellStyle name="Normal 34 2" xfId="748" xr:uid="{00000000-0005-0000-0000-0000D3090000}"/>
    <cellStyle name="Normal 34 3" xfId="749" xr:uid="{00000000-0005-0000-0000-0000D4090000}"/>
    <cellStyle name="Normal 35" xfId="750" xr:uid="{00000000-0005-0000-0000-0000D5090000}"/>
    <cellStyle name="Normal 35 2" xfId="751" xr:uid="{00000000-0005-0000-0000-0000D6090000}"/>
    <cellStyle name="Normal 35 3" xfId="752" xr:uid="{00000000-0005-0000-0000-0000D7090000}"/>
    <cellStyle name="Normal 35 4" xfId="753" xr:uid="{00000000-0005-0000-0000-0000D8090000}"/>
    <cellStyle name="Normal 36" xfId="754" xr:uid="{00000000-0005-0000-0000-0000D9090000}"/>
    <cellStyle name="Normal 36 2" xfId="755" xr:uid="{00000000-0005-0000-0000-0000DA090000}"/>
    <cellStyle name="Normal 36 2 2" xfId="1478" xr:uid="{00000000-0005-0000-0000-0000DB090000}"/>
    <cellStyle name="Normal 36 2 3" xfId="1477" xr:uid="{00000000-0005-0000-0000-0000DC090000}"/>
    <cellStyle name="Normal 36 2_PMS Import" xfId="1457" xr:uid="{00000000-0005-0000-0000-0000DD090000}"/>
    <cellStyle name="Normal 36 3" xfId="1479" xr:uid="{00000000-0005-0000-0000-0000DE090000}"/>
    <cellStyle name="Normal 37" xfId="756" xr:uid="{00000000-0005-0000-0000-0000DF090000}"/>
    <cellStyle name="Normal 38" xfId="757" xr:uid="{00000000-0005-0000-0000-0000E0090000}"/>
    <cellStyle name="Normal 39" xfId="758" xr:uid="{00000000-0005-0000-0000-0000E1090000}"/>
    <cellStyle name="Normal 39 2" xfId="1482" xr:uid="{00000000-0005-0000-0000-0000E2090000}"/>
    <cellStyle name="Normal 39 3" xfId="1481" xr:uid="{00000000-0005-0000-0000-0000E3090000}"/>
    <cellStyle name="Normal 39 4" xfId="1640" xr:uid="{00000000-0005-0000-0000-0000E4090000}"/>
    <cellStyle name="Normal 39_AGO Import" xfId="1662" xr:uid="{00000000-0005-0000-0000-0000E5090000}"/>
    <cellStyle name="Normal 4" xfId="9" xr:uid="{00000000-0005-0000-0000-0000E6090000}"/>
    <cellStyle name="Normal 4 2" xfId="759" xr:uid="{00000000-0005-0000-0000-0000E7090000}"/>
    <cellStyle name="Normal 4 2 2" xfId="760" xr:uid="{00000000-0005-0000-0000-0000E8090000}"/>
    <cellStyle name="Normal 4 3" xfId="761" xr:uid="{00000000-0005-0000-0000-0000E9090000}"/>
    <cellStyle name="Normal 4 3 2" xfId="762" xr:uid="{00000000-0005-0000-0000-0000EA090000}"/>
    <cellStyle name="Normal 4 3 3" xfId="763" xr:uid="{00000000-0005-0000-0000-0000EB090000}"/>
    <cellStyle name="Normal 4 4" xfId="764" xr:uid="{00000000-0005-0000-0000-0000EC090000}"/>
    <cellStyle name="Normal 4 4 2" xfId="765" xr:uid="{00000000-0005-0000-0000-0000ED090000}"/>
    <cellStyle name="Normal 4 4_AGO Import" xfId="1661" xr:uid="{00000000-0005-0000-0000-0000EE090000}"/>
    <cellStyle name="Normal 4 5" xfId="1487" xr:uid="{00000000-0005-0000-0000-0000EF090000}"/>
    <cellStyle name="Normal 4_~2985205" xfId="1488" xr:uid="{00000000-0005-0000-0000-0000F0090000}"/>
    <cellStyle name="Normal 40" xfId="766" xr:uid="{00000000-0005-0000-0000-0000F1090000}"/>
    <cellStyle name="Normal 40 2" xfId="1489" xr:uid="{00000000-0005-0000-0000-0000F2090000}"/>
    <cellStyle name="Normal 40 3" xfId="1641" xr:uid="{00000000-0005-0000-0000-0000F3090000}"/>
    <cellStyle name="Normal 40_AGO Import" xfId="1660" xr:uid="{00000000-0005-0000-0000-0000F4090000}"/>
    <cellStyle name="Normal 41" xfId="767" xr:uid="{00000000-0005-0000-0000-0000F5090000}"/>
    <cellStyle name="Normal 41 2" xfId="1491" xr:uid="{00000000-0005-0000-0000-0000F6090000}"/>
    <cellStyle name="Normal 41 3" xfId="1642" xr:uid="{00000000-0005-0000-0000-0000F7090000}"/>
    <cellStyle name="Normal 41_AGO Import" xfId="1659" xr:uid="{00000000-0005-0000-0000-0000F8090000}"/>
    <cellStyle name="Normal 42" xfId="768" xr:uid="{00000000-0005-0000-0000-0000F9090000}"/>
    <cellStyle name="Normal 42 2" xfId="1492" xr:uid="{00000000-0005-0000-0000-0000FA090000}"/>
    <cellStyle name="Normal 42 3" xfId="1643" xr:uid="{00000000-0005-0000-0000-0000FB090000}"/>
    <cellStyle name="Normal 42_AGO Import" xfId="1658" xr:uid="{00000000-0005-0000-0000-0000FC090000}"/>
    <cellStyle name="Normal 43" xfId="769" xr:uid="{00000000-0005-0000-0000-0000FD090000}"/>
    <cellStyle name="Normal 43 2" xfId="1644" xr:uid="{00000000-0005-0000-0000-0000FE090000}"/>
    <cellStyle name="Normal 43_AGO Import" xfId="1657" xr:uid="{00000000-0005-0000-0000-0000FF090000}"/>
    <cellStyle name="Normal 44" xfId="770" xr:uid="{00000000-0005-0000-0000-0000000A0000}"/>
    <cellStyle name="Normal 44 2" xfId="1645" xr:uid="{00000000-0005-0000-0000-0000010A0000}"/>
    <cellStyle name="Normal 44_AGO Import" xfId="1656" xr:uid="{00000000-0005-0000-0000-0000020A0000}"/>
    <cellStyle name="Normal 45" xfId="771" xr:uid="{00000000-0005-0000-0000-0000030A0000}"/>
    <cellStyle name="Normal 46" xfId="772" xr:uid="{00000000-0005-0000-0000-0000040A0000}"/>
    <cellStyle name="Normal 47" xfId="773" xr:uid="{00000000-0005-0000-0000-0000050A0000}"/>
    <cellStyle name="Normal 47 2" xfId="1646" xr:uid="{00000000-0005-0000-0000-0000060A0000}"/>
    <cellStyle name="Normal 47_AGO Import" xfId="1655" xr:uid="{00000000-0005-0000-0000-0000070A0000}"/>
    <cellStyle name="Normal 48" xfId="774" xr:uid="{00000000-0005-0000-0000-0000080A0000}"/>
    <cellStyle name="Normal 48 2" xfId="1647" xr:uid="{00000000-0005-0000-0000-0000090A0000}"/>
    <cellStyle name="Normal 48_AGO Import" xfId="1654" xr:uid="{00000000-0005-0000-0000-00000A0A0000}"/>
    <cellStyle name="Normal 49" xfId="775" xr:uid="{00000000-0005-0000-0000-00000B0A0000}"/>
    <cellStyle name="Normal 49 2" xfId="1698" xr:uid="{00000000-0005-0000-0000-00000C0A0000}"/>
    <cellStyle name="Normal 49_AGO Import" xfId="1653" xr:uid="{00000000-0005-0000-0000-00000D0A0000}"/>
    <cellStyle name="Normal 5" xfId="776" xr:uid="{00000000-0005-0000-0000-00000E0A0000}"/>
    <cellStyle name="Normal 5 2" xfId="777" xr:uid="{00000000-0005-0000-0000-00000F0A0000}"/>
    <cellStyle name="Normal 5 3" xfId="778" xr:uid="{00000000-0005-0000-0000-0000100A0000}"/>
    <cellStyle name="Normal 5 4" xfId="779" xr:uid="{00000000-0005-0000-0000-0000110A0000}"/>
    <cellStyle name="Normal 5 4 2" xfId="1496" xr:uid="{00000000-0005-0000-0000-0000120A0000}"/>
    <cellStyle name="Normal 5 4_PMS Import" xfId="1449" xr:uid="{00000000-0005-0000-0000-0000130A0000}"/>
    <cellStyle name="Normal 5 5" xfId="780" xr:uid="{00000000-0005-0000-0000-0000140A0000}"/>
    <cellStyle name="Normal 5 5 2" xfId="781" xr:uid="{00000000-0005-0000-0000-0000150A0000}"/>
    <cellStyle name="Normal 5 6" xfId="782" xr:uid="{00000000-0005-0000-0000-0000160A0000}"/>
    <cellStyle name="Normal 5_07.12 JET A-1 KOT-Mt ATLANTIC MUSE(GULF)" xfId="783" xr:uid="{00000000-0005-0000-0000-0000170A0000}"/>
    <cellStyle name="Normal 50" xfId="784" xr:uid="{00000000-0005-0000-0000-0000180A0000}"/>
    <cellStyle name="Normal 50 2" xfId="1700" xr:uid="{00000000-0005-0000-0000-0000190A0000}"/>
    <cellStyle name="Normal 50_AGO Import" xfId="1652" xr:uid="{00000000-0005-0000-0000-00001A0A0000}"/>
    <cellStyle name="Normal 51" xfId="785" xr:uid="{00000000-0005-0000-0000-00001B0A0000}"/>
    <cellStyle name="Normal 51 2" xfId="1702" xr:uid="{00000000-0005-0000-0000-00001C0A0000}"/>
    <cellStyle name="Normal 51_AGO Import" xfId="1651" xr:uid="{00000000-0005-0000-0000-00001D0A0000}"/>
    <cellStyle name="Normal 52" xfId="786" xr:uid="{00000000-0005-0000-0000-00001E0A0000}"/>
    <cellStyle name="Normal 53" xfId="787" xr:uid="{00000000-0005-0000-0000-00001F0A0000}"/>
    <cellStyle name="Normal 54" xfId="788" xr:uid="{00000000-0005-0000-0000-0000200A0000}"/>
    <cellStyle name="Normal 55" xfId="789" xr:uid="{00000000-0005-0000-0000-0000210A0000}"/>
    <cellStyle name="Normal 56" xfId="790" xr:uid="{00000000-0005-0000-0000-0000220A0000}"/>
    <cellStyle name="Normal 57" xfId="791" xr:uid="{00000000-0005-0000-0000-0000230A0000}"/>
    <cellStyle name="Normal 58" xfId="792" xr:uid="{00000000-0005-0000-0000-0000240A0000}"/>
    <cellStyle name="Normal 59" xfId="793" xr:uid="{00000000-0005-0000-0000-0000250A0000}"/>
    <cellStyle name="Normal 6" xfId="15" xr:uid="{00000000-0005-0000-0000-0000260A0000}"/>
    <cellStyle name="Normal 6 2" xfId="794" xr:uid="{00000000-0005-0000-0000-0000270A0000}"/>
    <cellStyle name="Normal 6 3" xfId="795" xr:uid="{00000000-0005-0000-0000-0000280A0000}"/>
    <cellStyle name="Normal 6 4" xfId="796" xr:uid="{00000000-0005-0000-0000-0000290A0000}"/>
    <cellStyle name="Normal 6 4 2" xfId="797" xr:uid="{00000000-0005-0000-0000-00002A0A0000}"/>
    <cellStyle name="Normal 6 5" xfId="798" xr:uid="{00000000-0005-0000-0000-00002B0A0000}"/>
    <cellStyle name="Normal 6 6" xfId="799" xr:uid="{00000000-0005-0000-0000-00002C0A0000}"/>
    <cellStyle name="Normal 6_AGO Import" xfId="1650" xr:uid="{00000000-0005-0000-0000-00002D0A0000}"/>
    <cellStyle name="Normal 60" xfId="800" xr:uid="{00000000-0005-0000-0000-00002E0A0000}"/>
    <cellStyle name="Normal 61" xfId="801" xr:uid="{00000000-0005-0000-0000-00002F0A0000}"/>
    <cellStyle name="Normal 62" xfId="802" xr:uid="{00000000-0005-0000-0000-0000300A0000}"/>
    <cellStyle name="Normal 63" xfId="803" xr:uid="{00000000-0005-0000-0000-0000310A0000}"/>
    <cellStyle name="Normal 64" xfId="804" xr:uid="{00000000-0005-0000-0000-0000320A0000}"/>
    <cellStyle name="Normal 65" xfId="805" xr:uid="{00000000-0005-0000-0000-0000330A0000}"/>
    <cellStyle name="Normal 66" xfId="806" xr:uid="{00000000-0005-0000-0000-0000340A0000}"/>
    <cellStyle name="Normal 67" xfId="807" xr:uid="{00000000-0005-0000-0000-0000350A0000}"/>
    <cellStyle name="Normal 68" xfId="808" xr:uid="{00000000-0005-0000-0000-0000360A0000}"/>
    <cellStyle name="Normal 69" xfId="809" xr:uid="{00000000-0005-0000-0000-0000370A0000}"/>
    <cellStyle name="Normal 7" xfId="16" xr:uid="{00000000-0005-0000-0000-0000380A0000}"/>
    <cellStyle name="Normal 7 2" xfId="810" xr:uid="{00000000-0005-0000-0000-0000390A0000}"/>
    <cellStyle name="Normal 7 3" xfId="811" xr:uid="{00000000-0005-0000-0000-00003A0A0000}"/>
    <cellStyle name="Normal 7 4" xfId="812" xr:uid="{00000000-0005-0000-0000-00003B0A0000}"/>
    <cellStyle name="Normal 7 4 2" xfId="1506" xr:uid="{00000000-0005-0000-0000-00003C0A0000}"/>
    <cellStyle name="Normal 7 4 2 2" xfId="1507" xr:uid="{00000000-0005-0000-0000-00003D0A0000}"/>
    <cellStyle name="Normal 7 4 3" xfId="1508" xr:uid="{00000000-0005-0000-0000-00003E0A0000}"/>
    <cellStyle name="Normal 7 4 4" xfId="1505" xr:uid="{00000000-0005-0000-0000-00003F0A0000}"/>
    <cellStyle name="Normal 7 4_PMS Import" xfId="1446" xr:uid="{00000000-0005-0000-0000-0000400A0000}"/>
    <cellStyle name="Normal 7 5" xfId="813" xr:uid="{00000000-0005-0000-0000-0000410A0000}"/>
    <cellStyle name="Normal 7 5 2" xfId="1509" xr:uid="{00000000-0005-0000-0000-0000420A0000}"/>
    <cellStyle name="Normal 7 6" xfId="1510" xr:uid="{00000000-0005-0000-0000-0000430A0000}"/>
    <cellStyle name="Normal 7_AGO Import" xfId="1649" xr:uid="{00000000-0005-0000-0000-0000440A0000}"/>
    <cellStyle name="Normal 70" xfId="814" xr:uid="{00000000-0005-0000-0000-0000450A0000}"/>
    <cellStyle name="Normal 71" xfId="1432" xr:uid="{00000000-0005-0000-0000-0000460A0000}"/>
    <cellStyle name="Normal 71 2" xfId="2140" xr:uid="{00000000-0005-0000-0000-0000470A0000}"/>
    <cellStyle name="Normal 72" xfId="1824" xr:uid="{00000000-0005-0000-0000-0000480A0000}"/>
    <cellStyle name="Normal 73" xfId="2255" xr:uid="{00000000-0005-0000-0000-0000490A0000}"/>
    <cellStyle name="Normal 74" xfId="2979" xr:uid="{00000000-0005-0000-0000-00004A0A0000}"/>
    <cellStyle name="Normal 75" xfId="2982" xr:uid="{00000000-0005-0000-0000-00004B0A0000}"/>
    <cellStyle name="Normal 76" xfId="2985" xr:uid="{00000000-0005-0000-0000-00004C0A0000}"/>
    <cellStyle name="Normal 8" xfId="815" xr:uid="{00000000-0005-0000-0000-00004D0A0000}"/>
    <cellStyle name="Normal 8 2" xfId="816" xr:uid="{00000000-0005-0000-0000-00004E0A0000}"/>
    <cellStyle name="Normal 8 2 2" xfId="817" xr:uid="{00000000-0005-0000-0000-00004F0A0000}"/>
    <cellStyle name="Normal 8 3" xfId="818" xr:uid="{00000000-0005-0000-0000-0000500A0000}"/>
    <cellStyle name="Normal 8 3 2" xfId="819" xr:uid="{00000000-0005-0000-0000-0000510A0000}"/>
    <cellStyle name="Normal 8 3 3" xfId="820" xr:uid="{00000000-0005-0000-0000-0000520A0000}"/>
    <cellStyle name="Normal 8 3 4" xfId="821" xr:uid="{00000000-0005-0000-0000-0000530A0000}"/>
    <cellStyle name="Normal 8 4" xfId="822" xr:uid="{00000000-0005-0000-0000-0000540A0000}"/>
    <cellStyle name="Normal 8 5" xfId="823" xr:uid="{00000000-0005-0000-0000-0000550A0000}"/>
    <cellStyle name="Normal 8_AGO Import" xfId="1648" xr:uid="{00000000-0005-0000-0000-0000560A0000}"/>
    <cellStyle name="Normal 9" xfId="824" xr:uid="{00000000-0005-0000-0000-0000570A0000}"/>
    <cellStyle name="Normal 9 2" xfId="825" xr:uid="{00000000-0005-0000-0000-0000580A0000}"/>
    <cellStyle name="Normal_PMS PBU" xfId="3" xr:uid="{00000000-0005-0000-0000-0000590A0000}"/>
    <cellStyle name="Normale_gen_list_c" xfId="826" xr:uid="{00000000-0005-0000-0000-00005A0A0000}"/>
    <cellStyle name="Note 2" xfId="827" xr:uid="{00000000-0005-0000-0000-00005B0A0000}"/>
    <cellStyle name="Note 2 2" xfId="828" xr:uid="{00000000-0005-0000-0000-00005C0A0000}"/>
    <cellStyle name="Note 3" xfId="829" xr:uid="{00000000-0005-0000-0000-00005D0A0000}"/>
    <cellStyle name="Note 3 2" xfId="830" xr:uid="{00000000-0005-0000-0000-00005E0A0000}"/>
    <cellStyle name="Note 4" xfId="831" xr:uid="{00000000-0005-0000-0000-00005F0A0000}"/>
    <cellStyle name="number" xfId="832" xr:uid="{00000000-0005-0000-0000-0000600A0000}"/>
    <cellStyle name="Obsolete" xfId="833" xr:uid="{00000000-0005-0000-0000-0000610A0000}"/>
    <cellStyle name="Option" xfId="834" xr:uid="{00000000-0005-0000-0000-0000620A0000}"/>
    <cellStyle name="OptionHeading" xfId="835" xr:uid="{00000000-0005-0000-0000-0000630A0000}"/>
    <cellStyle name="OptionHeading 10" xfId="836" xr:uid="{00000000-0005-0000-0000-0000640A0000}"/>
    <cellStyle name="OptionHeading 11" xfId="837" xr:uid="{00000000-0005-0000-0000-0000650A0000}"/>
    <cellStyle name="OptionHeading 12" xfId="838" xr:uid="{00000000-0005-0000-0000-0000660A0000}"/>
    <cellStyle name="OptionHeading 13" xfId="839" xr:uid="{00000000-0005-0000-0000-0000670A0000}"/>
    <cellStyle name="OptionHeading 14" xfId="840" xr:uid="{00000000-0005-0000-0000-0000680A0000}"/>
    <cellStyle name="OptionHeading 15" xfId="841" xr:uid="{00000000-0005-0000-0000-0000690A0000}"/>
    <cellStyle name="OptionHeading 16" xfId="842" xr:uid="{00000000-0005-0000-0000-00006A0A0000}"/>
    <cellStyle name="OptionHeading 17" xfId="843" xr:uid="{00000000-0005-0000-0000-00006B0A0000}"/>
    <cellStyle name="OptionHeading 18" xfId="844" xr:uid="{00000000-0005-0000-0000-00006C0A0000}"/>
    <cellStyle name="OptionHeading 19" xfId="845" xr:uid="{00000000-0005-0000-0000-00006D0A0000}"/>
    <cellStyle name="OptionHeading 2" xfId="846" xr:uid="{00000000-0005-0000-0000-00006E0A0000}"/>
    <cellStyle name="OptionHeading 20" xfId="847" xr:uid="{00000000-0005-0000-0000-00006F0A0000}"/>
    <cellStyle name="OptionHeading 21" xfId="848" xr:uid="{00000000-0005-0000-0000-0000700A0000}"/>
    <cellStyle name="OptionHeading 22" xfId="849" xr:uid="{00000000-0005-0000-0000-0000710A0000}"/>
    <cellStyle name="OptionHeading 23" xfId="850" xr:uid="{00000000-0005-0000-0000-0000720A0000}"/>
    <cellStyle name="OptionHeading 24" xfId="851" xr:uid="{00000000-0005-0000-0000-0000730A0000}"/>
    <cellStyle name="OptionHeading 25" xfId="852" xr:uid="{00000000-0005-0000-0000-0000740A0000}"/>
    <cellStyle name="OptionHeading 26" xfId="853" xr:uid="{00000000-0005-0000-0000-0000750A0000}"/>
    <cellStyle name="OptionHeading 27" xfId="854" xr:uid="{00000000-0005-0000-0000-0000760A0000}"/>
    <cellStyle name="OptionHeading 28" xfId="855" xr:uid="{00000000-0005-0000-0000-0000770A0000}"/>
    <cellStyle name="OptionHeading 29" xfId="856" xr:uid="{00000000-0005-0000-0000-0000780A0000}"/>
    <cellStyle name="OptionHeading 3" xfId="857" xr:uid="{00000000-0005-0000-0000-0000790A0000}"/>
    <cellStyle name="OptionHeading 30" xfId="858" xr:uid="{00000000-0005-0000-0000-00007A0A0000}"/>
    <cellStyle name="OptionHeading 31" xfId="859" xr:uid="{00000000-0005-0000-0000-00007B0A0000}"/>
    <cellStyle name="OptionHeading 32" xfId="860" xr:uid="{00000000-0005-0000-0000-00007C0A0000}"/>
    <cellStyle name="OptionHeading 33" xfId="861" xr:uid="{00000000-0005-0000-0000-00007D0A0000}"/>
    <cellStyle name="OptionHeading 34" xfId="862" xr:uid="{00000000-0005-0000-0000-00007E0A0000}"/>
    <cellStyle name="OptionHeading 35" xfId="863" xr:uid="{00000000-0005-0000-0000-00007F0A0000}"/>
    <cellStyle name="OptionHeading 36" xfId="864" xr:uid="{00000000-0005-0000-0000-0000800A0000}"/>
    <cellStyle name="OptionHeading 37" xfId="865" xr:uid="{00000000-0005-0000-0000-0000810A0000}"/>
    <cellStyle name="OptionHeading 4" xfId="866" xr:uid="{00000000-0005-0000-0000-0000820A0000}"/>
    <cellStyle name="OptionHeading 5" xfId="867" xr:uid="{00000000-0005-0000-0000-0000830A0000}"/>
    <cellStyle name="OptionHeading 6" xfId="868" xr:uid="{00000000-0005-0000-0000-0000840A0000}"/>
    <cellStyle name="OptionHeading 7" xfId="869" xr:uid="{00000000-0005-0000-0000-0000850A0000}"/>
    <cellStyle name="OptionHeading 8" xfId="870" xr:uid="{00000000-0005-0000-0000-0000860A0000}"/>
    <cellStyle name="OptionHeading 9" xfId="871" xr:uid="{00000000-0005-0000-0000-0000870A0000}"/>
    <cellStyle name="Output 2" xfId="872" xr:uid="{00000000-0005-0000-0000-0000880A0000}"/>
    <cellStyle name="Output 2 2" xfId="873" xr:uid="{00000000-0005-0000-0000-0000890A0000}"/>
    <cellStyle name="OverHead" xfId="874" xr:uid="{00000000-0005-0000-0000-00008A0A0000}"/>
    <cellStyle name="OverHead 2" xfId="875" xr:uid="{00000000-0005-0000-0000-00008B0A0000}"/>
    <cellStyle name="Pankaj" xfId="876" xr:uid="{00000000-0005-0000-0000-00008C0A0000}"/>
    <cellStyle name="Percen - Style2" xfId="877" xr:uid="{00000000-0005-0000-0000-00008D0A0000}"/>
    <cellStyle name="Percent" xfId="2" builtinId="5"/>
    <cellStyle name="Percent [0]" xfId="878" xr:uid="{00000000-0005-0000-0000-00008F0A0000}"/>
    <cellStyle name="Percent [00]" xfId="879" xr:uid="{00000000-0005-0000-0000-0000900A0000}"/>
    <cellStyle name="Percent [00] 10" xfId="880" xr:uid="{00000000-0005-0000-0000-0000910A0000}"/>
    <cellStyle name="Percent [00] 11" xfId="881" xr:uid="{00000000-0005-0000-0000-0000920A0000}"/>
    <cellStyle name="Percent [00] 12" xfId="882" xr:uid="{00000000-0005-0000-0000-0000930A0000}"/>
    <cellStyle name="Percent [00] 13" xfId="883" xr:uid="{00000000-0005-0000-0000-0000940A0000}"/>
    <cellStyle name="Percent [00] 14" xfId="884" xr:uid="{00000000-0005-0000-0000-0000950A0000}"/>
    <cellStyle name="Percent [00] 15" xfId="885" xr:uid="{00000000-0005-0000-0000-0000960A0000}"/>
    <cellStyle name="Percent [00] 16" xfId="886" xr:uid="{00000000-0005-0000-0000-0000970A0000}"/>
    <cellStyle name="Percent [00] 17" xfId="887" xr:uid="{00000000-0005-0000-0000-0000980A0000}"/>
    <cellStyle name="Percent [00] 18" xfId="888" xr:uid="{00000000-0005-0000-0000-0000990A0000}"/>
    <cellStyle name="Percent [00] 19" xfId="889" xr:uid="{00000000-0005-0000-0000-00009A0A0000}"/>
    <cellStyle name="Percent [00] 2" xfId="890" xr:uid="{00000000-0005-0000-0000-00009B0A0000}"/>
    <cellStyle name="Percent [00] 20" xfId="891" xr:uid="{00000000-0005-0000-0000-00009C0A0000}"/>
    <cellStyle name="Percent [00] 21" xfId="892" xr:uid="{00000000-0005-0000-0000-00009D0A0000}"/>
    <cellStyle name="Percent [00] 22" xfId="893" xr:uid="{00000000-0005-0000-0000-00009E0A0000}"/>
    <cellStyle name="Percent [00] 23" xfId="894" xr:uid="{00000000-0005-0000-0000-00009F0A0000}"/>
    <cellStyle name="Percent [00] 24" xfId="895" xr:uid="{00000000-0005-0000-0000-0000A00A0000}"/>
    <cellStyle name="Percent [00] 25" xfId="896" xr:uid="{00000000-0005-0000-0000-0000A10A0000}"/>
    <cellStyle name="Percent [00] 26" xfId="897" xr:uid="{00000000-0005-0000-0000-0000A20A0000}"/>
    <cellStyle name="Percent [00] 27" xfId="898" xr:uid="{00000000-0005-0000-0000-0000A30A0000}"/>
    <cellStyle name="Percent [00] 28" xfId="899" xr:uid="{00000000-0005-0000-0000-0000A40A0000}"/>
    <cellStyle name="Percent [00] 29" xfId="900" xr:uid="{00000000-0005-0000-0000-0000A50A0000}"/>
    <cellStyle name="Percent [00] 3" xfId="901" xr:uid="{00000000-0005-0000-0000-0000A60A0000}"/>
    <cellStyle name="Percent [00] 30" xfId="902" xr:uid="{00000000-0005-0000-0000-0000A70A0000}"/>
    <cellStyle name="Percent [00] 31" xfId="903" xr:uid="{00000000-0005-0000-0000-0000A80A0000}"/>
    <cellStyle name="Percent [00] 32" xfId="904" xr:uid="{00000000-0005-0000-0000-0000A90A0000}"/>
    <cellStyle name="Percent [00] 33" xfId="905" xr:uid="{00000000-0005-0000-0000-0000AA0A0000}"/>
    <cellStyle name="Percent [00] 34" xfId="906" xr:uid="{00000000-0005-0000-0000-0000AB0A0000}"/>
    <cellStyle name="Percent [00] 35" xfId="907" xr:uid="{00000000-0005-0000-0000-0000AC0A0000}"/>
    <cellStyle name="Percent [00] 36" xfId="908" xr:uid="{00000000-0005-0000-0000-0000AD0A0000}"/>
    <cellStyle name="Percent [00] 37" xfId="909" xr:uid="{00000000-0005-0000-0000-0000AE0A0000}"/>
    <cellStyle name="Percent [00] 4" xfId="910" xr:uid="{00000000-0005-0000-0000-0000AF0A0000}"/>
    <cellStyle name="Percent [00] 5" xfId="911" xr:uid="{00000000-0005-0000-0000-0000B00A0000}"/>
    <cellStyle name="Percent [00] 6" xfId="912" xr:uid="{00000000-0005-0000-0000-0000B10A0000}"/>
    <cellStyle name="Percent [00] 7" xfId="913" xr:uid="{00000000-0005-0000-0000-0000B20A0000}"/>
    <cellStyle name="Percent [00] 8" xfId="914" xr:uid="{00000000-0005-0000-0000-0000B30A0000}"/>
    <cellStyle name="Percent [00] 9" xfId="915" xr:uid="{00000000-0005-0000-0000-0000B40A0000}"/>
    <cellStyle name="Percent [2]" xfId="916" xr:uid="{00000000-0005-0000-0000-0000B50A0000}"/>
    <cellStyle name="Percent 10" xfId="917" xr:uid="{00000000-0005-0000-0000-0000B60A0000}"/>
    <cellStyle name="Percent 10 2" xfId="1549" xr:uid="{00000000-0005-0000-0000-0000B70A0000}"/>
    <cellStyle name="Percent 10 3" xfId="1548" xr:uid="{00000000-0005-0000-0000-0000B80A0000}"/>
    <cellStyle name="Percent 11" xfId="918" xr:uid="{00000000-0005-0000-0000-0000B90A0000}"/>
    <cellStyle name="Percent 11 2" xfId="1550" xr:uid="{00000000-0005-0000-0000-0000BA0A0000}"/>
    <cellStyle name="Percent 12" xfId="919" xr:uid="{00000000-0005-0000-0000-0000BB0A0000}"/>
    <cellStyle name="Percent 13" xfId="920" xr:uid="{00000000-0005-0000-0000-0000BC0A0000}"/>
    <cellStyle name="Percent 14" xfId="921" xr:uid="{00000000-0005-0000-0000-0000BD0A0000}"/>
    <cellStyle name="Percent 15" xfId="922" xr:uid="{00000000-0005-0000-0000-0000BE0A0000}"/>
    <cellStyle name="Percent 16" xfId="923" xr:uid="{00000000-0005-0000-0000-0000BF0A0000}"/>
    <cellStyle name="Percent 17" xfId="924" xr:uid="{00000000-0005-0000-0000-0000C00A0000}"/>
    <cellStyle name="Percent 18" xfId="925" xr:uid="{00000000-0005-0000-0000-0000C10A0000}"/>
    <cellStyle name="Percent 19" xfId="926" xr:uid="{00000000-0005-0000-0000-0000C20A0000}"/>
    <cellStyle name="Percent 2" xfId="6" xr:uid="{00000000-0005-0000-0000-0000C30A0000}"/>
    <cellStyle name="Percent 2 2" xfId="1552" xr:uid="{00000000-0005-0000-0000-0000C40A0000}"/>
    <cellStyle name="Percent 2 2 2" xfId="1553" xr:uid="{00000000-0005-0000-0000-0000C50A0000}"/>
    <cellStyle name="Percent 20" xfId="927" xr:uid="{00000000-0005-0000-0000-0000C60A0000}"/>
    <cellStyle name="Percent 21" xfId="928" xr:uid="{00000000-0005-0000-0000-0000C70A0000}"/>
    <cellStyle name="Percent 22" xfId="929" xr:uid="{00000000-0005-0000-0000-0000C80A0000}"/>
    <cellStyle name="Percent 23" xfId="930" xr:uid="{00000000-0005-0000-0000-0000C90A0000}"/>
    <cellStyle name="Percent 24" xfId="931" xr:uid="{00000000-0005-0000-0000-0000CA0A0000}"/>
    <cellStyle name="Percent 25" xfId="932" xr:uid="{00000000-0005-0000-0000-0000CB0A0000}"/>
    <cellStyle name="Percent 26" xfId="1826" xr:uid="{00000000-0005-0000-0000-0000CC0A0000}"/>
    <cellStyle name="Percent 27" xfId="2257" xr:uid="{00000000-0005-0000-0000-0000CD0A0000}"/>
    <cellStyle name="Percent 28" xfId="2981" xr:uid="{00000000-0005-0000-0000-0000CE0A0000}"/>
    <cellStyle name="Percent 29" xfId="2984" xr:uid="{00000000-0005-0000-0000-0000CF0A0000}"/>
    <cellStyle name="Percent 3" xfId="933" xr:uid="{00000000-0005-0000-0000-0000D00A0000}"/>
    <cellStyle name="Percent 3 2" xfId="934" xr:uid="{00000000-0005-0000-0000-0000D10A0000}"/>
    <cellStyle name="Percent 3 2 2" xfId="1555" xr:uid="{00000000-0005-0000-0000-0000D20A0000}"/>
    <cellStyle name="Percent 3 3" xfId="935" xr:uid="{00000000-0005-0000-0000-0000D30A0000}"/>
    <cellStyle name="Percent 3 4" xfId="1554" xr:uid="{00000000-0005-0000-0000-0000D40A0000}"/>
    <cellStyle name="Percent 30" xfId="2987" xr:uid="{00000000-0005-0000-0000-0000D50A0000}"/>
    <cellStyle name="Percent 4" xfId="936" xr:uid="{00000000-0005-0000-0000-0000D60A0000}"/>
    <cellStyle name="Percent 4 2" xfId="1557" xr:uid="{00000000-0005-0000-0000-0000D70A0000}"/>
    <cellStyle name="Percent 4 2 2" xfId="1558" xr:uid="{00000000-0005-0000-0000-0000D80A0000}"/>
    <cellStyle name="Percent 4 3" xfId="1559" xr:uid="{00000000-0005-0000-0000-0000D90A0000}"/>
    <cellStyle name="Percent 4 4" xfId="1556" xr:uid="{00000000-0005-0000-0000-0000DA0A0000}"/>
    <cellStyle name="Percent 5" xfId="937" xr:uid="{00000000-0005-0000-0000-0000DB0A0000}"/>
    <cellStyle name="Percent 5 2" xfId="1561" xr:uid="{00000000-0005-0000-0000-0000DC0A0000}"/>
    <cellStyle name="Percent 5 2 2" xfId="1562" xr:uid="{00000000-0005-0000-0000-0000DD0A0000}"/>
    <cellStyle name="Percent 5 3" xfId="1563" xr:uid="{00000000-0005-0000-0000-0000DE0A0000}"/>
    <cellStyle name="Percent 5 4" xfId="1560" xr:uid="{00000000-0005-0000-0000-0000DF0A0000}"/>
    <cellStyle name="Percent 6" xfId="938" xr:uid="{00000000-0005-0000-0000-0000E00A0000}"/>
    <cellStyle name="Percent 6 2" xfId="1565" xr:uid="{00000000-0005-0000-0000-0000E10A0000}"/>
    <cellStyle name="Percent 6 2 2" xfId="1566" xr:uid="{00000000-0005-0000-0000-0000E20A0000}"/>
    <cellStyle name="Percent 6 2 2 2" xfId="1567" xr:uid="{00000000-0005-0000-0000-0000E30A0000}"/>
    <cellStyle name="Percent 6 2 3" xfId="1568" xr:uid="{00000000-0005-0000-0000-0000E40A0000}"/>
    <cellStyle name="Percent 6 3" xfId="1569" xr:uid="{00000000-0005-0000-0000-0000E50A0000}"/>
    <cellStyle name="Percent 6 3 2" xfId="1570" xr:uid="{00000000-0005-0000-0000-0000E60A0000}"/>
    <cellStyle name="Percent 6 4" xfId="1571" xr:uid="{00000000-0005-0000-0000-0000E70A0000}"/>
    <cellStyle name="Percent 6 5" xfId="1564" xr:uid="{00000000-0005-0000-0000-0000E80A0000}"/>
    <cellStyle name="Percent 7" xfId="939" xr:uid="{00000000-0005-0000-0000-0000E90A0000}"/>
    <cellStyle name="Percent 7 2" xfId="1573" xr:uid="{00000000-0005-0000-0000-0000EA0A0000}"/>
    <cellStyle name="Percent 7 2 2" xfId="1574" xr:uid="{00000000-0005-0000-0000-0000EB0A0000}"/>
    <cellStyle name="Percent 7 3" xfId="1575" xr:uid="{00000000-0005-0000-0000-0000EC0A0000}"/>
    <cellStyle name="Percent 7 4" xfId="1572" xr:uid="{00000000-0005-0000-0000-0000ED0A0000}"/>
    <cellStyle name="Percent 8" xfId="940" xr:uid="{00000000-0005-0000-0000-0000EE0A0000}"/>
    <cellStyle name="Percent 8 2" xfId="1577" xr:uid="{00000000-0005-0000-0000-0000EF0A0000}"/>
    <cellStyle name="Percent 8 2 2" xfId="1578" xr:uid="{00000000-0005-0000-0000-0000F00A0000}"/>
    <cellStyle name="Percent 8 2 2 2" xfId="1579" xr:uid="{00000000-0005-0000-0000-0000F10A0000}"/>
    <cellStyle name="Percent 8 2 2 2 2" xfId="1580" xr:uid="{00000000-0005-0000-0000-0000F20A0000}"/>
    <cellStyle name="Percent 8 2 2 2 2 2" xfId="1581" xr:uid="{00000000-0005-0000-0000-0000F30A0000}"/>
    <cellStyle name="Percent 8 2 2 2 3" xfId="1582" xr:uid="{00000000-0005-0000-0000-0000F40A0000}"/>
    <cellStyle name="Percent 8 2 2 3" xfId="1583" xr:uid="{00000000-0005-0000-0000-0000F50A0000}"/>
    <cellStyle name="Percent 8 2 2 3 2" xfId="1584" xr:uid="{00000000-0005-0000-0000-0000F60A0000}"/>
    <cellStyle name="Percent 8 2 2 3 2 2" xfId="1585" xr:uid="{00000000-0005-0000-0000-0000F70A0000}"/>
    <cellStyle name="Percent 8 2 2 3 3" xfId="1586" xr:uid="{00000000-0005-0000-0000-0000F80A0000}"/>
    <cellStyle name="Percent 8 2 2 4" xfId="1587" xr:uid="{00000000-0005-0000-0000-0000F90A0000}"/>
    <cellStyle name="Percent 8 2 2 4 2" xfId="1588" xr:uid="{00000000-0005-0000-0000-0000FA0A0000}"/>
    <cellStyle name="Percent 8 2 2 5" xfId="1589" xr:uid="{00000000-0005-0000-0000-0000FB0A0000}"/>
    <cellStyle name="Percent 8 2 3" xfId="1590" xr:uid="{00000000-0005-0000-0000-0000FC0A0000}"/>
    <cellStyle name="Percent 8 2 3 2" xfId="1591" xr:uid="{00000000-0005-0000-0000-0000FD0A0000}"/>
    <cellStyle name="Percent 8 2 3 2 2" xfId="1592" xr:uid="{00000000-0005-0000-0000-0000FE0A0000}"/>
    <cellStyle name="Percent 8 2 3 3" xfId="1593" xr:uid="{00000000-0005-0000-0000-0000FF0A0000}"/>
    <cellStyle name="Percent 8 2 4" xfId="1594" xr:uid="{00000000-0005-0000-0000-0000000B0000}"/>
    <cellStyle name="Percent 8 2 4 2" xfId="1595" xr:uid="{00000000-0005-0000-0000-0000010B0000}"/>
    <cellStyle name="Percent 8 2 5" xfId="1596" xr:uid="{00000000-0005-0000-0000-0000020B0000}"/>
    <cellStyle name="Percent 8 3" xfId="1597" xr:uid="{00000000-0005-0000-0000-0000030B0000}"/>
    <cellStyle name="Percent 8 3 2" xfId="1598" xr:uid="{00000000-0005-0000-0000-0000040B0000}"/>
    <cellStyle name="Percent 8 3 2 2" xfId="1599" xr:uid="{00000000-0005-0000-0000-0000050B0000}"/>
    <cellStyle name="Percent 8 3 2 2 2" xfId="1600" xr:uid="{00000000-0005-0000-0000-0000060B0000}"/>
    <cellStyle name="Percent 8 3 2 3" xfId="1601" xr:uid="{00000000-0005-0000-0000-0000070B0000}"/>
    <cellStyle name="Percent 8 3 3" xfId="1602" xr:uid="{00000000-0005-0000-0000-0000080B0000}"/>
    <cellStyle name="Percent 8 3 3 2" xfId="1603" xr:uid="{00000000-0005-0000-0000-0000090B0000}"/>
    <cellStyle name="Percent 8 3 3 2 2" xfId="1604" xr:uid="{00000000-0005-0000-0000-00000A0B0000}"/>
    <cellStyle name="Percent 8 3 3 3" xfId="1605" xr:uid="{00000000-0005-0000-0000-00000B0B0000}"/>
    <cellStyle name="Percent 8 3 4" xfId="1606" xr:uid="{00000000-0005-0000-0000-00000C0B0000}"/>
    <cellStyle name="Percent 8 3 4 2" xfId="1607" xr:uid="{00000000-0005-0000-0000-00000D0B0000}"/>
    <cellStyle name="Percent 8 3 5" xfId="1608" xr:uid="{00000000-0005-0000-0000-00000E0B0000}"/>
    <cellStyle name="Percent 8 4" xfId="1609" xr:uid="{00000000-0005-0000-0000-00000F0B0000}"/>
    <cellStyle name="Percent 8 4 2" xfId="1610" xr:uid="{00000000-0005-0000-0000-0000100B0000}"/>
    <cellStyle name="Percent 8 4 2 2" xfId="1611" xr:uid="{00000000-0005-0000-0000-0000110B0000}"/>
    <cellStyle name="Percent 8 4 3" xfId="1612" xr:uid="{00000000-0005-0000-0000-0000120B0000}"/>
    <cellStyle name="Percent 8 5" xfId="1613" xr:uid="{00000000-0005-0000-0000-0000130B0000}"/>
    <cellStyle name="Percent 8 5 2" xfId="1614" xr:uid="{00000000-0005-0000-0000-0000140B0000}"/>
    <cellStyle name="Percent 8 5 2 2" xfId="1615" xr:uid="{00000000-0005-0000-0000-0000150B0000}"/>
    <cellStyle name="Percent 8 5 3" xfId="1616" xr:uid="{00000000-0005-0000-0000-0000160B0000}"/>
    <cellStyle name="Percent 8 6" xfId="1617" xr:uid="{00000000-0005-0000-0000-0000170B0000}"/>
    <cellStyle name="Percent 8 6 2" xfId="1618" xr:uid="{00000000-0005-0000-0000-0000180B0000}"/>
    <cellStyle name="Percent 8 7" xfId="1619" xr:uid="{00000000-0005-0000-0000-0000190B0000}"/>
    <cellStyle name="Percent 8 8" xfId="1576" xr:uid="{00000000-0005-0000-0000-00001A0B0000}"/>
    <cellStyle name="Percent 9" xfId="941" xr:uid="{00000000-0005-0000-0000-00001B0B0000}"/>
    <cellStyle name="Percent 9 2" xfId="1621" xr:uid="{00000000-0005-0000-0000-00001C0B0000}"/>
    <cellStyle name="Percent 9 3" xfId="1620" xr:uid="{00000000-0005-0000-0000-00001D0B0000}"/>
    <cellStyle name="PrePop Currency (0)" xfId="942" xr:uid="{00000000-0005-0000-0000-00001E0B0000}"/>
    <cellStyle name="PrePop Currency (0) 2" xfId="943" xr:uid="{00000000-0005-0000-0000-00001F0B0000}"/>
    <cellStyle name="PrePop Currency (0) 3" xfId="1947" xr:uid="{00000000-0005-0000-0000-0000200B0000}"/>
    <cellStyle name="PrePop Currency (0) 3 2" xfId="2672" xr:uid="{00000000-0005-0000-0000-0000210B0000}"/>
    <cellStyle name="PrePop Currency (2)" xfId="944" xr:uid="{00000000-0005-0000-0000-0000220B0000}"/>
    <cellStyle name="PrePop Currency (2) 2" xfId="945" xr:uid="{00000000-0005-0000-0000-0000230B0000}"/>
    <cellStyle name="PrePop Units (0)" xfId="946" xr:uid="{00000000-0005-0000-0000-0000240B0000}"/>
    <cellStyle name="PrePop Units (0) 2" xfId="947" xr:uid="{00000000-0005-0000-0000-0000250B0000}"/>
    <cellStyle name="PrePop Units (0) 3" xfId="1948" xr:uid="{00000000-0005-0000-0000-0000260B0000}"/>
    <cellStyle name="PrePop Units (0) 3 2" xfId="2673" xr:uid="{00000000-0005-0000-0000-0000270B0000}"/>
    <cellStyle name="PrePop Units (1)" xfId="948" xr:uid="{00000000-0005-0000-0000-0000280B0000}"/>
    <cellStyle name="PrePop Units (1) 2" xfId="949" xr:uid="{00000000-0005-0000-0000-0000290B0000}"/>
    <cellStyle name="PrePop Units (2)" xfId="950" xr:uid="{00000000-0005-0000-0000-00002A0B0000}"/>
    <cellStyle name="PrePop Units (2) 2" xfId="951" xr:uid="{00000000-0005-0000-0000-00002B0B0000}"/>
    <cellStyle name="PSChar" xfId="952" xr:uid="{00000000-0005-0000-0000-00002C0B0000}"/>
    <cellStyle name="PSDec" xfId="953" xr:uid="{00000000-0005-0000-0000-00002D0B0000}"/>
    <cellStyle name="PSHeading" xfId="954" xr:uid="{00000000-0005-0000-0000-00002E0B0000}"/>
    <cellStyle name="PSInt" xfId="955" xr:uid="{00000000-0005-0000-0000-00002F0B0000}"/>
    <cellStyle name="PSSpacer" xfId="956" xr:uid="{00000000-0005-0000-0000-0000300B0000}"/>
    <cellStyle name="Quantity" xfId="957" xr:uid="{00000000-0005-0000-0000-0000310B0000}"/>
    <cellStyle name="RevList" xfId="958" xr:uid="{00000000-0005-0000-0000-0000320B0000}"/>
    <cellStyle name="RevList 2" xfId="959" xr:uid="{00000000-0005-0000-0000-0000330B0000}"/>
    <cellStyle name="RevList 3" xfId="1624" xr:uid="{00000000-0005-0000-0000-0000340B0000}"/>
    <cellStyle name="rs" xfId="960" xr:uid="{00000000-0005-0000-0000-0000350B0000}"/>
    <cellStyle name="RS (000)" xfId="961" xr:uid="{00000000-0005-0000-0000-0000360B0000}"/>
    <cellStyle name="rs.ps" xfId="962" xr:uid="{00000000-0005-0000-0000-0000370B0000}"/>
    <cellStyle name="rs.ps(000)" xfId="963" xr:uid="{00000000-0005-0000-0000-0000380B0000}"/>
    <cellStyle name="rs.ps_CONS profit 9M 2006-07" xfId="964" xr:uid="{00000000-0005-0000-0000-0000390B0000}"/>
    <cellStyle name="rs_Book34" xfId="965" xr:uid="{00000000-0005-0000-0000-00003A0B0000}"/>
    <cellStyle name="S" xfId="966" xr:uid="{00000000-0005-0000-0000-00003B0B0000}"/>
    <cellStyle name="S - Style4" xfId="967" xr:uid="{00000000-0005-0000-0000-00003C0B0000}"/>
    <cellStyle name="S## ## ## ###.00" xfId="968" xr:uid="{00000000-0005-0000-0000-00003D0B0000}"/>
    <cellStyle name="S_Country wise stock" xfId="969" xr:uid="{00000000-0005-0000-0000-00003E0B0000}"/>
    <cellStyle name="S_Forex Revaluation- GAPCO TZ_nov10" xfId="970" xr:uid="{00000000-0005-0000-0000-00003F0B0000}"/>
    <cellStyle name="SAPBEXaggData" xfId="971" xr:uid="{00000000-0005-0000-0000-0000400B0000}"/>
    <cellStyle name="SAPBEXaggData 2" xfId="972" xr:uid="{00000000-0005-0000-0000-0000410B0000}"/>
    <cellStyle name="SAPBEXaggDataEmph" xfId="973" xr:uid="{00000000-0005-0000-0000-0000420B0000}"/>
    <cellStyle name="SAPBEXaggDataEmph 2" xfId="974" xr:uid="{00000000-0005-0000-0000-0000430B0000}"/>
    <cellStyle name="SAPBEXaggItem" xfId="975" xr:uid="{00000000-0005-0000-0000-0000440B0000}"/>
    <cellStyle name="SAPBEXaggItem 2" xfId="976" xr:uid="{00000000-0005-0000-0000-0000450B0000}"/>
    <cellStyle name="SAPBEXaggItemX" xfId="977" xr:uid="{00000000-0005-0000-0000-0000460B0000}"/>
    <cellStyle name="SAPBEXaggItemX 2" xfId="978" xr:uid="{00000000-0005-0000-0000-0000470B0000}"/>
    <cellStyle name="SAPBEXchaText" xfId="979" xr:uid="{00000000-0005-0000-0000-0000480B0000}"/>
    <cellStyle name="SAPBEXexcBad7" xfId="980" xr:uid="{00000000-0005-0000-0000-0000490B0000}"/>
    <cellStyle name="SAPBEXexcBad7 2" xfId="981" xr:uid="{00000000-0005-0000-0000-00004A0B0000}"/>
    <cellStyle name="SAPBEXexcBad8" xfId="982" xr:uid="{00000000-0005-0000-0000-00004B0B0000}"/>
    <cellStyle name="SAPBEXexcBad8 2" xfId="983" xr:uid="{00000000-0005-0000-0000-00004C0B0000}"/>
    <cellStyle name="SAPBEXexcBad9" xfId="984" xr:uid="{00000000-0005-0000-0000-00004D0B0000}"/>
    <cellStyle name="SAPBEXexcBad9 2" xfId="985" xr:uid="{00000000-0005-0000-0000-00004E0B0000}"/>
    <cellStyle name="SAPBEXexcCritical4" xfId="986" xr:uid="{00000000-0005-0000-0000-00004F0B0000}"/>
    <cellStyle name="SAPBEXexcCritical4 2" xfId="987" xr:uid="{00000000-0005-0000-0000-0000500B0000}"/>
    <cellStyle name="SAPBEXexcCritical5" xfId="988" xr:uid="{00000000-0005-0000-0000-0000510B0000}"/>
    <cellStyle name="SAPBEXexcCritical5 2" xfId="989" xr:uid="{00000000-0005-0000-0000-0000520B0000}"/>
    <cellStyle name="SAPBEXexcCritical6" xfId="990" xr:uid="{00000000-0005-0000-0000-0000530B0000}"/>
    <cellStyle name="SAPBEXexcCritical6 2" xfId="991" xr:uid="{00000000-0005-0000-0000-0000540B0000}"/>
    <cellStyle name="SAPBEXexcGood1" xfId="992" xr:uid="{00000000-0005-0000-0000-0000550B0000}"/>
    <cellStyle name="SAPBEXexcGood1 2" xfId="993" xr:uid="{00000000-0005-0000-0000-0000560B0000}"/>
    <cellStyle name="SAPBEXexcGood2" xfId="994" xr:uid="{00000000-0005-0000-0000-0000570B0000}"/>
    <cellStyle name="SAPBEXexcGood2 2" xfId="995" xr:uid="{00000000-0005-0000-0000-0000580B0000}"/>
    <cellStyle name="SAPBEXexcGood3" xfId="996" xr:uid="{00000000-0005-0000-0000-0000590B0000}"/>
    <cellStyle name="SAPBEXexcGood3 2" xfId="997" xr:uid="{00000000-0005-0000-0000-00005A0B0000}"/>
    <cellStyle name="SAPBEXfilterDrill" xfId="998" xr:uid="{00000000-0005-0000-0000-00005B0B0000}"/>
    <cellStyle name="SAPBEXfilterItem" xfId="999" xr:uid="{00000000-0005-0000-0000-00005C0B0000}"/>
    <cellStyle name="SAPBEXfilterText" xfId="1000" xr:uid="{00000000-0005-0000-0000-00005D0B0000}"/>
    <cellStyle name="SAPBEXformats" xfId="1001" xr:uid="{00000000-0005-0000-0000-00005E0B0000}"/>
    <cellStyle name="SAPBEXformats 2" xfId="1002" xr:uid="{00000000-0005-0000-0000-00005F0B0000}"/>
    <cellStyle name="SAPBEXheaderItem" xfId="1003" xr:uid="{00000000-0005-0000-0000-0000600B0000}"/>
    <cellStyle name="SAPBEXheaderText" xfId="1004" xr:uid="{00000000-0005-0000-0000-0000610B0000}"/>
    <cellStyle name="SAPBEXHLevel0" xfId="1005" xr:uid="{00000000-0005-0000-0000-0000620B0000}"/>
    <cellStyle name="SAPBEXHLevel0 2" xfId="1006" xr:uid="{00000000-0005-0000-0000-0000630B0000}"/>
    <cellStyle name="SAPBEXHLevel0X" xfId="1007" xr:uid="{00000000-0005-0000-0000-0000640B0000}"/>
    <cellStyle name="SAPBEXHLevel0X 2" xfId="1008" xr:uid="{00000000-0005-0000-0000-0000650B0000}"/>
    <cellStyle name="SAPBEXHLevel1" xfId="1009" xr:uid="{00000000-0005-0000-0000-0000660B0000}"/>
    <cellStyle name="SAPBEXHLevel1 2" xfId="1010" xr:uid="{00000000-0005-0000-0000-0000670B0000}"/>
    <cellStyle name="SAPBEXHLevel1X" xfId="1011" xr:uid="{00000000-0005-0000-0000-0000680B0000}"/>
    <cellStyle name="SAPBEXHLevel1X 2" xfId="1012" xr:uid="{00000000-0005-0000-0000-0000690B0000}"/>
    <cellStyle name="SAPBEXHLevel2" xfId="1013" xr:uid="{00000000-0005-0000-0000-00006A0B0000}"/>
    <cellStyle name="SAPBEXHLevel2 2" xfId="1014" xr:uid="{00000000-0005-0000-0000-00006B0B0000}"/>
    <cellStyle name="SAPBEXHLevel2X" xfId="1015" xr:uid="{00000000-0005-0000-0000-00006C0B0000}"/>
    <cellStyle name="SAPBEXHLevel2X 2" xfId="1016" xr:uid="{00000000-0005-0000-0000-00006D0B0000}"/>
    <cellStyle name="SAPBEXHLevel3" xfId="1017" xr:uid="{00000000-0005-0000-0000-00006E0B0000}"/>
    <cellStyle name="SAPBEXHLevel3 2" xfId="1018" xr:uid="{00000000-0005-0000-0000-00006F0B0000}"/>
    <cellStyle name="SAPBEXHLevel3X" xfId="1019" xr:uid="{00000000-0005-0000-0000-0000700B0000}"/>
    <cellStyle name="SAPBEXHLevel3X 2" xfId="1020" xr:uid="{00000000-0005-0000-0000-0000710B0000}"/>
    <cellStyle name="SAPBEXinputData" xfId="1021" xr:uid="{00000000-0005-0000-0000-0000720B0000}"/>
    <cellStyle name="SAPBEXItemHeader" xfId="1022" xr:uid="{00000000-0005-0000-0000-0000730B0000}"/>
    <cellStyle name="SAPBEXItemHeader 2" xfId="1023" xr:uid="{00000000-0005-0000-0000-0000740B0000}"/>
    <cellStyle name="SAPBEXresData" xfId="1024" xr:uid="{00000000-0005-0000-0000-0000750B0000}"/>
    <cellStyle name="SAPBEXresData 2" xfId="1025" xr:uid="{00000000-0005-0000-0000-0000760B0000}"/>
    <cellStyle name="SAPBEXresDataEmph" xfId="1026" xr:uid="{00000000-0005-0000-0000-0000770B0000}"/>
    <cellStyle name="SAPBEXresDataEmph 2" xfId="1027" xr:uid="{00000000-0005-0000-0000-0000780B0000}"/>
    <cellStyle name="SAPBEXresItem" xfId="1028" xr:uid="{00000000-0005-0000-0000-0000790B0000}"/>
    <cellStyle name="SAPBEXresItem 2" xfId="1029" xr:uid="{00000000-0005-0000-0000-00007A0B0000}"/>
    <cellStyle name="SAPBEXresItemX" xfId="1030" xr:uid="{00000000-0005-0000-0000-00007B0B0000}"/>
    <cellStyle name="SAPBEXresItemX 2" xfId="1031" xr:uid="{00000000-0005-0000-0000-00007C0B0000}"/>
    <cellStyle name="SAPBEXstdData" xfId="1032" xr:uid="{00000000-0005-0000-0000-00007D0B0000}"/>
    <cellStyle name="SAPBEXstdData 2" xfId="1033" xr:uid="{00000000-0005-0000-0000-00007E0B0000}"/>
    <cellStyle name="SAPBEXstdDataEmph" xfId="1034" xr:uid="{00000000-0005-0000-0000-00007F0B0000}"/>
    <cellStyle name="SAPBEXstdDataEmph 2" xfId="1035" xr:uid="{00000000-0005-0000-0000-0000800B0000}"/>
    <cellStyle name="SAPBEXstdItem" xfId="1036" xr:uid="{00000000-0005-0000-0000-0000810B0000}"/>
    <cellStyle name="SAPBEXstdItem 2" xfId="1037" xr:uid="{00000000-0005-0000-0000-0000820B0000}"/>
    <cellStyle name="SAPBEXstdItemX" xfId="1038" xr:uid="{00000000-0005-0000-0000-0000830B0000}"/>
    <cellStyle name="SAPBEXstdItemX 2" xfId="1039" xr:uid="{00000000-0005-0000-0000-0000840B0000}"/>
    <cellStyle name="SAPBEXtitle" xfId="1040" xr:uid="{00000000-0005-0000-0000-0000850B0000}"/>
    <cellStyle name="SAPBEXunassignedItem" xfId="1041" xr:uid="{00000000-0005-0000-0000-0000860B0000}"/>
    <cellStyle name="SAPBEXunassignedItem 2" xfId="1042" xr:uid="{00000000-0005-0000-0000-0000870B0000}"/>
    <cellStyle name="SAPBEXundefined" xfId="1043" xr:uid="{00000000-0005-0000-0000-0000880B0000}"/>
    <cellStyle name="SAPBEXundefined 2" xfId="1044" xr:uid="{00000000-0005-0000-0000-0000890B0000}"/>
    <cellStyle name="Satisfaisant" xfId="1045" xr:uid="{00000000-0005-0000-0000-00008A0B0000}"/>
    <cellStyle name="Sheet Title" xfId="1046" xr:uid="{00000000-0005-0000-0000-00008B0B0000}"/>
    <cellStyle name="Smart Total" xfId="1047" xr:uid="{00000000-0005-0000-0000-00008C0B0000}"/>
    <cellStyle name="Sortie" xfId="1048" xr:uid="{00000000-0005-0000-0000-00008D0B0000}"/>
    <cellStyle name="Standard_laroux" xfId="1049" xr:uid="{00000000-0005-0000-0000-00008E0B0000}"/>
    <cellStyle name="Style 1" xfId="1050" xr:uid="{00000000-0005-0000-0000-00008F0B0000}"/>
    <cellStyle name="Style 43" xfId="1051" xr:uid="{00000000-0005-0000-0000-0000900B0000}"/>
    <cellStyle name="Style 64" xfId="1052" xr:uid="{00000000-0005-0000-0000-0000910B0000}"/>
    <cellStyle name="Style 65" xfId="1053" xr:uid="{00000000-0005-0000-0000-0000920B0000}"/>
    <cellStyle name="Style 66" xfId="1054" xr:uid="{00000000-0005-0000-0000-0000930B0000}"/>
    <cellStyle name="Style 67" xfId="1055" xr:uid="{00000000-0005-0000-0000-0000940B0000}"/>
    <cellStyle name="Style 68" xfId="1056" xr:uid="{00000000-0005-0000-0000-0000950B0000}"/>
    <cellStyle name="Style 70" xfId="1057" xr:uid="{00000000-0005-0000-0000-0000960B0000}"/>
    <cellStyle name="Subtotal" xfId="1058" xr:uid="{00000000-0005-0000-0000-0000970B0000}"/>
    <cellStyle name="t" xfId="1059" xr:uid="{00000000-0005-0000-0000-0000980B0000}"/>
    <cellStyle name="Text Indent A" xfId="1060" xr:uid="{00000000-0005-0000-0000-0000990B0000}"/>
    <cellStyle name="Text Indent B" xfId="1061" xr:uid="{00000000-0005-0000-0000-00009A0B0000}"/>
    <cellStyle name="Text Indent C" xfId="1062" xr:uid="{00000000-0005-0000-0000-00009B0B0000}"/>
    <cellStyle name="Texte explicatif" xfId="1063" xr:uid="{00000000-0005-0000-0000-00009C0B0000}"/>
    <cellStyle name="Times New Roman" xfId="1064" xr:uid="{00000000-0005-0000-0000-00009D0B0000}"/>
    <cellStyle name="Title 2" xfId="1065" xr:uid="{00000000-0005-0000-0000-00009E0B0000}"/>
    <cellStyle name="Titre" xfId="1066" xr:uid="{00000000-0005-0000-0000-00009F0B0000}"/>
    <cellStyle name="Titre 1" xfId="1067" xr:uid="{00000000-0005-0000-0000-0000A00B0000}"/>
    <cellStyle name="Titre 2" xfId="1068" xr:uid="{00000000-0005-0000-0000-0000A10B0000}"/>
    <cellStyle name="Titre 3" xfId="1069" xr:uid="{00000000-0005-0000-0000-0000A20B0000}"/>
    <cellStyle name="Titre 4" xfId="1070" xr:uid="{00000000-0005-0000-0000-0000A30B0000}"/>
    <cellStyle name="Titre1" xfId="1071" xr:uid="{00000000-0005-0000-0000-0000A40B0000}"/>
    <cellStyle name="Total 2" xfId="1072" xr:uid="{00000000-0005-0000-0000-0000A50B0000}"/>
    <cellStyle name="Total 2 2" xfId="1073" xr:uid="{00000000-0005-0000-0000-0000A60B0000}"/>
    <cellStyle name="Tusental (0)_pldt" xfId="1074" xr:uid="{00000000-0005-0000-0000-0000A70B0000}"/>
    <cellStyle name="Tusental_pldt" xfId="1075" xr:uid="{00000000-0005-0000-0000-0000A80B0000}"/>
    <cellStyle name="Valuta (0)_pldt" xfId="1076" xr:uid="{00000000-0005-0000-0000-0000A90B0000}"/>
    <cellStyle name="Valuta_pldt" xfId="1077" xr:uid="{00000000-0005-0000-0000-0000AA0B0000}"/>
    <cellStyle name="Vérification" xfId="1078" xr:uid="{00000000-0005-0000-0000-0000AB0B0000}"/>
    <cellStyle name="Vertical" xfId="1079" xr:uid="{00000000-0005-0000-0000-0000AC0B0000}"/>
    <cellStyle name="Vide" xfId="1080" xr:uid="{00000000-0005-0000-0000-0000AD0B0000}"/>
    <cellStyle name="Währung [0]_laroux" xfId="1081" xr:uid="{00000000-0005-0000-0000-0000AE0B0000}"/>
    <cellStyle name="Währung_laroux" xfId="1082" xr:uid="{00000000-0005-0000-0000-0000AF0B0000}"/>
    <cellStyle name="Warning Text 2" xfId="1083" xr:uid="{00000000-0005-0000-0000-0000B00B0000}"/>
    <cellStyle name="Yellow&amp;BlueBackground" xfId="1084" xr:uid="{00000000-0005-0000-0000-0000B10B0000}"/>
    <cellStyle name="뷭?_BOOKSHIP_ 인원 " xfId="1085" xr:uid="{00000000-0005-0000-0000-0000B20B0000}"/>
    <cellStyle name="콤마 [0]_ 비목별 월별기술 " xfId="1086" xr:uid="{00000000-0005-0000-0000-0000B30B0000}"/>
    <cellStyle name="콤마_ 비목별 월별기술 " xfId="1087" xr:uid="{00000000-0005-0000-0000-0000B40B0000}"/>
    <cellStyle name="통화 [0]_ 비목별 월별기술 " xfId="1088" xr:uid="{00000000-0005-0000-0000-0000B50B0000}"/>
    <cellStyle name="통화_ 비목별 월별기술 " xfId="1089" xr:uid="{00000000-0005-0000-0000-0000B60B0000}"/>
    <cellStyle name="표준_ 1-3 " xfId="1090" xr:uid="{00000000-0005-0000-0000-0000B70B0000}"/>
    <cellStyle name="桁区切り [0.00]_laroux" xfId="1091" xr:uid="{00000000-0005-0000-0000-0000B80B0000}"/>
    <cellStyle name="桁区切り_laroux" xfId="1092" xr:uid="{00000000-0005-0000-0000-0000B90B0000}"/>
    <cellStyle name="標準_94物件" xfId="1093" xr:uid="{00000000-0005-0000-0000-0000BA0B0000}"/>
    <cellStyle name="通貨 [0.00]_laroux" xfId="1094" xr:uid="{00000000-0005-0000-0000-0000BB0B0000}"/>
    <cellStyle name="通貨_laroux" xfId="1095" xr:uid="{00000000-0005-0000-0000-0000BC0B0000}"/>
  </cellStyles>
  <dxfs count="0"/>
  <tableStyles count="0" defaultTableStyle="TableStyleMedium9" defaultPivotStyle="PivotStyleLight16"/>
  <colors>
    <mruColors>
      <color rgb="FF0000FF"/>
      <color rgb="FFFF000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366" Type="http://schemas.openxmlformats.org/officeDocument/2006/relationships/worksheet" Target="worksheets/sheet366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268" Type="http://schemas.openxmlformats.org/officeDocument/2006/relationships/worksheet" Target="worksheets/sheet268.xml"/><Relationship Id="rId475" Type="http://schemas.openxmlformats.org/officeDocument/2006/relationships/externalLink" Target="externalLinks/externalLink3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377" Type="http://schemas.openxmlformats.org/officeDocument/2006/relationships/worksheet" Target="worksheets/sheet377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44" Type="http://schemas.openxmlformats.org/officeDocument/2006/relationships/worksheet" Target="worksheets/sheet444.xml"/><Relationship Id="rId486" Type="http://schemas.openxmlformats.org/officeDocument/2006/relationships/externalLink" Target="externalLinks/externalLink14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388" Type="http://schemas.openxmlformats.org/officeDocument/2006/relationships/worksheet" Target="worksheets/sheet388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24" Type="http://schemas.openxmlformats.org/officeDocument/2006/relationships/worksheet" Target="worksheets/sheet424.xml"/><Relationship Id="rId466" Type="http://schemas.openxmlformats.org/officeDocument/2006/relationships/worksheet" Target="worksheets/sheet46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477" Type="http://schemas.openxmlformats.org/officeDocument/2006/relationships/externalLink" Target="externalLinks/externalLink5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446" Type="http://schemas.openxmlformats.org/officeDocument/2006/relationships/worksheet" Target="worksheets/sheet446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88" Type="http://schemas.openxmlformats.org/officeDocument/2006/relationships/externalLink" Target="externalLinks/externalLink16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457" Type="http://schemas.openxmlformats.org/officeDocument/2006/relationships/worksheet" Target="worksheets/sheet457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426" Type="http://schemas.openxmlformats.org/officeDocument/2006/relationships/worksheet" Target="worksheets/sheet426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479" Type="http://schemas.openxmlformats.org/officeDocument/2006/relationships/externalLink" Target="externalLinks/externalLink7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490" Type="http://schemas.openxmlformats.org/officeDocument/2006/relationships/externalLink" Target="externalLinks/externalLink18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406" Type="http://schemas.openxmlformats.org/officeDocument/2006/relationships/worksheet" Target="worksheets/sheet406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48" Type="http://schemas.openxmlformats.org/officeDocument/2006/relationships/worksheet" Target="worksheets/sheet448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459" Type="http://schemas.openxmlformats.org/officeDocument/2006/relationships/worksheet" Target="worksheets/sheet459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470" Type="http://schemas.openxmlformats.org/officeDocument/2006/relationships/worksheet" Target="worksheets/sheet470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428" Type="http://schemas.openxmlformats.org/officeDocument/2006/relationships/worksheet" Target="worksheets/sheet428.xml"/><Relationship Id="rId232" Type="http://schemas.openxmlformats.org/officeDocument/2006/relationships/worksheet" Target="worksheets/sheet232.xml"/><Relationship Id="rId274" Type="http://schemas.openxmlformats.org/officeDocument/2006/relationships/worksheet" Target="worksheets/sheet274.xml"/><Relationship Id="rId481" Type="http://schemas.openxmlformats.org/officeDocument/2006/relationships/externalLink" Target="externalLinks/externalLink9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492" Type="http://schemas.openxmlformats.org/officeDocument/2006/relationships/styles" Target="styles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461" Type="http://schemas.openxmlformats.org/officeDocument/2006/relationships/worksheet" Target="worksheets/sheet461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125" Type="http://schemas.openxmlformats.org/officeDocument/2006/relationships/worksheet" Target="worksheets/sheet125.xml"/><Relationship Id="rId167" Type="http://schemas.openxmlformats.org/officeDocument/2006/relationships/worksheet" Target="worksheets/sheet167.xml"/><Relationship Id="rId332" Type="http://schemas.openxmlformats.org/officeDocument/2006/relationships/worksheet" Target="worksheets/sheet332.xml"/><Relationship Id="rId374" Type="http://schemas.openxmlformats.org/officeDocument/2006/relationships/worksheet" Target="worksheets/sheet374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6" Type="http://schemas.openxmlformats.org/officeDocument/2006/relationships/worksheet" Target="worksheets/sheet276.xml"/><Relationship Id="rId441" Type="http://schemas.openxmlformats.org/officeDocument/2006/relationships/worksheet" Target="worksheets/sheet441.xml"/><Relationship Id="rId483" Type="http://schemas.openxmlformats.org/officeDocument/2006/relationships/externalLink" Target="externalLinks/externalLink11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43" Type="http://schemas.openxmlformats.org/officeDocument/2006/relationships/worksheet" Target="worksheets/sheet343.xml"/><Relationship Id="rId82" Type="http://schemas.openxmlformats.org/officeDocument/2006/relationships/worksheet" Target="worksheets/sheet82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245" Type="http://schemas.openxmlformats.org/officeDocument/2006/relationships/worksheet" Target="worksheets/sheet24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52" Type="http://schemas.openxmlformats.org/officeDocument/2006/relationships/worksheet" Target="worksheets/sheet452.xml"/><Relationship Id="rId494" Type="http://schemas.openxmlformats.org/officeDocument/2006/relationships/calcChain" Target="calcChain.xml"/><Relationship Id="rId105" Type="http://schemas.openxmlformats.org/officeDocument/2006/relationships/worksheet" Target="worksheets/sheet105.xml"/><Relationship Id="rId147" Type="http://schemas.openxmlformats.org/officeDocument/2006/relationships/worksheet" Target="worksheets/sheet147.xml"/><Relationship Id="rId312" Type="http://schemas.openxmlformats.org/officeDocument/2006/relationships/worksheet" Target="worksheets/sheet312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214" Type="http://schemas.openxmlformats.org/officeDocument/2006/relationships/worksheet" Target="worksheets/sheet214.xml"/><Relationship Id="rId256" Type="http://schemas.openxmlformats.org/officeDocument/2006/relationships/worksheet" Target="worksheets/sheet256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463" Type="http://schemas.openxmlformats.org/officeDocument/2006/relationships/worksheet" Target="worksheets/sheet463.xml"/><Relationship Id="rId116" Type="http://schemas.openxmlformats.org/officeDocument/2006/relationships/worksheet" Target="worksheets/sheet116.xml"/><Relationship Id="rId158" Type="http://schemas.openxmlformats.org/officeDocument/2006/relationships/worksheet" Target="worksheets/sheet158.xml"/><Relationship Id="rId323" Type="http://schemas.openxmlformats.org/officeDocument/2006/relationships/worksheet" Target="worksheets/sheet323.xml"/><Relationship Id="rId20" Type="http://schemas.openxmlformats.org/officeDocument/2006/relationships/worksheet" Target="worksheets/sheet20.xml"/><Relationship Id="rId62" Type="http://schemas.openxmlformats.org/officeDocument/2006/relationships/worksheet" Target="worksheets/sheet62.xml"/><Relationship Id="rId365" Type="http://schemas.openxmlformats.org/officeDocument/2006/relationships/worksheet" Target="worksheets/sheet365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32" Type="http://schemas.openxmlformats.org/officeDocument/2006/relationships/worksheet" Target="worksheets/sheet432.xml"/><Relationship Id="rId453" Type="http://schemas.openxmlformats.org/officeDocument/2006/relationships/worksheet" Target="worksheets/sheet453.xml"/><Relationship Id="rId474" Type="http://schemas.openxmlformats.org/officeDocument/2006/relationships/externalLink" Target="externalLinks/externalLink2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313" Type="http://schemas.openxmlformats.org/officeDocument/2006/relationships/worksheet" Target="worksheets/sheet31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55" Type="http://schemas.openxmlformats.org/officeDocument/2006/relationships/worksheet" Target="worksheets/sheet355.xml"/><Relationship Id="rId376" Type="http://schemas.openxmlformats.org/officeDocument/2006/relationships/worksheet" Target="worksheets/sheet376.xml"/><Relationship Id="rId397" Type="http://schemas.openxmlformats.org/officeDocument/2006/relationships/worksheet" Target="worksheets/sheet397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22" Type="http://schemas.openxmlformats.org/officeDocument/2006/relationships/worksheet" Target="worksheets/sheet422.xml"/><Relationship Id="rId443" Type="http://schemas.openxmlformats.org/officeDocument/2006/relationships/worksheet" Target="worksheets/sheet443.xml"/><Relationship Id="rId464" Type="http://schemas.openxmlformats.org/officeDocument/2006/relationships/worksheet" Target="worksheets/sheet464.xml"/><Relationship Id="rId303" Type="http://schemas.openxmlformats.org/officeDocument/2006/relationships/worksheet" Target="worksheets/sheet303.xml"/><Relationship Id="rId485" Type="http://schemas.openxmlformats.org/officeDocument/2006/relationships/externalLink" Target="externalLinks/externalLink13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externalLink" Target="externalLinks/externalLink4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externalLink" Target="externalLinks/externalLink15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240" Type="http://schemas.openxmlformats.org/officeDocument/2006/relationships/worksheet" Target="worksheets/sheet240.xml"/><Relationship Id="rId478" Type="http://schemas.openxmlformats.org/officeDocument/2006/relationships/externalLink" Target="externalLinks/externalLink6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251" Type="http://schemas.openxmlformats.org/officeDocument/2006/relationships/worksheet" Target="worksheets/sheet251.xml"/><Relationship Id="rId489" Type="http://schemas.openxmlformats.org/officeDocument/2006/relationships/externalLink" Target="externalLinks/externalLink17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externalLink" Target="externalLinks/externalLink8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theme" Target="theme/theme1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externalLink" Target="externalLinks/externalLink1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93" Type="http://schemas.openxmlformats.org/officeDocument/2006/relationships/sharedStrings" Target="sharedStrings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externalLink" Target="externalLinks/externalLink1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externalLink" Target="externalLinks/externalLink12.xml"/><Relationship Id="rId137" Type="http://schemas.openxmlformats.org/officeDocument/2006/relationships/worksheet" Target="worksheets/sheet137.xml"/><Relationship Id="rId302" Type="http://schemas.openxmlformats.org/officeDocument/2006/relationships/worksheet" Target="worksheets/sheet302.xml"/><Relationship Id="rId344" Type="http://schemas.openxmlformats.org/officeDocument/2006/relationships/worksheet" Target="worksheets/sheet344.xml"/><Relationship Id="rId41" Type="http://schemas.openxmlformats.org/officeDocument/2006/relationships/worksheet" Target="worksheets/sheet41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3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3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3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3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3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3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3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3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3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3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4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4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4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4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4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4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4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4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4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4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5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5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5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5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5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5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5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5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5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5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6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6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6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6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6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6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6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6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6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6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7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7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7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7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7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7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7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7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7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7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8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8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8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8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8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8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8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8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8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8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9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9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9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9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9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9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9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9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9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9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0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0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0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0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0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0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0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0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0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0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1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1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2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2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2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2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2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2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2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2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2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2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3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3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3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3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3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3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3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3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3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3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4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4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4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4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4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4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4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4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4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4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5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5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5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5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5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5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5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5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5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5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6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6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6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6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6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6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6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6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6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6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7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7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7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7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7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7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7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7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7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7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8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8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8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8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8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8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8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8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8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8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9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9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9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9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9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9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9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9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9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19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0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0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0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0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0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0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0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0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0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0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1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1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2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2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2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2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22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wmf"/><Relationship Id="rId3" Type="http://schemas.openxmlformats.org/officeDocument/2006/relationships/image" Target="../media/image3.wmf"/><Relationship Id="rId7" Type="http://schemas.openxmlformats.org/officeDocument/2006/relationships/image" Target="../media/image7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6" Type="http://schemas.openxmlformats.org/officeDocument/2006/relationships/image" Target="../media/image6.wmf"/><Relationship Id="rId5" Type="http://schemas.openxmlformats.org/officeDocument/2006/relationships/image" Target="../media/image5.wmf"/><Relationship Id="rId4" Type="http://schemas.openxmlformats.org/officeDocument/2006/relationships/image" Target="../media/image4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33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34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35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36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37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38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39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40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41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42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43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44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45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46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47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48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49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50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51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52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53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54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55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56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57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58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59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60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61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62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63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64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65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66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67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68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69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70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71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72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73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wmf"/><Relationship Id="rId2" Type="http://schemas.openxmlformats.org/officeDocument/2006/relationships/image" Target="../media/image20.wmf"/><Relationship Id="rId1" Type="http://schemas.openxmlformats.org/officeDocument/2006/relationships/image" Target="../media/image19.wmf"/></Relationships>
</file>

<file path=xl/drawings/_rels/vmlDrawing74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wmf"/><Relationship Id="rId2" Type="http://schemas.openxmlformats.org/officeDocument/2006/relationships/image" Target="../media/image20.wmf"/><Relationship Id="rId1" Type="http://schemas.openxmlformats.org/officeDocument/2006/relationships/image" Target="../media/image19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165100</xdr:colOff>
          <xdr:row>5</xdr:row>
          <xdr:rowOff>12700</xdr:rowOff>
        </xdr:from>
        <xdr:to>
          <xdr:col>3</xdr:col>
          <xdr:colOff>527050</xdr:colOff>
          <xdr:row>6</xdr:row>
          <xdr:rowOff>0</xdr:rowOff>
        </xdr:to>
        <xdr:sp macro="" textlink="">
          <xdr:nvSpPr>
            <xdr:cNvPr id="11265" name="Object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4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146050</xdr:colOff>
          <xdr:row>5</xdr:row>
          <xdr:rowOff>12700</xdr:rowOff>
        </xdr:from>
        <xdr:to>
          <xdr:col>4</xdr:col>
          <xdr:colOff>495300</xdr:colOff>
          <xdr:row>6</xdr:row>
          <xdr:rowOff>0</xdr:rowOff>
        </xdr:to>
        <xdr:sp macro="" textlink="">
          <xdr:nvSpPr>
            <xdr:cNvPr id="11266" name="Object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4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190500</xdr:colOff>
          <xdr:row>5</xdr:row>
          <xdr:rowOff>38100</xdr:rowOff>
        </xdr:from>
        <xdr:to>
          <xdr:col>5</xdr:col>
          <xdr:colOff>431800</xdr:colOff>
          <xdr:row>5</xdr:row>
          <xdr:rowOff>304800</xdr:rowOff>
        </xdr:to>
        <xdr:sp macro="" textlink="">
          <xdr:nvSpPr>
            <xdr:cNvPr id="11267" name="Object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4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69850</xdr:colOff>
          <xdr:row>5</xdr:row>
          <xdr:rowOff>50800</xdr:rowOff>
        </xdr:from>
        <xdr:to>
          <xdr:col>6</xdr:col>
          <xdr:colOff>323850</xdr:colOff>
          <xdr:row>5</xdr:row>
          <xdr:rowOff>304800</xdr:rowOff>
        </xdr:to>
        <xdr:sp macro="" textlink="">
          <xdr:nvSpPr>
            <xdr:cNvPr id="11268" name="Object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4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4</xdr:row>
          <xdr:rowOff>184150</xdr:rowOff>
        </xdr:from>
        <xdr:to>
          <xdr:col>12</xdr:col>
          <xdr:colOff>0</xdr:colOff>
          <xdr:row>6</xdr:row>
          <xdr:rowOff>0</xdr:rowOff>
        </xdr:to>
        <xdr:sp macro="" textlink="">
          <xdr:nvSpPr>
            <xdr:cNvPr id="11269" name="Object 5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00000000-0008-0000-0400-00000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4</xdr:row>
          <xdr:rowOff>165100</xdr:rowOff>
        </xdr:from>
        <xdr:to>
          <xdr:col>12</xdr:col>
          <xdr:colOff>0</xdr:colOff>
          <xdr:row>6</xdr:row>
          <xdr:rowOff>0</xdr:rowOff>
        </xdr:to>
        <xdr:sp macro="" textlink="">
          <xdr:nvSpPr>
            <xdr:cNvPr id="11270" name="Object 6" hidden="1">
              <a:extLst>
                <a:ext uri="{63B3BB69-23CF-44E3-9099-C40C66FF867C}">
                  <a14:compatExt spid="_x0000_s11270"/>
                </a:ext>
                <a:ext uri="{FF2B5EF4-FFF2-40B4-BE49-F238E27FC236}">
                  <a16:creationId xmlns:a16="http://schemas.microsoft.com/office/drawing/2014/main" id="{00000000-0008-0000-0400-00000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5</xdr:row>
          <xdr:rowOff>0</xdr:rowOff>
        </xdr:from>
        <xdr:to>
          <xdr:col>12</xdr:col>
          <xdr:colOff>0</xdr:colOff>
          <xdr:row>6</xdr:row>
          <xdr:rowOff>0</xdr:rowOff>
        </xdr:to>
        <xdr:sp macro="" textlink="">
          <xdr:nvSpPr>
            <xdr:cNvPr id="11271" name="Object 7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4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45</xdr:row>
          <xdr:rowOff>0</xdr:rowOff>
        </xdr:from>
        <xdr:to>
          <xdr:col>3</xdr:col>
          <xdr:colOff>241300</xdr:colOff>
          <xdr:row>45</xdr:row>
          <xdr:rowOff>0</xdr:rowOff>
        </xdr:to>
        <xdr:sp macro="" textlink="">
          <xdr:nvSpPr>
            <xdr:cNvPr id="11272" name="Object 8" hidden="1">
              <a:extLst>
                <a:ext uri="{63B3BB69-23CF-44E3-9099-C40C66FF867C}">
                  <a14:compatExt spid="_x0000_s11272"/>
                </a:ext>
                <a:ext uri="{FF2B5EF4-FFF2-40B4-BE49-F238E27FC236}">
                  <a16:creationId xmlns:a16="http://schemas.microsoft.com/office/drawing/2014/main" id="{00000000-0008-0000-0400-00000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45</xdr:row>
          <xdr:rowOff>0</xdr:rowOff>
        </xdr:from>
        <xdr:to>
          <xdr:col>4</xdr:col>
          <xdr:colOff>260350</xdr:colOff>
          <xdr:row>45</xdr:row>
          <xdr:rowOff>0</xdr:rowOff>
        </xdr:to>
        <xdr:sp macro="" textlink="">
          <xdr:nvSpPr>
            <xdr:cNvPr id="11273" name="Object 9" hidden="1">
              <a:extLst>
                <a:ext uri="{63B3BB69-23CF-44E3-9099-C40C66FF867C}">
                  <a14:compatExt spid="_x0000_s11273"/>
                </a:ext>
                <a:ext uri="{FF2B5EF4-FFF2-40B4-BE49-F238E27FC236}">
                  <a16:creationId xmlns:a16="http://schemas.microsoft.com/office/drawing/2014/main" id="{00000000-0008-0000-0400-00000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45</xdr:row>
          <xdr:rowOff>0</xdr:rowOff>
        </xdr:from>
        <xdr:to>
          <xdr:col>5</xdr:col>
          <xdr:colOff>146050</xdr:colOff>
          <xdr:row>45</xdr:row>
          <xdr:rowOff>0</xdr:rowOff>
        </xdr:to>
        <xdr:sp macro="" textlink="">
          <xdr:nvSpPr>
            <xdr:cNvPr id="11274" name="Object 10" hidden="1">
              <a:extLst>
                <a:ext uri="{63B3BB69-23CF-44E3-9099-C40C66FF867C}">
                  <a14:compatExt spid="_x0000_s11274"/>
                </a:ext>
                <a:ext uri="{FF2B5EF4-FFF2-40B4-BE49-F238E27FC236}">
                  <a16:creationId xmlns:a16="http://schemas.microsoft.com/office/drawing/2014/main" id="{00000000-0008-0000-0400-00000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45</xdr:row>
          <xdr:rowOff>0</xdr:rowOff>
        </xdr:from>
        <xdr:to>
          <xdr:col>6</xdr:col>
          <xdr:colOff>165100</xdr:colOff>
          <xdr:row>45</xdr:row>
          <xdr:rowOff>0</xdr:rowOff>
        </xdr:to>
        <xdr:sp macro="" textlink="">
          <xdr:nvSpPr>
            <xdr:cNvPr id="11275" name="Object 11" hidden="1">
              <a:extLst>
                <a:ext uri="{63B3BB69-23CF-44E3-9099-C40C66FF867C}">
                  <a14:compatExt spid="_x0000_s11275"/>
                </a:ext>
                <a:ext uri="{FF2B5EF4-FFF2-40B4-BE49-F238E27FC236}">
                  <a16:creationId xmlns:a16="http://schemas.microsoft.com/office/drawing/2014/main" id="{00000000-0008-0000-0400-00000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45</xdr:row>
          <xdr:rowOff>0</xdr:rowOff>
        </xdr:from>
        <xdr:to>
          <xdr:col>1</xdr:col>
          <xdr:colOff>247650</xdr:colOff>
          <xdr:row>45</xdr:row>
          <xdr:rowOff>0</xdr:rowOff>
        </xdr:to>
        <xdr:sp macro="" textlink="">
          <xdr:nvSpPr>
            <xdr:cNvPr id="11279" name="Object 15" hidden="1">
              <a:extLst>
                <a:ext uri="{63B3BB69-23CF-44E3-9099-C40C66FF867C}">
                  <a14:compatExt spid="_x0000_s11279"/>
                </a:ext>
                <a:ext uri="{FF2B5EF4-FFF2-40B4-BE49-F238E27FC236}">
                  <a16:creationId xmlns:a16="http://schemas.microsoft.com/office/drawing/2014/main" id="{00000000-0008-0000-0400-00000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45</xdr:row>
          <xdr:rowOff>0</xdr:rowOff>
        </xdr:from>
        <xdr:to>
          <xdr:col>3</xdr:col>
          <xdr:colOff>241300</xdr:colOff>
          <xdr:row>45</xdr:row>
          <xdr:rowOff>0</xdr:rowOff>
        </xdr:to>
        <xdr:sp macro="" textlink="">
          <xdr:nvSpPr>
            <xdr:cNvPr id="11280" name="Object 16" hidden="1">
              <a:extLst>
                <a:ext uri="{63B3BB69-23CF-44E3-9099-C40C66FF867C}">
                  <a14:compatExt spid="_x0000_s11280"/>
                </a:ext>
                <a:ext uri="{FF2B5EF4-FFF2-40B4-BE49-F238E27FC236}">
                  <a16:creationId xmlns:a16="http://schemas.microsoft.com/office/drawing/2014/main" id="{00000000-0008-0000-0400-00001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45</xdr:row>
          <xdr:rowOff>0</xdr:rowOff>
        </xdr:from>
        <xdr:to>
          <xdr:col>4</xdr:col>
          <xdr:colOff>260350</xdr:colOff>
          <xdr:row>45</xdr:row>
          <xdr:rowOff>0</xdr:rowOff>
        </xdr:to>
        <xdr:sp macro="" textlink="">
          <xdr:nvSpPr>
            <xdr:cNvPr id="11281" name="Object 17" hidden="1">
              <a:extLst>
                <a:ext uri="{63B3BB69-23CF-44E3-9099-C40C66FF867C}">
                  <a14:compatExt spid="_x0000_s11281"/>
                </a:ext>
                <a:ext uri="{FF2B5EF4-FFF2-40B4-BE49-F238E27FC236}">
                  <a16:creationId xmlns:a16="http://schemas.microsoft.com/office/drawing/2014/main" id="{00000000-0008-0000-0400-00001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45</xdr:row>
          <xdr:rowOff>0</xdr:rowOff>
        </xdr:from>
        <xdr:to>
          <xdr:col>5</xdr:col>
          <xdr:colOff>146050</xdr:colOff>
          <xdr:row>45</xdr:row>
          <xdr:rowOff>0</xdr:rowOff>
        </xdr:to>
        <xdr:sp macro="" textlink="">
          <xdr:nvSpPr>
            <xdr:cNvPr id="11282" name="Object 18" hidden="1">
              <a:extLst>
                <a:ext uri="{63B3BB69-23CF-44E3-9099-C40C66FF867C}">
                  <a14:compatExt spid="_x0000_s11282"/>
                </a:ext>
                <a:ext uri="{FF2B5EF4-FFF2-40B4-BE49-F238E27FC236}">
                  <a16:creationId xmlns:a16="http://schemas.microsoft.com/office/drawing/2014/main" id="{00000000-0008-0000-0400-00001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45</xdr:row>
          <xdr:rowOff>0</xdr:rowOff>
        </xdr:from>
        <xdr:to>
          <xdr:col>6</xdr:col>
          <xdr:colOff>165100</xdr:colOff>
          <xdr:row>45</xdr:row>
          <xdr:rowOff>0</xdr:rowOff>
        </xdr:to>
        <xdr:sp macro="" textlink="">
          <xdr:nvSpPr>
            <xdr:cNvPr id="11283" name="Object 19" hidden="1">
              <a:extLst>
                <a:ext uri="{63B3BB69-23CF-44E3-9099-C40C66FF867C}">
                  <a14:compatExt spid="_x0000_s11283"/>
                </a:ext>
                <a:ext uri="{FF2B5EF4-FFF2-40B4-BE49-F238E27FC236}">
                  <a16:creationId xmlns:a16="http://schemas.microsoft.com/office/drawing/2014/main" id="{00000000-0008-0000-0400-00001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45</xdr:row>
          <xdr:rowOff>0</xdr:rowOff>
        </xdr:from>
        <xdr:to>
          <xdr:col>1</xdr:col>
          <xdr:colOff>247650</xdr:colOff>
          <xdr:row>45</xdr:row>
          <xdr:rowOff>0</xdr:rowOff>
        </xdr:to>
        <xdr:sp macro="" textlink="">
          <xdr:nvSpPr>
            <xdr:cNvPr id="11287" name="Object 23" hidden="1">
              <a:extLst>
                <a:ext uri="{63B3BB69-23CF-44E3-9099-C40C66FF867C}">
                  <a14:compatExt spid="_x0000_s11287"/>
                </a:ext>
                <a:ext uri="{FF2B5EF4-FFF2-40B4-BE49-F238E27FC236}">
                  <a16:creationId xmlns:a16="http://schemas.microsoft.com/office/drawing/2014/main" id="{00000000-0008-0000-0400-00001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45</xdr:row>
          <xdr:rowOff>0</xdr:rowOff>
        </xdr:from>
        <xdr:to>
          <xdr:col>3</xdr:col>
          <xdr:colOff>241300</xdr:colOff>
          <xdr:row>45</xdr:row>
          <xdr:rowOff>0</xdr:rowOff>
        </xdr:to>
        <xdr:sp macro="" textlink="">
          <xdr:nvSpPr>
            <xdr:cNvPr id="11288" name="Object 24" hidden="1">
              <a:extLst>
                <a:ext uri="{63B3BB69-23CF-44E3-9099-C40C66FF867C}">
                  <a14:compatExt spid="_x0000_s11288"/>
                </a:ext>
                <a:ext uri="{FF2B5EF4-FFF2-40B4-BE49-F238E27FC236}">
                  <a16:creationId xmlns:a16="http://schemas.microsoft.com/office/drawing/2014/main" id="{00000000-0008-0000-0400-00001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45</xdr:row>
          <xdr:rowOff>0</xdr:rowOff>
        </xdr:from>
        <xdr:to>
          <xdr:col>4</xdr:col>
          <xdr:colOff>260350</xdr:colOff>
          <xdr:row>45</xdr:row>
          <xdr:rowOff>0</xdr:rowOff>
        </xdr:to>
        <xdr:sp macro="" textlink="">
          <xdr:nvSpPr>
            <xdr:cNvPr id="11289" name="Object 25" hidden="1">
              <a:extLst>
                <a:ext uri="{63B3BB69-23CF-44E3-9099-C40C66FF867C}">
                  <a14:compatExt spid="_x0000_s11289"/>
                </a:ext>
                <a:ext uri="{FF2B5EF4-FFF2-40B4-BE49-F238E27FC236}">
                  <a16:creationId xmlns:a16="http://schemas.microsoft.com/office/drawing/2014/main" id="{00000000-0008-0000-0400-00001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45</xdr:row>
          <xdr:rowOff>0</xdr:rowOff>
        </xdr:from>
        <xdr:to>
          <xdr:col>5</xdr:col>
          <xdr:colOff>146050</xdr:colOff>
          <xdr:row>45</xdr:row>
          <xdr:rowOff>0</xdr:rowOff>
        </xdr:to>
        <xdr:sp macro="" textlink="">
          <xdr:nvSpPr>
            <xdr:cNvPr id="11290" name="Object 26" hidden="1">
              <a:extLst>
                <a:ext uri="{63B3BB69-23CF-44E3-9099-C40C66FF867C}">
                  <a14:compatExt spid="_x0000_s11290"/>
                </a:ext>
                <a:ext uri="{FF2B5EF4-FFF2-40B4-BE49-F238E27FC236}">
                  <a16:creationId xmlns:a16="http://schemas.microsoft.com/office/drawing/2014/main" id="{00000000-0008-0000-0400-00001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45</xdr:row>
          <xdr:rowOff>0</xdr:rowOff>
        </xdr:from>
        <xdr:to>
          <xdr:col>6</xdr:col>
          <xdr:colOff>165100</xdr:colOff>
          <xdr:row>45</xdr:row>
          <xdr:rowOff>0</xdr:rowOff>
        </xdr:to>
        <xdr:sp macro="" textlink="">
          <xdr:nvSpPr>
            <xdr:cNvPr id="11291" name="Object 27" hidden="1">
              <a:extLst>
                <a:ext uri="{63B3BB69-23CF-44E3-9099-C40C66FF867C}">
                  <a14:compatExt spid="_x0000_s11291"/>
                </a:ext>
                <a:ext uri="{FF2B5EF4-FFF2-40B4-BE49-F238E27FC236}">
                  <a16:creationId xmlns:a16="http://schemas.microsoft.com/office/drawing/2014/main" id="{00000000-0008-0000-0400-00001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45</xdr:row>
          <xdr:rowOff>0</xdr:rowOff>
        </xdr:from>
        <xdr:to>
          <xdr:col>1</xdr:col>
          <xdr:colOff>247650</xdr:colOff>
          <xdr:row>45</xdr:row>
          <xdr:rowOff>0</xdr:rowOff>
        </xdr:to>
        <xdr:sp macro="" textlink="">
          <xdr:nvSpPr>
            <xdr:cNvPr id="11295" name="Object 31" hidden="1">
              <a:extLst>
                <a:ext uri="{63B3BB69-23CF-44E3-9099-C40C66FF867C}">
                  <a14:compatExt spid="_x0000_s11295"/>
                </a:ext>
                <a:ext uri="{FF2B5EF4-FFF2-40B4-BE49-F238E27FC236}">
                  <a16:creationId xmlns:a16="http://schemas.microsoft.com/office/drawing/2014/main" id="{00000000-0008-0000-0400-00001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12700</xdr:colOff>
          <xdr:row>39</xdr:row>
          <xdr:rowOff>19050</xdr:rowOff>
        </xdr:from>
        <xdr:to>
          <xdr:col>1</xdr:col>
          <xdr:colOff>336550</xdr:colOff>
          <xdr:row>39</xdr:row>
          <xdr:rowOff>317500</xdr:rowOff>
        </xdr:to>
        <xdr:sp macro="" textlink="">
          <xdr:nvSpPr>
            <xdr:cNvPr id="11296" name="Object 32" hidden="1">
              <a:extLst>
                <a:ext uri="{63B3BB69-23CF-44E3-9099-C40C66FF867C}">
                  <a14:compatExt spid="_x0000_s11296"/>
                </a:ext>
                <a:ext uri="{FF2B5EF4-FFF2-40B4-BE49-F238E27FC236}">
                  <a16:creationId xmlns:a16="http://schemas.microsoft.com/office/drawing/2014/main" id="{00000000-0008-0000-0400-00002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5</xdr:row>
          <xdr:rowOff>12700</xdr:rowOff>
        </xdr:from>
        <xdr:to>
          <xdr:col>12</xdr:col>
          <xdr:colOff>0</xdr:colOff>
          <xdr:row>5</xdr:row>
          <xdr:rowOff>279400</xdr:rowOff>
        </xdr:to>
        <xdr:sp macro="" textlink="">
          <xdr:nvSpPr>
            <xdr:cNvPr id="11297" name="Object 33" hidden="1">
              <a:extLst>
                <a:ext uri="{63B3BB69-23CF-44E3-9099-C40C66FF867C}">
                  <a14:compatExt spid="_x0000_s11297"/>
                </a:ext>
                <a:ext uri="{FF2B5EF4-FFF2-40B4-BE49-F238E27FC236}">
                  <a16:creationId xmlns:a16="http://schemas.microsoft.com/office/drawing/2014/main" id="{00000000-0008-0000-0400-00002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190500</xdr:colOff>
          <xdr:row>5</xdr:row>
          <xdr:rowOff>0</xdr:rowOff>
        </xdr:from>
        <xdr:to>
          <xdr:col>7</xdr:col>
          <xdr:colOff>381000</xdr:colOff>
          <xdr:row>6</xdr:row>
          <xdr:rowOff>0</xdr:rowOff>
        </xdr:to>
        <xdr:sp macro="" textlink="">
          <xdr:nvSpPr>
            <xdr:cNvPr id="11298" name="Object 34" hidden="1">
              <a:extLst>
                <a:ext uri="{63B3BB69-23CF-44E3-9099-C40C66FF867C}">
                  <a14:compatExt spid="_x0000_s11298"/>
                </a:ext>
                <a:ext uri="{FF2B5EF4-FFF2-40B4-BE49-F238E27FC236}">
                  <a16:creationId xmlns:a16="http://schemas.microsoft.com/office/drawing/2014/main" id="{00000000-0008-0000-0400-00002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260350</xdr:colOff>
          <xdr:row>33</xdr:row>
          <xdr:rowOff>38100</xdr:rowOff>
        </xdr:from>
        <xdr:to>
          <xdr:col>3</xdr:col>
          <xdr:colOff>647700</xdr:colOff>
          <xdr:row>33</xdr:row>
          <xdr:rowOff>374650</xdr:rowOff>
        </xdr:to>
        <xdr:sp macro="" textlink="">
          <xdr:nvSpPr>
            <xdr:cNvPr id="11299" name="Object 35" hidden="1">
              <a:extLst>
                <a:ext uri="{63B3BB69-23CF-44E3-9099-C40C66FF867C}">
                  <a14:compatExt spid="_x0000_s11299"/>
                </a:ext>
                <a:ext uri="{FF2B5EF4-FFF2-40B4-BE49-F238E27FC236}">
                  <a16:creationId xmlns:a16="http://schemas.microsoft.com/office/drawing/2014/main" id="{00000000-0008-0000-0400-00002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95250</xdr:colOff>
          <xdr:row>33</xdr:row>
          <xdr:rowOff>31750</xdr:rowOff>
        </xdr:from>
        <xdr:to>
          <xdr:col>4</xdr:col>
          <xdr:colOff>374650</xdr:colOff>
          <xdr:row>34</xdr:row>
          <xdr:rowOff>0</xdr:rowOff>
        </xdr:to>
        <xdr:sp macro="" textlink="">
          <xdr:nvSpPr>
            <xdr:cNvPr id="11300" name="Object 36" hidden="1">
              <a:extLst>
                <a:ext uri="{63B3BB69-23CF-44E3-9099-C40C66FF867C}">
                  <a14:compatExt spid="_x0000_s11300"/>
                </a:ext>
                <a:ext uri="{FF2B5EF4-FFF2-40B4-BE49-F238E27FC236}">
                  <a16:creationId xmlns:a16="http://schemas.microsoft.com/office/drawing/2014/main" id="{00000000-0008-0000-0400-00002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88900</xdr:colOff>
          <xdr:row>33</xdr:row>
          <xdr:rowOff>76200</xdr:rowOff>
        </xdr:from>
        <xdr:to>
          <xdr:col>5</xdr:col>
          <xdr:colOff>323850</xdr:colOff>
          <xdr:row>33</xdr:row>
          <xdr:rowOff>342900</xdr:rowOff>
        </xdr:to>
        <xdr:sp macro="" textlink="">
          <xdr:nvSpPr>
            <xdr:cNvPr id="11301" name="Object 37" hidden="1">
              <a:extLst>
                <a:ext uri="{63B3BB69-23CF-44E3-9099-C40C66FF867C}">
                  <a14:compatExt spid="_x0000_s11301"/>
                </a:ext>
                <a:ext uri="{FF2B5EF4-FFF2-40B4-BE49-F238E27FC236}">
                  <a16:creationId xmlns:a16="http://schemas.microsoft.com/office/drawing/2014/main" id="{00000000-0008-0000-0400-00002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69850</xdr:colOff>
          <xdr:row>33</xdr:row>
          <xdr:rowOff>88900</xdr:rowOff>
        </xdr:from>
        <xdr:to>
          <xdr:col>6</xdr:col>
          <xdr:colOff>323850</xdr:colOff>
          <xdr:row>33</xdr:row>
          <xdr:rowOff>342900</xdr:rowOff>
        </xdr:to>
        <xdr:sp macro="" textlink="">
          <xdr:nvSpPr>
            <xdr:cNvPr id="11302" name="Object 38" hidden="1">
              <a:extLst>
                <a:ext uri="{63B3BB69-23CF-44E3-9099-C40C66FF867C}">
                  <a14:compatExt spid="_x0000_s11302"/>
                </a:ext>
                <a:ext uri="{FF2B5EF4-FFF2-40B4-BE49-F238E27FC236}">
                  <a16:creationId xmlns:a16="http://schemas.microsoft.com/office/drawing/2014/main" id="{00000000-0008-0000-0400-00002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95250</xdr:colOff>
          <xdr:row>33</xdr:row>
          <xdr:rowOff>50800</xdr:rowOff>
        </xdr:from>
        <xdr:to>
          <xdr:col>7</xdr:col>
          <xdr:colOff>285750</xdr:colOff>
          <xdr:row>34</xdr:row>
          <xdr:rowOff>19050</xdr:rowOff>
        </xdr:to>
        <xdr:sp macro="" textlink="">
          <xdr:nvSpPr>
            <xdr:cNvPr id="11303" name="Object 39" hidden="1">
              <a:extLst>
                <a:ext uri="{63B3BB69-23CF-44E3-9099-C40C66FF867C}">
                  <a14:compatExt spid="_x0000_s11303"/>
                </a:ext>
                <a:ext uri="{FF2B5EF4-FFF2-40B4-BE49-F238E27FC236}">
                  <a16:creationId xmlns:a16="http://schemas.microsoft.com/office/drawing/2014/main" id="{00000000-0008-0000-0400-00002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165100</xdr:colOff>
          <xdr:row>46</xdr:row>
          <xdr:rowOff>12700</xdr:rowOff>
        </xdr:from>
        <xdr:to>
          <xdr:col>3</xdr:col>
          <xdr:colOff>527050</xdr:colOff>
          <xdr:row>47</xdr:row>
          <xdr:rowOff>0</xdr:rowOff>
        </xdr:to>
        <xdr:sp macro="" textlink="">
          <xdr:nvSpPr>
            <xdr:cNvPr id="11304" name="Object 40" hidden="1">
              <a:extLst>
                <a:ext uri="{63B3BB69-23CF-44E3-9099-C40C66FF867C}">
                  <a14:compatExt spid="_x0000_s11304"/>
                </a:ext>
                <a:ext uri="{FF2B5EF4-FFF2-40B4-BE49-F238E27FC236}">
                  <a16:creationId xmlns:a16="http://schemas.microsoft.com/office/drawing/2014/main" id="{00000000-0008-0000-0400-00002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146050</xdr:colOff>
          <xdr:row>46</xdr:row>
          <xdr:rowOff>12700</xdr:rowOff>
        </xdr:from>
        <xdr:to>
          <xdr:col>4</xdr:col>
          <xdr:colOff>495300</xdr:colOff>
          <xdr:row>47</xdr:row>
          <xdr:rowOff>0</xdr:rowOff>
        </xdr:to>
        <xdr:sp macro="" textlink="">
          <xdr:nvSpPr>
            <xdr:cNvPr id="11305" name="Object 41" hidden="1">
              <a:extLst>
                <a:ext uri="{63B3BB69-23CF-44E3-9099-C40C66FF867C}">
                  <a14:compatExt spid="_x0000_s11305"/>
                </a:ext>
                <a:ext uri="{FF2B5EF4-FFF2-40B4-BE49-F238E27FC236}">
                  <a16:creationId xmlns:a16="http://schemas.microsoft.com/office/drawing/2014/main" id="{00000000-0008-0000-0400-00002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190500</xdr:colOff>
          <xdr:row>46</xdr:row>
          <xdr:rowOff>38100</xdr:rowOff>
        </xdr:from>
        <xdr:to>
          <xdr:col>5</xdr:col>
          <xdr:colOff>431800</xdr:colOff>
          <xdr:row>46</xdr:row>
          <xdr:rowOff>304800</xdr:rowOff>
        </xdr:to>
        <xdr:sp macro="" textlink="">
          <xdr:nvSpPr>
            <xdr:cNvPr id="11306" name="Object 42" hidden="1">
              <a:extLst>
                <a:ext uri="{63B3BB69-23CF-44E3-9099-C40C66FF867C}">
                  <a14:compatExt spid="_x0000_s11306"/>
                </a:ext>
                <a:ext uri="{FF2B5EF4-FFF2-40B4-BE49-F238E27FC236}">
                  <a16:creationId xmlns:a16="http://schemas.microsoft.com/office/drawing/2014/main" id="{00000000-0008-0000-0400-00002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69850</xdr:colOff>
          <xdr:row>46</xdr:row>
          <xdr:rowOff>50800</xdr:rowOff>
        </xdr:from>
        <xdr:to>
          <xdr:col>6</xdr:col>
          <xdr:colOff>323850</xdr:colOff>
          <xdr:row>46</xdr:row>
          <xdr:rowOff>304800</xdr:rowOff>
        </xdr:to>
        <xdr:sp macro="" textlink="">
          <xdr:nvSpPr>
            <xdr:cNvPr id="11307" name="Object 43" hidden="1">
              <a:extLst>
                <a:ext uri="{63B3BB69-23CF-44E3-9099-C40C66FF867C}">
                  <a14:compatExt spid="_x0000_s11307"/>
                </a:ext>
                <a:ext uri="{FF2B5EF4-FFF2-40B4-BE49-F238E27FC236}">
                  <a16:creationId xmlns:a16="http://schemas.microsoft.com/office/drawing/2014/main" id="{00000000-0008-0000-0400-00002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12700</xdr:colOff>
          <xdr:row>75</xdr:row>
          <xdr:rowOff>19050</xdr:rowOff>
        </xdr:from>
        <xdr:to>
          <xdr:col>1</xdr:col>
          <xdr:colOff>336550</xdr:colOff>
          <xdr:row>75</xdr:row>
          <xdr:rowOff>317500</xdr:rowOff>
        </xdr:to>
        <xdr:sp macro="" textlink="">
          <xdr:nvSpPr>
            <xdr:cNvPr id="11308" name="Object 44" hidden="1">
              <a:extLst>
                <a:ext uri="{63B3BB69-23CF-44E3-9099-C40C66FF867C}">
                  <a14:compatExt spid="_x0000_s11308"/>
                </a:ext>
                <a:ext uri="{FF2B5EF4-FFF2-40B4-BE49-F238E27FC236}">
                  <a16:creationId xmlns:a16="http://schemas.microsoft.com/office/drawing/2014/main" id="{00000000-0008-0000-0400-00002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190500</xdr:colOff>
          <xdr:row>46</xdr:row>
          <xdr:rowOff>0</xdr:rowOff>
        </xdr:from>
        <xdr:to>
          <xdr:col>7</xdr:col>
          <xdr:colOff>381000</xdr:colOff>
          <xdr:row>47</xdr:row>
          <xdr:rowOff>0</xdr:rowOff>
        </xdr:to>
        <xdr:sp macro="" textlink="">
          <xdr:nvSpPr>
            <xdr:cNvPr id="11309" name="Object 45" hidden="1">
              <a:extLst>
                <a:ext uri="{63B3BB69-23CF-44E3-9099-C40C66FF867C}">
                  <a14:compatExt spid="_x0000_s11309"/>
                </a:ext>
                <a:ext uri="{FF2B5EF4-FFF2-40B4-BE49-F238E27FC236}">
                  <a16:creationId xmlns:a16="http://schemas.microsoft.com/office/drawing/2014/main" id="{00000000-0008-0000-0400-00002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260350</xdr:colOff>
          <xdr:row>69</xdr:row>
          <xdr:rowOff>38100</xdr:rowOff>
        </xdr:from>
        <xdr:to>
          <xdr:col>3</xdr:col>
          <xdr:colOff>647700</xdr:colOff>
          <xdr:row>69</xdr:row>
          <xdr:rowOff>374650</xdr:rowOff>
        </xdr:to>
        <xdr:sp macro="" textlink="">
          <xdr:nvSpPr>
            <xdr:cNvPr id="11310" name="Object 46" hidden="1">
              <a:extLst>
                <a:ext uri="{63B3BB69-23CF-44E3-9099-C40C66FF867C}">
                  <a14:compatExt spid="_x0000_s11310"/>
                </a:ext>
                <a:ext uri="{FF2B5EF4-FFF2-40B4-BE49-F238E27FC236}">
                  <a16:creationId xmlns:a16="http://schemas.microsoft.com/office/drawing/2014/main" id="{00000000-0008-0000-0400-00002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95250</xdr:colOff>
          <xdr:row>69</xdr:row>
          <xdr:rowOff>31750</xdr:rowOff>
        </xdr:from>
        <xdr:to>
          <xdr:col>4</xdr:col>
          <xdr:colOff>374650</xdr:colOff>
          <xdr:row>69</xdr:row>
          <xdr:rowOff>400050</xdr:rowOff>
        </xdr:to>
        <xdr:sp macro="" textlink="">
          <xdr:nvSpPr>
            <xdr:cNvPr id="11311" name="Object 47" hidden="1">
              <a:extLst>
                <a:ext uri="{63B3BB69-23CF-44E3-9099-C40C66FF867C}">
                  <a14:compatExt spid="_x0000_s11311"/>
                </a:ext>
                <a:ext uri="{FF2B5EF4-FFF2-40B4-BE49-F238E27FC236}">
                  <a16:creationId xmlns:a16="http://schemas.microsoft.com/office/drawing/2014/main" id="{00000000-0008-0000-0400-00002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88900</xdr:colOff>
          <xdr:row>69</xdr:row>
          <xdr:rowOff>76200</xdr:rowOff>
        </xdr:from>
        <xdr:to>
          <xdr:col>5</xdr:col>
          <xdr:colOff>323850</xdr:colOff>
          <xdr:row>69</xdr:row>
          <xdr:rowOff>342900</xdr:rowOff>
        </xdr:to>
        <xdr:sp macro="" textlink="">
          <xdr:nvSpPr>
            <xdr:cNvPr id="11312" name="Object 48" hidden="1">
              <a:extLst>
                <a:ext uri="{63B3BB69-23CF-44E3-9099-C40C66FF867C}">
                  <a14:compatExt spid="_x0000_s11312"/>
                </a:ext>
                <a:ext uri="{FF2B5EF4-FFF2-40B4-BE49-F238E27FC236}">
                  <a16:creationId xmlns:a16="http://schemas.microsoft.com/office/drawing/2014/main" id="{00000000-0008-0000-0400-00003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69850</xdr:colOff>
          <xdr:row>69</xdr:row>
          <xdr:rowOff>88900</xdr:rowOff>
        </xdr:from>
        <xdr:to>
          <xdr:col>6</xdr:col>
          <xdr:colOff>323850</xdr:colOff>
          <xdr:row>69</xdr:row>
          <xdr:rowOff>342900</xdr:rowOff>
        </xdr:to>
        <xdr:sp macro="" textlink="">
          <xdr:nvSpPr>
            <xdr:cNvPr id="11313" name="Object 49" hidden="1">
              <a:extLst>
                <a:ext uri="{63B3BB69-23CF-44E3-9099-C40C66FF867C}">
                  <a14:compatExt spid="_x0000_s11313"/>
                </a:ext>
                <a:ext uri="{FF2B5EF4-FFF2-40B4-BE49-F238E27FC236}">
                  <a16:creationId xmlns:a16="http://schemas.microsoft.com/office/drawing/2014/main" id="{00000000-0008-0000-0400-00003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69850</xdr:colOff>
          <xdr:row>69</xdr:row>
          <xdr:rowOff>31750</xdr:rowOff>
        </xdr:from>
        <xdr:to>
          <xdr:col>7</xdr:col>
          <xdr:colOff>260350</xdr:colOff>
          <xdr:row>69</xdr:row>
          <xdr:rowOff>393700</xdr:rowOff>
        </xdr:to>
        <xdr:sp macro="" textlink="">
          <xdr:nvSpPr>
            <xdr:cNvPr id="11314" name="Object 50" hidden="1">
              <a:extLst>
                <a:ext uri="{63B3BB69-23CF-44E3-9099-C40C66FF867C}">
                  <a14:compatExt spid="_x0000_s11314"/>
                </a:ext>
                <a:ext uri="{FF2B5EF4-FFF2-40B4-BE49-F238E27FC236}">
                  <a16:creationId xmlns:a16="http://schemas.microsoft.com/office/drawing/2014/main" id="{00000000-0008-0000-0400-00003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81</xdr:row>
          <xdr:rowOff>0</xdr:rowOff>
        </xdr:from>
        <xdr:to>
          <xdr:col>3</xdr:col>
          <xdr:colOff>241300</xdr:colOff>
          <xdr:row>81</xdr:row>
          <xdr:rowOff>0</xdr:rowOff>
        </xdr:to>
        <xdr:sp macro="" textlink="">
          <xdr:nvSpPr>
            <xdr:cNvPr id="11315" name="Object 51" hidden="1">
              <a:extLst>
                <a:ext uri="{63B3BB69-23CF-44E3-9099-C40C66FF867C}">
                  <a14:compatExt spid="_x0000_s11315"/>
                </a:ext>
                <a:ext uri="{FF2B5EF4-FFF2-40B4-BE49-F238E27FC236}">
                  <a16:creationId xmlns:a16="http://schemas.microsoft.com/office/drawing/2014/main" id="{00000000-0008-0000-0400-00003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81</xdr:row>
          <xdr:rowOff>0</xdr:rowOff>
        </xdr:from>
        <xdr:to>
          <xdr:col>4</xdr:col>
          <xdr:colOff>260350</xdr:colOff>
          <xdr:row>81</xdr:row>
          <xdr:rowOff>0</xdr:rowOff>
        </xdr:to>
        <xdr:sp macro="" textlink="">
          <xdr:nvSpPr>
            <xdr:cNvPr id="11316" name="Object 52" hidden="1">
              <a:extLst>
                <a:ext uri="{63B3BB69-23CF-44E3-9099-C40C66FF867C}">
                  <a14:compatExt spid="_x0000_s11316"/>
                </a:ext>
                <a:ext uri="{FF2B5EF4-FFF2-40B4-BE49-F238E27FC236}">
                  <a16:creationId xmlns:a16="http://schemas.microsoft.com/office/drawing/2014/main" id="{00000000-0008-0000-0400-00003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81</xdr:row>
          <xdr:rowOff>0</xdr:rowOff>
        </xdr:from>
        <xdr:to>
          <xdr:col>5</xdr:col>
          <xdr:colOff>146050</xdr:colOff>
          <xdr:row>81</xdr:row>
          <xdr:rowOff>0</xdr:rowOff>
        </xdr:to>
        <xdr:sp macro="" textlink="">
          <xdr:nvSpPr>
            <xdr:cNvPr id="11317" name="Object 53" hidden="1">
              <a:extLst>
                <a:ext uri="{63B3BB69-23CF-44E3-9099-C40C66FF867C}">
                  <a14:compatExt spid="_x0000_s11317"/>
                </a:ext>
                <a:ext uri="{FF2B5EF4-FFF2-40B4-BE49-F238E27FC236}">
                  <a16:creationId xmlns:a16="http://schemas.microsoft.com/office/drawing/2014/main" id="{00000000-0008-0000-0400-00003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81</xdr:row>
          <xdr:rowOff>0</xdr:rowOff>
        </xdr:from>
        <xdr:to>
          <xdr:col>6</xdr:col>
          <xdr:colOff>165100</xdr:colOff>
          <xdr:row>81</xdr:row>
          <xdr:rowOff>0</xdr:rowOff>
        </xdr:to>
        <xdr:sp macro="" textlink="">
          <xdr:nvSpPr>
            <xdr:cNvPr id="11318" name="Object 54" hidden="1">
              <a:extLst>
                <a:ext uri="{63B3BB69-23CF-44E3-9099-C40C66FF867C}">
                  <a14:compatExt spid="_x0000_s11318"/>
                </a:ext>
                <a:ext uri="{FF2B5EF4-FFF2-40B4-BE49-F238E27FC236}">
                  <a16:creationId xmlns:a16="http://schemas.microsoft.com/office/drawing/2014/main" id="{00000000-0008-0000-0400-00003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81</xdr:row>
          <xdr:rowOff>0</xdr:rowOff>
        </xdr:from>
        <xdr:to>
          <xdr:col>1</xdr:col>
          <xdr:colOff>247650</xdr:colOff>
          <xdr:row>81</xdr:row>
          <xdr:rowOff>0</xdr:rowOff>
        </xdr:to>
        <xdr:sp macro="" textlink="">
          <xdr:nvSpPr>
            <xdr:cNvPr id="11319" name="Object 55" hidden="1">
              <a:extLst>
                <a:ext uri="{63B3BB69-23CF-44E3-9099-C40C66FF867C}">
                  <a14:compatExt spid="_x0000_s11319"/>
                </a:ext>
                <a:ext uri="{FF2B5EF4-FFF2-40B4-BE49-F238E27FC236}">
                  <a16:creationId xmlns:a16="http://schemas.microsoft.com/office/drawing/2014/main" id="{00000000-0008-0000-0400-00003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81</xdr:row>
          <xdr:rowOff>0</xdr:rowOff>
        </xdr:from>
        <xdr:to>
          <xdr:col>3</xdr:col>
          <xdr:colOff>241300</xdr:colOff>
          <xdr:row>81</xdr:row>
          <xdr:rowOff>0</xdr:rowOff>
        </xdr:to>
        <xdr:sp macro="" textlink="">
          <xdr:nvSpPr>
            <xdr:cNvPr id="11320" name="Object 56" hidden="1">
              <a:extLst>
                <a:ext uri="{63B3BB69-23CF-44E3-9099-C40C66FF867C}">
                  <a14:compatExt spid="_x0000_s11320"/>
                </a:ext>
                <a:ext uri="{FF2B5EF4-FFF2-40B4-BE49-F238E27FC236}">
                  <a16:creationId xmlns:a16="http://schemas.microsoft.com/office/drawing/2014/main" id="{00000000-0008-0000-0400-00003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81</xdr:row>
          <xdr:rowOff>0</xdr:rowOff>
        </xdr:from>
        <xdr:to>
          <xdr:col>4</xdr:col>
          <xdr:colOff>260350</xdr:colOff>
          <xdr:row>81</xdr:row>
          <xdr:rowOff>0</xdr:rowOff>
        </xdr:to>
        <xdr:sp macro="" textlink="">
          <xdr:nvSpPr>
            <xdr:cNvPr id="11321" name="Object 57" hidden="1">
              <a:extLst>
                <a:ext uri="{63B3BB69-23CF-44E3-9099-C40C66FF867C}">
                  <a14:compatExt spid="_x0000_s11321"/>
                </a:ext>
                <a:ext uri="{FF2B5EF4-FFF2-40B4-BE49-F238E27FC236}">
                  <a16:creationId xmlns:a16="http://schemas.microsoft.com/office/drawing/2014/main" id="{00000000-0008-0000-0400-00003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81</xdr:row>
          <xdr:rowOff>0</xdr:rowOff>
        </xdr:from>
        <xdr:to>
          <xdr:col>5</xdr:col>
          <xdr:colOff>146050</xdr:colOff>
          <xdr:row>81</xdr:row>
          <xdr:rowOff>0</xdr:rowOff>
        </xdr:to>
        <xdr:sp macro="" textlink="">
          <xdr:nvSpPr>
            <xdr:cNvPr id="11322" name="Object 58" hidden="1">
              <a:extLst>
                <a:ext uri="{63B3BB69-23CF-44E3-9099-C40C66FF867C}">
                  <a14:compatExt spid="_x0000_s11322"/>
                </a:ext>
                <a:ext uri="{FF2B5EF4-FFF2-40B4-BE49-F238E27FC236}">
                  <a16:creationId xmlns:a16="http://schemas.microsoft.com/office/drawing/2014/main" id="{00000000-0008-0000-0400-00003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81</xdr:row>
          <xdr:rowOff>0</xdr:rowOff>
        </xdr:from>
        <xdr:to>
          <xdr:col>6</xdr:col>
          <xdr:colOff>165100</xdr:colOff>
          <xdr:row>81</xdr:row>
          <xdr:rowOff>0</xdr:rowOff>
        </xdr:to>
        <xdr:sp macro="" textlink="">
          <xdr:nvSpPr>
            <xdr:cNvPr id="11323" name="Object 59" hidden="1">
              <a:extLst>
                <a:ext uri="{63B3BB69-23CF-44E3-9099-C40C66FF867C}">
                  <a14:compatExt spid="_x0000_s11323"/>
                </a:ext>
                <a:ext uri="{FF2B5EF4-FFF2-40B4-BE49-F238E27FC236}">
                  <a16:creationId xmlns:a16="http://schemas.microsoft.com/office/drawing/2014/main" id="{00000000-0008-0000-0400-00003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81</xdr:row>
          <xdr:rowOff>0</xdr:rowOff>
        </xdr:from>
        <xdr:to>
          <xdr:col>1</xdr:col>
          <xdr:colOff>247650</xdr:colOff>
          <xdr:row>81</xdr:row>
          <xdr:rowOff>0</xdr:rowOff>
        </xdr:to>
        <xdr:sp macro="" textlink="">
          <xdr:nvSpPr>
            <xdr:cNvPr id="11324" name="Object 60" hidden="1">
              <a:extLst>
                <a:ext uri="{63B3BB69-23CF-44E3-9099-C40C66FF867C}">
                  <a14:compatExt spid="_x0000_s11324"/>
                </a:ext>
                <a:ext uri="{FF2B5EF4-FFF2-40B4-BE49-F238E27FC236}">
                  <a16:creationId xmlns:a16="http://schemas.microsoft.com/office/drawing/2014/main" id="{00000000-0008-0000-0400-00003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81</xdr:row>
          <xdr:rowOff>0</xdr:rowOff>
        </xdr:from>
        <xdr:to>
          <xdr:col>3</xdr:col>
          <xdr:colOff>241300</xdr:colOff>
          <xdr:row>81</xdr:row>
          <xdr:rowOff>0</xdr:rowOff>
        </xdr:to>
        <xdr:sp macro="" textlink="">
          <xdr:nvSpPr>
            <xdr:cNvPr id="11325" name="Object 61" hidden="1">
              <a:extLst>
                <a:ext uri="{63B3BB69-23CF-44E3-9099-C40C66FF867C}">
                  <a14:compatExt spid="_x0000_s11325"/>
                </a:ext>
                <a:ext uri="{FF2B5EF4-FFF2-40B4-BE49-F238E27FC236}">
                  <a16:creationId xmlns:a16="http://schemas.microsoft.com/office/drawing/2014/main" id="{00000000-0008-0000-0400-00003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81</xdr:row>
          <xdr:rowOff>0</xdr:rowOff>
        </xdr:from>
        <xdr:to>
          <xdr:col>4</xdr:col>
          <xdr:colOff>260350</xdr:colOff>
          <xdr:row>81</xdr:row>
          <xdr:rowOff>0</xdr:rowOff>
        </xdr:to>
        <xdr:sp macro="" textlink="">
          <xdr:nvSpPr>
            <xdr:cNvPr id="11326" name="Object 62" hidden="1">
              <a:extLst>
                <a:ext uri="{63B3BB69-23CF-44E3-9099-C40C66FF867C}">
                  <a14:compatExt spid="_x0000_s11326"/>
                </a:ext>
                <a:ext uri="{FF2B5EF4-FFF2-40B4-BE49-F238E27FC236}">
                  <a16:creationId xmlns:a16="http://schemas.microsoft.com/office/drawing/2014/main" id="{00000000-0008-0000-0400-00003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81</xdr:row>
          <xdr:rowOff>0</xdr:rowOff>
        </xdr:from>
        <xdr:to>
          <xdr:col>5</xdr:col>
          <xdr:colOff>146050</xdr:colOff>
          <xdr:row>81</xdr:row>
          <xdr:rowOff>0</xdr:rowOff>
        </xdr:to>
        <xdr:sp macro="" textlink="">
          <xdr:nvSpPr>
            <xdr:cNvPr id="11327" name="Object 63" hidden="1">
              <a:extLst>
                <a:ext uri="{63B3BB69-23CF-44E3-9099-C40C66FF867C}">
                  <a14:compatExt spid="_x0000_s11327"/>
                </a:ext>
                <a:ext uri="{FF2B5EF4-FFF2-40B4-BE49-F238E27FC236}">
                  <a16:creationId xmlns:a16="http://schemas.microsoft.com/office/drawing/2014/main" id="{00000000-0008-0000-0400-00003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81</xdr:row>
          <xdr:rowOff>0</xdr:rowOff>
        </xdr:from>
        <xdr:to>
          <xdr:col>6</xdr:col>
          <xdr:colOff>165100</xdr:colOff>
          <xdr:row>81</xdr:row>
          <xdr:rowOff>0</xdr:rowOff>
        </xdr:to>
        <xdr:sp macro="" textlink="">
          <xdr:nvSpPr>
            <xdr:cNvPr id="11328" name="Object 64" hidden="1">
              <a:extLst>
                <a:ext uri="{63B3BB69-23CF-44E3-9099-C40C66FF867C}">
                  <a14:compatExt spid="_x0000_s11328"/>
                </a:ext>
                <a:ext uri="{FF2B5EF4-FFF2-40B4-BE49-F238E27FC236}">
                  <a16:creationId xmlns:a16="http://schemas.microsoft.com/office/drawing/2014/main" id="{00000000-0008-0000-0400-00004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81</xdr:row>
          <xdr:rowOff>0</xdr:rowOff>
        </xdr:from>
        <xdr:to>
          <xdr:col>1</xdr:col>
          <xdr:colOff>247650</xdr:colOff>
          <xdr:row>81</xdr:row>
          <xdr:rowOff>0</xdr:rowOff>
        </xdr:to>
        <xdr:sp macro="" textlink="">
          <xdr:nvSpPr>
            <xdr:cNvPr id="11329" name="Object 65" hidden="1">
              <a:extLst>
                <a:ext uri="{63B3BB69-23CF-44E3-9099-C40C66FF867C}">
                  <a14:compatExt spid="_x0000_s11329"/>
                </a:ext>
                <a:ext uri="{FF2B5EF4-FFF2-40B4-BE49-F238E27FC236}">
                  <a16:creationId xmlns:a16="http://schemas.microsoft.com/office/drawing/2014/main" id="{00000000-0008-0000-0400-00004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165100</xdr:colOff>
          <xdr:row>82</xdr:row>
          <xdr:rowOff>12700</xdr:rowOff>
        </xdr:from>
        <xdr:to>
          <xdr:col>3</xdr:col>
          <xdr:colOff>527050</xdr:colOff>
          <xdr:row>83</xdr:row>
          <xdr:rowOff>0</xdr:rowOff>
        </xdr:to>
        <xdr:sp macro="" textlink="">
          <xdr:nvSpPr>
            <xdr:cNvPr id="11330" name="Object 66" hidden="1">
              <a:extLst>
                <a:ext uri="{63B3BB69-23CF-44E3-9099-C40C66FF867C}">
                  <a14:compatExt spid="_x0000_s11330"/>
                </a:ext>
                <a:ext uri="{FF2B5EF4-FFF2-40B4-BE49-F238E27FC236}">
                  <a16:creationId xmlns:a16="http://schemas.microsoft.com/office/drawing/2014/main" id="{00000000-0008-0000-0400-00004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146050</xdr:colOff>
          <xdr:row>82</xdr:row>
          <xdr:rowOff>12700</xdr:rowOff>
        </xdr:from>
        <xdr:to>
          <xdr:col>4</xdr:col>
          <xdr:colOff>495300</xdr:colOff>
          <xdr:row>83</xdr:row>
          <xdr:rowOff>0</xdr:rowOff>
        </xdr:to>
        <xdr:sp macro="" textlink="">
          <xdr:nvSpPr>
            <xdr:cNvPr id="11331" name="Object 67" hidden="1">
              <a:extLst>
                <a:ext uri="{63B3BB69-23CF-44E3-9099-C40C66FF867C}">
                  <a14:compatExt spid="_x0000_s11331"/>
                </a:ext>
                <a:ext uri="{FF2B5EF4-FFF2-40B4-BE49-F238E27FC236}">
                  <a16:creationId xmlns:a16="http://schemas.microsoft.com/office/drawing/2014/main" id="{00000000-0008-0000-0400-00004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190500</xdr:colOff>
          <xdr:row>82</xdr:row>
          <xdr:rowOff>38100</xdr:rowOff>
        </xdr:from>
        <xdr:to>
          <xdr:col>5</xdr:col>
          <xdr:colOff>431800</xdr:colOff>
          <xdr:row>82</xdr:row>
          <xdr:rowOff>304800</xdr:rowOff>
        </xdr:to>
        <xdr:sp macro="" textlink="">
          <xdr:nvSpPr>
            <xdr:cNvPr id="11332" name="Object 68" hidden="1">
              <a:extLst>
                <a:ext uri="{63B3BB69-23CF-44E3-9099-C40C66FF867C}">
                  <a14:compatExt spid="_x0000_s11332"/>
                </a:ext>
                <a:ext uri="{FF2B5EF4-FFF2-40B4-BE49-F238E27FC236}">
                  <a16:creationId xmlns:a16="http://schemas.microsoft.com/office/drawing/2014/main" id="{00000000-0008-0000-0400-00004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69850</xdr:colOff>
          <xdr:row>82</xdr:row>
          <xdr:rowOff>50800</xdr:rowOff>
        </xdr:from>
        <xdr:to>
          <xdr:col>6</xdr:col>
          <xdr:colOff>323850</xdr:colOff>
          <xdr:row>82</xdr:row>
          <xdr:rowOff>304800</xdr:rowOff>
        </xdr:to>
        <xdr:sp macro="" textlink="">
          <xdr:nvSpPr>
            <xdr:cNvPr id="11333" name="Object 69" hidden="1">
              <a:extLst>
                <a:ext uri="{63B3BB69-23CF-44E3-9099-C40C66FF867C}">
                  <a14:compatExt spid="_x0000_s11333"/>
                </a:ext>
                <a:ext uri="{FF2B5EF4-FFF2-40B4-BE49-F238E27FC236}">
                  <a16:creationId xmlns:a16="http://schemas.microsoft.com/office/drawing/2014/main" id="{00000000-0008-0000-0400-00004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12700</xdr:colOff>
          <xdr:row>103</xdr:row>
          <xdr:rowOff>19050</xdr:rowOff>
        </xdr:from>
        <xdr:to>
          <xdr:col>1</xdr:col>
          <xdr:colOff>336550</xdr:colOff>
          <xdr:row>103</xdr:row>
          <xdr:rowOff>317500</xdr:rowOff>
        </xdr:to>
        <xdr:sp macro="" textlink="">
          <xdr:nvSpPr>
            <xdr:cNvPr id="11334" name="Object 70" hidden="1">
              <a:extLst>
                <a:ext uri="{63B3BB69-23CF-44E3-9099-C40C66FF867C}">
                  <a14:compatExt spid="_x0000_s11334"/>
                </a:ext>
                <a:ext uri="{FF2B5EF4-FFF2-40B4-BE49-F238E27FC236}">
                  <a16:creationId xmlns:a16="http://schemas.microsoft.com/office/drawing/2014/main" id="{00000000-0008-0000-0400-00004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190500</xdr:colOff>
          <xdr:row>82</xdr:row>
          <xdr:rowOff>0</xdr:rowOff>
        </xdr:from>
        <xdr:to>
          <xdr:col>7</xdr:col>
          <xdr:colOff>381000</xdr:colOff>
          <xdr:row>83</xdr:row>
          <xdr:rowOff>0</xdr:rowOff>
        </xdr:to>
        <xdr:sp macro="" textlink="">
          <xdr:nvSpPr>
            <xdr:cNvPr id="11335" name="Object 71" hidden="1">
              <a:extLst>
                <a:ext uri="{63B3BB69-23CF-44E3-9099-C40C66FF867C}">
                  <a14:compatExt spid="_x0000_s11335"/>
                </a:ext>
                <a:ext uri="{FF2B5EF4-FFF2-40B4-BE49-F238E27FC236}">
                  <a16:creationId xmlns:a16="http://schemas.microsoft.com/office/drawing/2014/main" id="{00000000-0008-0000-0400-00004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260350</xdr:colOff>
          <xdr:row>97</xdr:row>
          <xdr:rowOff>38100</xdr:rowOff>
        </xdr:from>
        <xdr:to>
          <xdr:col>3</xdr:col>
          <xdr:colOff>647700</xdr:colOff>
          <xdr:row>97</xdr:row>
          <xdr:rowOff>374650</xdr:rowOff>
        </xdr:to>
        <xdr:sp macro="" textlink="">
          <xdr:nvSpPr>
            <xdr:cNvPr id="11336" name="Object 72" hidden="1">
              <a:extLst>
                <a:ext uri="{63B3BB69-23CF-44E3-9099-C40C66FF867C}">
                  <a14:compatExt spid="_x0000_s11336"/>
                </a:ext>
                <a:ext uri="{FF2B5EF4-FFF2-40B4-BE49-F238E27FC236}">
                  <a16:creationId xmlns:a16="http://schemas.microsoft.com/office/drawing/2014/main" id="{00000000-0008-0000-0400-00004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95250</xdr:colOff>
          <xdr:row>97</xdr:row>
          <xdr:rowOff>31750</xdr:rowOff>
        </xdr:from>
        <xdr:to>
          <xdr:col>4</xdr:col>
          <xdr:colOff>374650</xdr:colOff>
          <xdr:row>97</xdr:row>
          <xdr:rowOff>400050</xdr:rowOff>
        </xdr:to>
        <xdr:sp macro="" textlink="">
          <xdr:nvSpPr>
            <xdr:cNvPr id="11337" name="Object 73" hidden="1">
              <a:extLst>
                <a:ext uri="{63B3BB69-23CF-44E3-9099-C40C66FF867C}">
                  <a14:compatExt spid="_x0000_s11337"/>
                </a:ext>
                <a:ext uri="{FF2B5EF4-FFF2-40B4-BE49-F238E27FC236}">
                  <a16:creationId xmlns:a16="http://schemas.microsoft.com/office/drawing/2014/main" id="{00000000-0008-0000-0400-00004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88900</xdr:colOff>
          <xdr:row>97</xdr:row>
          <xdr:rowOff>76200</xdr:rowOff>
        </xdr:from>
        <xdr:to>
          <xdr:col>5</xdr:col>
          <xdr:colOff>323850</xdr:colOff>
          <xdr:row>97</xdr:row>
          <xdr:rowOff>342900</xdr:rowOff>
        </xdr:to>
        <xdr:sp macro="" textlink="">
          <xdr:nvSpPr>
            <xdr:cNvPr id="11338" name="Object 74" hidden="1">
              <a:extLst>
                <a:ext uri="{63B3BB69-23CF-44E3-9099-C40C66FF867C}">
                  <a14:compatExt spid="_x0000_s11338"/>
                </a:ext>
                <a:ext uri="{FF2B5EF4-FFF2-40B4-BE49-F238E27FC236}">
                  <a16:creationId xmlns:a16="http://schemas.microsoft.com/office/drawing/2014/main" id="{00000000-0008-0000-0400-00004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69850</xdr:colOff>
          <xdr:row>97</xdr:row>
          <xdr:rowOff>88900</xdr:rowOff>
        </xdr:from>
        <xdr:to>
          <xdr:col>6</xdr:col>
          <xdr:colOff>323850</xdr:colOff>
          <xdr:row>97</xdr:row>
          <xdr:rowOff>342900</xdr:rowOff>
        </xdr:to>
        <xdr:sp macro="" textlink="">
          <xdr:nvSpPr>
            <xdr:cNvPr id="11339" name="Object 75" hidden="1">
              <a:extLst>
                <a:ext uri="{63B3BB69-23CF-44E3-9099-C40C66FF867C}">
                  <a14:compatExt spid="_x0000_s11339"/>
                </a:ext>
                <a:ext uri="{FF2B5EF4-FFF2-40B4-BE49-F238E27FC236}">
                  <a16:creationId xmlns:a16="http://schemas.microsoft.com/office/drawing/2014/main" id="{00000000-0008-0000-0400-00004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69850</xdr:colOff>
          <xdr:row>97</xdr:row>
          <xdr:rowOff>31750</xdr:rowOff>
        </xdr:from>
        <xdr:to>
          <xdr:col>7</xdr:col>
          <xdr:colOff>260350</xdr:colOff>
          <xdr:row>97</xdr:row>
          <xdr:rowOff>393700</xdr:rowOff>
        </xdr:to>
        <xdr:sp macro="" textlink="">
          <xdr:nvSpPr>
            <xdr:cNvPr id="11340" name="Object 76" hidden="1">
              <a:extLst>
                <a:ext uri="{63B3BB69-23CF-44E3-9099-C40C66FF867C}">
                  <a14:compatExt spid="_x0000_s11340"/>
                </a:ext>
                <a:ext uri="{FF2B5EF4-FFF2-40B4-BE49-F238E27FC236}">
                  <a16:creationId xmlns:a16="http://schemas.microsoft.com/office/drawing/2014/main" id="{00000000-0008-0000-0400-00004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109</xdr:row>
          <xdr:rowOff>0</xdr:rowOff>
        </xdr:from>
        <xdr:to>
          <xdr:col>3</xdr:col>
          <xdr:colOff>241300</xdr:colOff>
          <xdr:row>109</xdr:row>
          <xdr:rowOff>0</xdr:rowOff>
        </xdr:to>
        <xdr:sp macro="" textlink="">
          <xdr:nvSpPr>
            <xdr:cNvPr id="11341" name="Object 77" hidden="1">
              <a:extLst>
                <a:ext uri="{63B3BB69-23CF-44E3-9099-C40C66FF867C}">
                  <a14:compatExt spid="_x0000_s11341"/>
                </a:ext>
                <a:ext uri="{FF2B5EF4-FFF2-40B4-BE49-F238E27FC236}">
                  <a16:creationId xmlns:a16="http://schemas.microsoft.com/office/drawing/2014/main" id="{00000000-0008-0000-0400-00004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109</xdr:row>
          <xdr:rowOff>0</xdr:rowOff>
        </xdr:from>
        <xdr:to>
          <xdr:col>4</xdr:col>
          <xdr:colOff>260350</xdr:colOff>
          <xdr:row>109</xdr:row>
          <xdr:rowOff>0</xdr:rowOff>
        </xdr:to>
        <xdr:sp macro="" textlink="">
          <xdr:nvSpPr>
            <xdr:cNvPr id="11342" name="Object 78" hidden="1">
              <a:extLst>
                <a:ext uri="{63B3BB69-23CF-44E3-9099-C40C66FF867C}">
                  <a14:compatExt spid="_x0000_s11342"/>
                </a:ext>
                <a:ext uri="{FF2B5EF4-FFF2-40B4-BE49-F238E27FC236}">
                  <a16:creationId xmlns:a16="http://schemas.microsoft.com/office/drawing/2014/main" id="{00000000-0008-0000-0400-00004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109</xdr:row>
          <xdr:rowOff>0</xdr:rowOff>
        </xdr:from>
        <xdr:to>
          <xdr:col>5</xdr:col>
          <xdr:colOff>146050</xdr:colOff>
          <xdr:row>109</xdr:row>
          <xdr:rowOff>0</xdr:rowOff>
        </xdr:to>
        <xdr:sp macro="" textlink="">
          <xdr:nvSpPr>
            <xdr:cNvPr id="11343" name="Object 79" hidden="1">
              <a:extLst>
                <a:ext uri="{63B3BB69-23CF-44E3-9099-C40C66FF867C}">
                  <a14:compatExt spid="_x0000_s11343"/>
                </a:ext>
                <a:ext uri="{FF2B5EF4-FFF2-40B4-BE49-F238E27FC236}">
                  <a16:creationId xmlns:a16="http://schemas.microsoft.com/office/drawing/2014/main" id="{00000000-0008-0000-0400-00004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109</xdr:row>
          <xdr:rowOff>0</xdr:rowOff>
        </xdr:from>
        <xdr:to>
          <xdr:col>6</xdr:col>
          <xdr:colOff>165100</xdr:colOff>
          <xdr:row>109</xdr:row>
          <xdr:rowOff>0</xdr:rowOff>
        </xdr:to>
        <xdr:sp macro="" textlink="">
          <xdr:nvSpPr>
            <xdr:cNvPr id="11344" name="Object 80" hidden="1">
              <a:extLst>
                <a:ext uri="{63B3BB69-23CF-44E3-9099-C40C66FF867C}">
                  <a14:compatExt spid="_x0000_s11344"/>
                </a:ext>
                <a:ext uri="{FF2B5EF4-FFF2-40B4-BE49-F238E27FC236}">
                  <a16:creationId xmlns:a16="http://schemas.microsoft.com/office/drawing/2014/main" id="{00000000-0008-0000-0400-00005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109</xdr:row>
          <xdr:rowOff>0</xdr:rowOff>
        </xdr:from>
        <xdr:to>
          <xdr:col>1</xdr:col>
          <xdr:colOff>247650</xdr:colOff>
          <xdr:row>109</xdr:row>
          <xdr:rowOff>0</xdr:rowOff>
        </xdr:to>
        <xdr:sp macro="" textlink="">
          <xdr:nvSpPr>
            <xdr:cNvPr id="11345" name="Object 81" hidden="1">
              <a:extLst>
                <a:ext uri="{63B3BB69-23CF-44E3-9099-C40C66FF867C}">
                  <a14:compatExt spid="_x0000_s11345"/>
                </a:ext>
                <a:ext uri="{FF2B5EF4-FFF2-40B4-BE49-F238E27FC236}">
                  <a16:creationId xmlns:a16="http://schemas.microsoft.com/office/drawing/2014/main" id="{00000000-0008-0000-0400-00005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109</xdr:row>
          <xdr:rowOff>0</xdr:rowOff>
        </xdr:from>
        <xdr:to>
          <xdr:col>3</xdr:col>
          <xdr:colOff>241300</xdr:colOff>
          <xdr:row>109</xdr:row>
          <xdr:rowOff>0</xdr:rowOff>
        </xdr:to>
        <xdr:sp macro="" textlink="">
          <xdr:nvSpPr>
            <xdr:cNvPr id="11346" name="Object 82" hidden="1">
              <a:extLst>
                <a:ext uri="{63B3BB69-23CF-44E3-9099-C40C66FF867C}">
                  <a14:compatExt spid="_x0000_s11346"/>
                </a:ext>
                <a:ext uri="{FF2B5EF4-FFF2-40B4-BE49-F238E27FC236}">
                  <a16:creationId xmlns:a16="http://schemas.microsoft.com/office/drawing/2014/main" id="{00000000-0008-0000-0400-00005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109</xdr:row>
          <xdr:rowOff>0</xdr:rowOff>
        </xdr:from>
        <xdr:to>
          <xdr:col>4</xdr:col>
          <xdr:colOff>260350</xdr:colOff>
          <xdr:row>109</xdr:row>
          <xdr:rowOff>0</xdr:rowOff>
        </xdr:to>
        <xdr:sp macro="" textlink="">
          <xdr:nvSpPr>
            <xdr:cNvPr id="11347" name="Object 83" hidden="1">
              <a:extLst>
                <a:ext uri="{63B3BB69-23CF-44E3-9099-C40C66FF867C}">
                  <a14:compatExt spid="_x0000_s11347"/>
                </a:ext>
                <a:ext uri="{FF2B5EF4-FFF2-40B4-BE49-F238E27FC236}">
                  <a16:creationId xmlns:a16="http://schemas.microsoft.com/office/drawing/2014/main" id="{00000000-0008-0000-0400-00005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109</xdr:row>
          <xdr:rowOff>0</xdr:rowOff>
        </xdr:from>
        <xdr:to>
          <xdr:col>5</xdr:col>
          <xdr:colOff>146050</xdr:colOff>
          <xdr:row>109</xdr:row>
          <xdr:rowOff>0</xdr:rowOff>
        </xdr:to>
        <xdr:sp macro="" textlink="">
          <xdr:nvSpPr>
            <xdr:cNvPr id="11348" name="Object 84" hidden="1">
              <a:extLst>
                <a:ext uri="{63B3BB69-23CF-44E3-9099-C40C66FF867C}">
                  <a14:compatExt spid="_x0000_s11348"/>
                </a:ext>
                <a:ext uri="{FF2B5EF4-FFF2-40B4-BE49-F238E27FC236}">
                  <a16:creationId xmlns:a16="http://schemas.microsoft.com/office/drawing/2014/main" id="{00000000-0008-0000-0400-00005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109</xdr:row>
          <xdr:rowOff>0</xdr:rowOff>
        </xdr:from>
        <xdr:to>
          <xdr:col>6</xdr:col>
          <xdr:colOff>165100</xdr:colOff>
          <xdr:row>109</xdr:row>
          <xdr:rowOff>0</xdr:rowOff>
        </xdr:to>
        <xdr:sp macro="" textlink="">
          <xdr:nvSpPr>
            <xdr:cNvPr id="11349" name="Object 85" hidden="1">
              <a:extLst>
                <a:ext uri="{63B3BB69-23CF-44E3-9099-C40C66FF867C}">
                  <a14:compatExt spid="_x0000_s11349"/>
                </a:ext>
                <a:ext uri="{FF2B5EF4-FFF2-40B4-BE49-F238E27FC236}">
                  <a16:creationId xmlns:a16="http://schemas.microsoft.com/office/drawing/2014/main" id="{00000000-0008-0000-0400-00005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109</xdr:row>
          <xdr:rowOff>0</xdr:rowOff>
        </xdr:from>
        <xdr:to>
          <xdr:col>1</xdr:col>
          <xdr:colOff>247650</xdr:colOff>
          <xdr:row>109</xdr:row>
          <xdr:rowOff>0</xdr:rowOff>
        </xdr:to>
        <xdr:sp macro="" textlink="">
          <xdr:nvSpPr>
            <xdr:cNvPr id="11350" name="Object 86" hidden="1">
              <a:extLst>
                <a:ext uri="{63B3BB69-23CF-44E3-9099-C40C66FF867C}">
                  <a14:compatExt spid="_x0000_s11350"/>
                </a:ext>
                <a:ext uri="{FF2B5EF4-FFF2-40B4-BE49-F238E27FC236}">
                  <a16:creationId xmlns:a16="http://schemas.microsoft.com/office/drawing/2014/main" id="{00000000-0008-0000-0400-00005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109</xdr:row>
          <xdr:rowOff>0</xdr:rowOff>
        </xdr:from>
        <xdr:to>
          <xdr:col>3</xdr:col>
          <xdr:colOff>241300</xdr:colOff>
          <xdr:row>109</xdr:row>
          <xdr:rowOff>0</xdr:rowOff>
        </xdr:to>
        <xdr:sp macro="" textlink="">
          <xdr:nvSpPr>
            <xdr:cNvPr id="11351" name="Object 87" hidden="1">
              <a:extLst>
                <a:ext uri="{63B3BB69-23CF-44E3-9099-C40C66FF867C}">
                  <a14:compatExt spid="_x0000_s11351"/>
                </a:ext>
                <a:ext uri="{FF2B5EF4-FFF2-40B4-BE49-F238E27FC236}">
                  <a16:creationId xmlns:a16="http://schemas.microsoft.com/office/drawing/2014/main" id="{00000000-0008-0000-0400-00005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109</xdr:row>
          <xdr:rowOff>0</xdr:rowOff>
        </xdr:from>
        <xdr:to>
          <xdr:col>4</xdr:col>
          <xdr:colOff>260350</xdr:colOff>
          <xdr:row>109</xdr:row>
          <xdr:rowOff>0</xdr:rowOff>
        </xdr:to>
        <xdr:sp macro="" textlink="">
          <xdr:nvSpPr>
            <xdr:cNvPr id="11352" name="Object 88" hidden="1">
              <a:extLst>
                <a:ext uri="{63B3BB69-23CF-44E3-9099-C40C66FF867C}">
                  <a14:compatExt spid="_x0000_s11352"/>
                </a:ext>
                <a:ext uri="{FF2B5EF4-FFF2-40B4-BE49-F238E27FC236}">
                  <a16:creationId xmlns:a16="http://schemas.microsoft.com/office/drawing/2014/main" id="{00000000-0008-0000-0400-00005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109</xdr:row>
          <xdr:rowOff>0</xdr:rowOff>
        </xdr:from>
        <xdr:to>
          <xdr:col>5</xdr:col>
          <xdr:colOff>146050</xdr:colOff>
          <xdr:row>109</xdr:row>
          <xdr:rowOff>0</xdr:rowOff>
        </xdr:to>
        <xdr:sp macro="" textlink="">
          <xdr:nvSpPr>
            <xdr:cNvPr id="11353" name="Object 89" hidden="1">
              <a:extLst>
                <a:ext uri="{63B3BB69-23CF-44E3-9099-C40C66FF867C}">
                  <a14:compatExt spid="_x0000_s11353"/>
                </a:ext>
                <a:ext uri="{FF2B5EF4-FFF2-40B4-BE49-F238E27FC236}">
                  <a16:creationId xmlns:a16="http://schemas.microsoft.com/office/drawing/2014/main" id="{00000000-0008-0000-0400-00005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109</xdr:row>
          <xdr:rowOff>0</xdr:rowOff>
        </xdr:from>
        <xdr:to>
          <xdr:col>6</xdr:col>
          <xdr:colOff>165100</xdr:colOff>
          <xdr:row>109</xdr:row>
          <xdr:rowOff>0</xdr:rowOff>
        </xdr:to>
        <xdr:sp macro="" textlink="">
          <xdr:nvSpPr>
            <xdr:cNvPr id="11354" name="Object 90" hidden="1">
              <a:extLst>
                <a:ext uri="{63B3BB69-23CF-44E3-9099-C40C66FF867C}">
                  <a14:compatExt spid="_x0000_s11354"/>
                </a:ext>
                <a:ext uri="{FF2B5EF4-FFF2-40B4-BE49-F238E27FC236}">
                  <a16:creationId xmlns:a16="http://schemas.microsoft.com/office/drawing/2014/main" id="{00000000-0008-0000-0400-00005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109</xdr:row>
          <xdr:rowOff>0</xdr:rowOff>
        </xdr:from>
        <xdr:to>
          <xdr:col>1</xdr:col>
          <xdr:colOff>247650</xdr:colOff>
          <xdr:row>109</xdr:row>
          <xdr:rowOff>0</xdr:rowOff>
        </xdr:to>
        <xdr:sp macro="" textlink="">
          <xdr:nvSpPr>
            <xdr:cNvPr id="11355" name="Object 91" hidden="1">
              <a:extLst>
                <a:ext uri="{63B3BB69-23CF-44E3-9099-C40C66FF867C}">
                  <a14:compatExt spid="_x0000_s11355"/>
                </a:ext>
                <a:ext uri="{FF2B5EF4-FFF2-40B4-BE49-F238E27FC236}">
                  <a16:creationId xmlns:a16="http://schemas.microsoft.com/office/drawing/2014/main" id="{00000000-0008-0000-0400-00005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165100</xdr:colOff>
          <xdr:row>110</xdr:row>
          <xdr:rowOff>12700</xdr:rowOff>
        </xdr:from>
        <xdr:to>
          <xdr:col>3</xdr:col>
          <xdr:colOff>527050</xdr:colOff>
          <xdr:row>111</xdr:row>
          <xdr:rowOff>0</xdr:rowOff>
        </xdr:to>
        <xdr:sp macro="" textlink="">
          <xdr:nvSpPr>
            <xdr:cNvPr id="11356" name="Object 92" hidden="1">
              <a:extLst>
                <a:ext uri="{63B3BB69-23CF-44E3-9099-C40C66FF867C}">
                  <a14:compatExt spid="_x0000_s11356"/>
                </a:ext>
                <a:ext uri="{FF2B5EF4-FFF2-40B4-BE49-F238E27FC236}">
                  <a16:creationId xmlns:a16="http://schemas.microsoft.com/office/drawing/2014/main" id="{00000000-0008-0000-0400-00005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146050</xdr:colOff>
          <xdr:row>110</xdr:row>
          <xdr:rowOff>12700</xdr:rowOff>
        </xdr:from>
        <xdr:to>
          <xdr:col>4</xdr:col>
          <xdr:colOff>495300</xdr:colOff>
          <xdr:row>111</xdr:row>
          <xdr:rowOff>0</xdr:rowOff>
        </xdr:to>
        <xdr:sp macro="" textlink="">
          <xdr:nvSpPr>
            <xdr:cNvPr id="11357" name="Object 93" hidden="1">
              <a:extLst>
                <a:ext uri="{63B3BB69-23CF-44E3-9099-C40C66FF867C}">
                  <a14:compatExt spid="_x0000_s11357"/>
                </a:ext>
                <a:ext uri="{FF2B5EF4-FFF2-40B4-BE49-F238E27FC236}">
                  <a16:creationId xmlns:a16="http://schemas.microsoft.com/office/drawing/2014/main" id="{00000000-0008-0000-0400-00005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190500</xdr:colOff>
          <xdr:row>110</xdr:row>
          <xdr:rowOff>38100</xdr:rowOff>
        </xdr:from>
        <xdr:to>
          <xdr:col>5</xdr:col>
          <xdr:colOff>431800</xdr:colOff>
          <xdr:row>110</xdr:row>
          <xdr:rowOff>304800</xdr:rowOff>
        </xdr:to>
        <xdr:sp macro="" textlink="">
          <xdr:nvSpPr>
            <xdr:cNvPr id="11358" name="Object 94" hidden="1">
              <a:extLst>
                <a:ext uri="{63B3BB69-23CF-44E3-9099-C40C66FF867C}">
                  <a14:compatExt spid="_x0000_s11358"/>
                </a:ext>
                <a:ext uri="{FF2B5EF4-FFF2-40B4-BE49-F238E27FC236}">
                  <a16:creationId xmlns:a16="http://schemas.microsoft.com/office/drawing/2014/main" id="{00000000-0008-0000-0400-00005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69850</xdr:colOff>
          <xdr:row>110</xdr:row>
          <xdr:rowOff>50800</xdr:rowOff>
        </xdr:from>
        <xdr:to>
          <xdr:col>6</xdr:col>
          <xdr:colOff>323850</xdr:colOff>
          <xdr:row>110</xdr:row>
          <xdr:rowOff>304800</xdr:rowOff>
        </xdr:to>
        <xdr:sp macro="" textlink="">
          <xdr:nvSpPr>
            <xdr:cNvPr id="11359" name="Object 95" hidden="1">
              <a:extLst>
                <a:ext uri="{63B3BB69-23CF-44E3-9099-C40C66FF867C}">
                  <a14:compatExt spid="_x0000_s11359"/>
                </a:ext>
                <a:ext uri="{FF2B5EF4-FFF2-40B4-BE49-F238E27FC236}">
                  <a16:creationId xmlns:a16="http://schemas.microsoft.com/office/drawing/2014/main" id="{00000000-0008-0000-0400-00005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12700</xdr:colOff>
          <xdr:row>125</xdr:row>
          <xdr:rowOff>19050</xdr:rowOff>
        </xdr:from>
        <xdr:to>
          <xdr:col>1</xdr:col>
          <xdr:colOff>336550</xdr:colOff>
          <xdr:row>125</xdr:row>
          <xdr:rowOff>317500</xdr:rowOff>
        </xdr:to>
        <xdr:sp macro="" textlink="">
          <xdr:nvSpPr>
            <xdr:cNvPr id="11360" name="Object 96" hidden="1">
              <a:extLst>
                <a:ext uri="{63B3BB69-23CF-44E3-9099-C40C66FF867C}">
                  <a14:compatExt spid="_x0000_s11360"/>
                </a:ext>
                <a:ext uri="{FF2B5EF4-FFF2-40B4-BE49-F238E27FC236}">
                  <a16:creationId xmlns:a16="http://schemas.microsoft.com/office/drawing/2014/main" id="{00000000-0008-0000-0400-00006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190500</xdr:colOff>
          <xdr:row>110</xdr:row>
          <xdr:rowOff>0</xdr:rowOff>
        </xdr:from>
        <xdr:to>
          <xdr:col>7</xdr:col>
          <xdr:colOff>381000</xdr:colOff>
          <xdr:row>111</xdr:row>
          <xdr:rowOff>0</xdr:rowOff>
        </xdr:to>
        <xdr:sp macro="" textlink="">
          <xdr:nvSpPr>
            <xdr:cNvPr id="11361" name="Object 97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4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260350</xdr:colOff>
          <xdr:row>118</xdr:row>
          <xdr:rowOff>38100</xdr:rowOff>
        </xdr:from>
        <xdr:to>
          <xdr:col>3</xdr:col>
          <xdr:colOff>647700</xdr:colOff>
          <xdr:row>118</xdr:row>
          <xdr:rowOff>374650</xdr:rowOff>
        </xdr:to>
        <xdr:sp macro="" textlink="">
          <xdr:nvSpPr>
            <xdr:cNvPr id="11362" name="Object 98" hidden="1">
              <a:extLst>
                <a:ext uri="{63B3BB69-23CF-44E3-9099-C40C66FF867C}">
                  <a14:compatExt spid="_x0000_s11362"/>
                </a:ext>
                <a:ext uri="{FF2B5EF4-FFF2-40B4-BE49-F238E27FC236}">
                  <a16:creationId xmlns:a16="http://schemas.microsoft.com/office/drawing/2014/main" id="{00000000-0008-0000-0400-00006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95250</xdr:colOff>
          <xdr:row>118</xdr:row>
          <xdr:rowOff>31750</xdr:rowOff>
        </xdr:from>
        <xdr:to>
          <xdr:col>4</xdr:col>
          <xdr:colOff>374650</xdr:colOff>
          <xdr:row>118</xdr:row>
          <xdr:rowOff>400050</xdr:rowOff>
        </xdr:to>
        <xdr:sp macro="" textlink="">
          <xdr:nvSpPr>
            <xdr:cNvPr id="11363" name="Object 99" hidden="1">
              <a:extLst>
                <a:ext uri="{63B3BB69-23CF-44E3-9099-C40C66FF867C}">
                  <a14:compatExt spid="_x0000_s11363"/>
                </a:ext>
                <a:ext uri="{FF2B5EF4-FFF2-40B4-BE49-F238E27FC236}">
                  <a16:creationId xmlns:a16="http://schemas.microsoft.com/office/drawing/2014/main" id="{00000000-0008-0000-0400-00006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88900</xdr:colOff>
          <xdr:row>118</xdr:row>
          <xdr:rowOff>76200</xdr:rowOff>
        </xdr:from>
        <xdr:to>
          <xdr:col>5</xdr:col>
          <xdr:colOff>323850</xdr:colOff>
          <xdr:row>118</xdr:row>
          <xdr:rowOff>342900</xdr:rowOff>
        </xdr:to>
        <xdr:sp macro="" textlink="">
          <xdr:nvSpPr>
            <xdr:cNvPr id="11364" name="Object 100" hidden="1">
              <a:extLst>
                <a:ext uri="{63B3BB69-23CF-44E3-9099-C40C66FF867C}">
                  <a14:compatExt spid="_x0000_s11364"/>
                </a:ext>
                <a:ext uri="{FF2B5EF4-FFF2-40B4-BE49-F238E27FC236}">
                  <a16:creationId xmlns:a16="http://schemas.microsoft.com/office/drawing/2014/main" id="{00000000-0008-0000-0400-00006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69850</xdr:colOff>
          <xdr:row>118</xdr:row>
          <xdr:rowOff>88900</xdr:rowOff>
        </xdr:from>
        <xdr:to>
          <xdr:col>6</xdr:col>
          <xdr:colOff>323850</xdr:colOff>
          <xdr:row>118</xdr:row>
          <xdr:rowOff>342900</xdr:rowOff>
        </xdr:to>
        <xdr:sp macro="" textlink="">
          <xdr:nvSpPr>
            <xdr:cNvPr id="11365" name="Object 101" hidden="1">
              <a:extLst>
                <a:ext uri="{63B3BB69-23CF-44E3-9099-C40C66FF867C}">
                  <a14:compatExt spid="_x0000_s11365"/>
                </a:ext>
                <a:ext uri="{FF2B5EF4-FFF2-40B4-BE49-F238E27FC236}">
                  <a16:creationId xmlns:a16="http://schemas.microsoft.com/office/drawing/2014/main" id="{00000000-0008-0000-0400-00006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69850</xdr:colOff>
          <xdr:row>118</xdr:row>
          <xdr:rowOff>31750</xdr:rowOff>
        </xdr:from>
        <xdr:to>
          <xdr:col>7</xdr:col>
          <xdr:colOff>260350</xdr:colOff>
          <xdr:row>118</xdr:row>
          <xdr:rowOff>393700</xdr:rowOff>
        </xdr:to>
        <xdr:sp macro="" textlink="">
          <xdr:nvSpPr>
            <xdr:cNvPr id="11366" name="Object 102" hidden="1">
              <a:extLst>
                <a:ext uri="{63B3BB69-23CF-44E3-9099-C40C66FF867C}">
                  <a14:compatExt spid="_x0000_s11366"/>
                </a:ext>
                <a:ext uri="{FF2B5EF4-FFF2-40B4-BE49-F238E27FC236}">
                  <a16:creationId xmlns:a16="http://schemas.microsoft.com/office/drawing/2014/main" id="{00000000-0008-0000-0400-00006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1505" name="Picture 1">
          <a:extLst>
            <a:ext uri="{FF2B5EF4-FFF2-40B4-BE49-F238E27FC236}">
              <a16:creationId xmlns:a16="http://schemas.microsoft.com/office/drawing/2014/main" id="{00000000-0008-0000-0C00-0000015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906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21506" name="Picture 2">
          <a:extLst>
            <a:ext uri="{FF2B5EF4-FFF2-40B4-BE49-F238E27FC236}">
              <a16:creationId xmlns:a16="http://schemas.microsoft.com/office/drawing/2014/main" id="{00000000-0008-0000-0C00-0000025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6210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21507" name="Picture 3">
          <a:extLst>
            <a:ext uri="{FF2B5EF4-FFF2-40B4-BE49-F238E27FC236}">
              <a16:creationId xmlns:a16="http://schemas.microsoft.com/office/drawing/2014/main" id="{00000000-0008-0000-0C00-0000035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003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21508" name="Picture 4">
          <a:extLst>
            <a:ext uri="{FF2B5EF4-FFF2-40B4-BE49-F238E27FC236}">
              <a16:creationId xmlns:a16="http://schemas.microsoft.com/office/drawing/2014/main" id="{00000000-0008-0000-0C00-0000045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28875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79375</xdr:colOff>
      <xdr:row>17</xdr:row>
      <xdr:rowOff>3175</xdr:rowOff>
    </xdr:from>
    <xdr:to>
      <xdr:col>1</xdr:col>
      <xdr:colOff>546100</xdr:colOff>
      <xdr:row>18</xdr:row>
      <xdr:rowOff>15875</xdr:rowOff>
    </xdr:to>
    <xdr:pic>
      <xdr:nvPicPr>
        <xdr:cNvPr id="21509" name="Picture 5">
          <a:extLst>
            <a:ext uri="{FF2B5EF4-FFF2-40B4-BE49-F238E27FC236}">
              <a16:creationId xmlns:a16="http://schemas.microsoft.com/office/drawing/2014/main" id="{00000000-0008-0000-0C00-0000055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3349625"/>
          <a:ext cx="466725" cy="187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82550</xdr:colOff>
      <xdr:row>20</xdr:row>
      <xdr:rowOff>127000</xdr:rowOff>
    </xdr:from>
    <xdr:to>
      <xdr:col>1</xdr:col>
      <xdr:colOff>530225</xdr:colOff>
      <xdr:row>21</xdr:row>
      <xdr:rowOff>174625</xdr:rowOff>
    </xdr:to>
    <xdr:pic>
      <xdr:nvPicPr>
        <xdr:cNvPr id="21510" name="Picture 6">
          <a:extLst>
            <a:ext uri="{FF2B5EF4-FFF2-40B4-BE49-F238E27FC236}">
              <a16:creationId xmlns:a16="http://schemas.microsoft.com/office/drawing/2014/main" id="{00000000-0008-0000-0C00-0000065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150" y="3841750"/>
          <a:ext cx="447675" cy="222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25</xdr:row>
      <xdr:rowOff>0</xdr:rowOff>
    </xdr:from>
    <xdr:to>
      <xdr:col>1</xdr:col>
      <xdr:colOff>552450</xdr:colOff>
      <xdr:row>26</xdr:row>
      <xdr:rowOff>47625</xdr:rowOff>
    </xdr:to>
    <xdr:pic>
      <xdr:nvPicPr>
        <xdr:cNvPr id="21511" name="Picture 7">
          <a:extLst>
            <a:ext uri="{FF2B5EF4-FFF2-40B4-BE49-F238E27FC236}">
              <a16:creationId xmlns:a16="http://schemas.microsoft.com/office/drawing/2014/main" id="{00000000-0008-0000-0C00-0000075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577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22</xdr:row>
      <xdr:rowOff>180975</xdr:rowOff>
    </xdr:from>
    <xdr:to>
      <xdr:col>1</xdr:col>
      <xdr:colOff>552450</xdr:colOff>
      <xdr:row>24</xdr:row>
      <xdr:rowOff>19050</xdr:rowOff>
    </xdr:to>
    <xdr:pic>
      <xdr:nvPicPr>
        <xdr:cNvPr id="21512" name="Picture 8">
          <a:extLst>
            <a:ext uri="{FF2B5EF4-FFF2-40B4-BE49-F238E27FC236}">
              <a16:creationId xmlns:a16="http://schemas.microsoft.com/office/drawing/2014/main" id="{00000000-0008-0000-0C00-0000085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196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21513" name="Picture 9">
          <a:extLst>
            <a:ext uri="{FF2B5EF4-FFF2-40B4-BE49-F238E27FC236}">
              <a16:creationId xmlns:a16="http://schemas.microsoft.com/office/drawing/2014/main" id="{00000000-0008-0000-0C00-0000095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1930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69850</xdr:colOff>
          <xdr:row>18</xdr:row>
          <xdr:rowOff>165100</xdr:rowOff>
        </xdr:from>
        <xdr:to>
          <xdr:col>1</xdr:col>
          <xdr:colOff>533400</xdr:colOff>
          <xdr:row>19</xdr:row>
          <xdr:rowOff>165100</xdr:rowOff>
        </xdr:to>
        <xdr:sp macro="" textlink="">
          <xdr:nvSpPr>
            <xdr:cNvPr id="21514" name="Object 10" hidden="1">
              <a:extLst>
                <a:ext uri="{63B3BB69-23CF-44E3-9099-C40C66FF867C}">
                  <a14:compatExt spid="_x0000_s21514"/>
                </a:ext>
                <a:ext uri="{FF2B5EF4-FFF2-40B4-BE49-F238E27FC236}">
                  <a16:creationId xmlns:a16="http://schemas.microsoft.com/office/drawing/2014/main" id="{00000000-0008-0000-0C00-00000A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01377" name="Picture 1">
          <a:extLst>
            <a:ext uri="{FF2B5EF4-FFF2-40B4-BE49-F238E27FC236}">
              <a16:creationId xmlns:a16="http://schemas.microsoft.com/office/drawing/2014/main" id="{00000000-0008-0000-0E00-0000018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906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101378" name="Picture 2">
          <a:extLst>
            <a:ext uri="{FF2B5EF4-FFF2-40B4-BE49-F238E27FC236}">
              <a16:creationId xmlns:a16="http://schemas.microsoft.com/office/drawing/2014/main" id="{00000000-0008-0000-0E00-0000028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6210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101379" name="Picture 3">
          <a:extLst>
            <a:ext uri="{FF2B5EF4-FFF2-40B4-BE49-F238E27FC236}">
              <a16:creationId xmlns:a16="http://schemas.microsoft.com/office/drawing/2014/main" id="{00000000-0008-0000-0E00-0000038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003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101380" name="Picture 4">
          <a:extLst>
            <a:ext uri="{FF2B5EF4-FFF2-40B4-BE49-F238E27FC236}">
              <a16:creationId xmlns:a16="http://schemas.microsoft.com/office/drawing/2014/main" id="{00000000-0008-0000-0E00-0000048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28875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01381" name="Picture 5">
          <a:extLst>
            <a:ext uri="{FF2B5EF4-FFF2-40B4-BE49-F238E27FC236}">
              <a16:creationId xmlns:a16="http://schemas.microsoft.com/office/drawing/2014/main" id="{00000000-0008-0000-0E00-0000058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1945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01382" name="Picture 6">
          <a:extLst>
            <a:ext uri="{FF2B5EF4-FFF2-40B4-BE49-F238E27FC236}">
              <a16:creationId xmlns:a16="http://schemas.microsoft.com/office/drawing/2014/main" id="{00000000-0008-0000-0E00-0000068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386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01383" name="Picture 7">
          <a:extLst>
            <a:ext uri="{FF2B5EF4-FFF2-40B4-BE49-F238E27FC236}">
              <a16:creationId xmlns:a16="http://schemas.microsoft.com/office/drawing/2014/main" id="{00000000-0008-0000-0E00-0000078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577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0</xdr:rowOff>
    </xdr:to>
    <xdr:pic>
      <xdr:nvPicPr>
        <xdr:cNvPr id="101384" name="Picture 8">
          <a:extLst>
            <a:ext uri="{FF2B5EF4-FFF2-40B4-BE49-F238E27FC236}">
              <a16:creationId xmlns:a16="http://schemas.microsoft.com/office/drawing/2014/main" id="{00000000-0008-0000-0E00-0000088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196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101385" name="Picture 9">
          <a:extLst>
            <a:ext uri="{FF2B5EF4-FFF2-40B4-BE49-F238E27FC236}">
              <a16:creationId xmlns:a16="http://schemas.microsoft.com/office/drawing/2014/main" id="{00000000-0008-0000-0E00-0000098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1930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12700</xdr:rowOff>
        </xdr:from>
        <xdr:to>
          <xdr:col>1</xdr:col>
          <xdr:colOff>527050</xdr:colOff>
          <xdr:row>19</xdr:row>
          <xdr:rowOff>12700</xdr:rowOff>
        </xdr:to>
        <xdr:sp macro="" textlink="">
          <xdr:nvSpPr>
            <xdr:cNvPr id="101386" name="Object 10" hidden="1">
              <a:extLst>
                <a:ext uri="{63B3BB69-23CF-44E3-9099-C40C66FF867C}">
                  <a14:compatExt spid="_x0000_s101386"/>
                </a:ext>
                <a:ext uri="{FF2B5EF4-FFF2-40B4-BE49-F238E27FC236}">
                  <a16:creationId xmlns:a16="http://schemas.microsoft.com/office/drawing/2014/main" id="{00000000-0008-0000-0E00-00000A8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45409" name="Picture 1">
          <a:extLst>
            <a:ext uri="{FF2B5EF4-FFF2-40B4-BE49-F238E27FC236}">
              <a16:creationId xmlns:a16="http://schemas.microsoft.com/office/drawing/2014/main" id="{00000000-0008-0000-1000-0000013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906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145410" name="Picture 2">
          <a:extLst>
            <a:ext uri="{FF2B5EF4-FFF2-40B4-BE49-F238E27FC236}">
              <a16:creationId xmlns:a16="http://schemas.microsoft.com/office/drawing/2014/main" id="{00000000-0008-0000-1000-0000023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6210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145411" name="Picture 3">
          <a:extLst>
            <a:ext uri="{FF2B5EF4-FFF2-40B4-BE49-F238E27FC236}">
              <a16:creationId xmlns:a16="http://schemas.microsoft.com/office/drawing/2014/main" id="{00000000-0008-0000-1000-0000033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003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145412" name="Picture 4">
          <a:extLst>
            <a:ext uri="{FF2B5EF4-FFF2-40B4-BE49-F238E27FC236}">
              <a16:creationId xmlns:a16="http://schemas.microsoft.com/office/drawing/2014/main" id="{00000000-0008-0000-1000-0000043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28875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45413" name="Picture 5">
          <a:extLst>
            <a:ext uri="{FF2B5EF4-FFF2-40B4-BE49-F238E27FC236}">
              <a16:creationId xmlns:a16="http://schemas.microsoft.com/office/drawing/2014/main" id="{00000000-0008-0000-1000-0000053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1945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45414" name="Picture 6">
          <a:extLst>
            <a:ext uri="{FF2B5EF4-FFF2-40B4-BE49-F238E27FC236}">
              <a16:creationId xmlns:a16="http://schemas.microsoft.com/office/drawing/2014/main" id="{00000000-0008-0000-1000-0000063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386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26</xdr:row>
      <xdr:rowOff>0</xdr:rowOff>
    </xdr:from>
    <xdr:to>
      <xdr:col>1</xdr:col>
      <xdr:colOff>552450</xdr:colOff>
      <xdr:row>27</xdr:row>
      <xdr:rowOff>57150</xdr:rowOff>
    </xdr:to>
    <xdr:pic>
      <xdr:nvPicPr>
        <xdr:cNvPr id="145415" name="Picture 7">
          <a:extLst>
            <a:ext uri="{FF2B5EF4-FFF2-40B4-BE49-F238E27FC236}">
              <a16:creationId xmlns:a16="http://schemas.microsoft.com/office/drawing/2014/main" id="{00000000-0008-0000-1000-0000073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5257800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0</xdr:rowOff>
    </xdr:to>
    <xdr:pic>
      <xdr:nvPicPr>
        <xdr:cNvPr id="145416" name="Picture 8">
          <a:extLst>
            <a:ext uri="{FF2B5EF4-FFF2-40B4-BE49-F238E27FC236}">
              <a16:creationId xmlns:a16="http://schemas.microsoft.com/office/drawing/2014/main" id="{00000000-0008-0000-1000-0000083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196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145417" name="Picture 9">
          <a:extLst>
            <a:ext uri="{FF2B5EF4-FFF2-40B4-BE49-F238E27FC236}">
              <a16:creationId xmlns:a16="http://schemas.microsoft.com/office/drawing/2014/main" id="{00000000-0008-0000-1000-0000093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1930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88900</xdr:colOff>
          <xdr:row>18</xdr:row>
          <xdr:rowOff>12700</xdr:rowOff>
        </xdr:from>
        <xdr:to>
          <xdr:col>1</xdr:col>
          <xdr:colOff>552450</xdr:colOff>
          <xdr:row>19</xdr:row>
          <xdr:rowOff>12700</xdr:rowOff>
        </xdr:to>
        <xdr:sp macro="" textlink="">
          <xdr:nvSpPr>
            <xdr:cNvPr id="145418" name="Object 10" hidden="1">
              <a:extLst>
                <a:ext uri="{63B3BB69-23CF-44E3-9099-C40C66FF867C}">
                  <a14:compatExt spid="_x0000_s145418"/>
                </a:ext>
                <a:ext uri="{FF2B5EF4-FFF2-40B4-BE49-F238E27FC236}">
                  <a16:creationId xmlns:a16="http://schemas.microsoft.com/office/drawing/2014/main" id="{00000000-0008-0000-1000-00000A3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311297" name="Picture 1">
          <a:extLst>
            <a:ext uri="{FF2B5EF4-FFF2-40B4-BE49-F238E27FC236}">
              <a16:creationId xmlns:a16="http://schemas.microsoft.com/office/drawing/2014/main" id="{00000000-0008-0000-1200-000001C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906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8</xdr:row>
      <xdr:rowOff>190500</xdr:rowOff>
    </xdr:to>
    <xdr:pic>
      <xdr:nvPicPr>
        <xdr:cNvPr id="311298" name="Picture 2">
          <a:extLst>
            <a:ext uri="{FF2B5EF4-FFF2-40B4-BE49-F238E27FC236}">
              <a16:creationId xmlns:a16="http://schemas.microsoft.com/office/drawing/2014/main" id="{00000000-0008-0000-1200-000002C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6210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311299" name="Picture 3">
          <a:extLst>
            <a:ext uri="{FF2B5EF4-FFF2-40B4-BE49-F238E27FC236}">
              <a16:creationId xmlns:a16="http://schemas.microsoft.com/office/drawing/2014/main" id="{00000000-0008-0000-1200-000003C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003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311300" name="Picture 4">
          <a:extLst>
            <a:ext uri="{FF2B5EF4-FFF2-40B4-BE49-F238E27FC236}">
              <a16:creationId xmlns:a16="http://schemas.microsoft.com/office/drawing/2014/main" id="{00000000-0008-0000-1200-000004C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28875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11301" name="Picture 5">
          <a:extLst>
            <a:ext uri="{FF2B5EF4-FFF2-40B4-BE49-F238E27FC236}">
              <a16:creationId xmlns:a16="http://schemas.microsoft.com/office/drawing/2014/main" id="{00000000-0008-0000-1200-000005C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1945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11302" name="Picture 6">
          <a:extLst>
            <a:ext uri="{FF2B5EF4-FFF2-40B4-BE49-F238E27FC236}">
              <a16:creationId xmlns:a16="http://schemas.microsoft.com/office/drawing/2014/main" id="{00000000-0008-0000-1200-000006C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386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26</xdr:row>
      <xdr:rowOff>0</xdr:rowOff>
    </xdr:from>
    <xdr:to>
      <xdr:col>1</xdr:col>
      <xdr:colOff>552450</xdr:colOff>
      <xdr:row>27</xdr:row>
      <xdr:rowOff>57150</xdr:rowOff>
    </xdr:to>
    <xdr:pic>
      <xdr:nvPicPr>
        <xdr:cNvPr id="311303" name="Picture 7">
          <a:extLst>
            <a:ext uri="{FF2B5EF4-FFF2-40B4-BE49-F238E27FC236}">
              <a16:creationId xmlns:a16="http://schemas.microsoft.com/office/drawing/2014/main" id="{00000000-0008-0000-1200-000007C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5257800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0</xdr:rowOff>
    </xdr:to>
    <xdr:pic>
      <xdr:nvPicPr>
        <xdr:cNvPr id="311304" name="Picture 8">
          <a:extLst>
            <a:ext uri="{FF2B5EF4-FFF2-40B4-BE49-F238E27FC236}">
              <a16:creationId xmlns:a16="http://schemas.microsoft.com/office/drawing/2014/main" id="{00000000-0008-0000-1200-000008C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196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311305" name="Picture 9">
          <a:extLst>
            <a:ext uri="{FF2B5EF4-FFF2-40B4-BE49-F238E27FC236}">
              <a16:creationId xmlns:a16="http://schemas.microsoft.com/office/drawing/2014/main" id="{00000000-0008-0000-1200-000009C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1930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171450</xdr:rowOff>
        </xdr:from>
        <xdr:to>
          <xdr:col>1</xdr:col>
          <xdr:colOff>527050</xdr:colOff>
          <xdr:row>19</xdr:row>
          <xdr:rowOff>171450</xdr:rowOff>
        </xdr:to>
        <xdr:sp macro="" textlink="">
          <xdr:nvSpPr>
            <xdr:cNvPr id="311306" name="Object 10" hidden="1">
              <a:extLst>
                <a:ext uri="{63B3BB69-23CF-44E3-9099-C40C66FF867C}">
                  <a14:compatExt spid="_x0000_s311306"/>
                </a:ext>
                <a:ext uri="{FF2B5EF4-FFF2-40B4-BE49-F238E27FC236}">
                  <a16:creationId xmlns:a16="http://schemas.microsoft.com/office/drawing/2014/main" id="{00000000-0008-0000-1200-00000AC0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02401" name="Picture 1">
          <a:extLst>
            <a:ext uri="{FF2B5EF4-FFF2-40B4-BE49-F238E27FC236}">
              <a16:creationId xmlns:a16="http://schemas.microsoft.com/office/drawing/2014/main" id="{00000000-0008-0000-1400-0000019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906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102402" name="Picture 2">
          <a:extLst>
            <a:ext uri="{FF2B5EF4-FFF2-40B4-BE49-F238E27FC236}">
              <a16:creationId xmlns:a16="http://schemas.microsoft.com/office/drawing/2014/main" id="{00000000-0008-0000-1400-0000029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6210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102403" name="Picture 3">
          <a:extLst>
            <a:ext uri="{FF2B5EF4-FFF2-40B4-BE49-F238E27FC236}">
              <a16:creationId xmlns:a16="http://schemas.microsoft.com/office/drawing/2014/main" id="{00000000-0008-0000-1400-0000039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003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102404" name="Picture 4">
          <a:extLst>
            <a:ext uri="{FF2B5EF4-FFF2-40B4-BE49-F238E27FC236}">
              <a16:creationId xmlns:a16="http://schemas.microsoft.com/office/drawing/2014/main" id="{00000000-0008-0000-1400-0000049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28875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02405" name="Picture 5">
          <a:extLst>
            <a:ext uri="{FF2B5EF4-FFF2-40B4-BE49-F238E27FC236}">
              <a16:creationId xmlns:a16="http://schemas.microsoft.com/office/drawing/2014/main" id="{00000000-0008-0000-1400-0000059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1945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02406" name="Picture 6">
          <a:extLst>
            <a:ext uri="{FF2B5EF4-FFF2-40B4-BE49-F238E27FC236}">
              <a16:creationId xmlns:a16="http://schemas.microsoft.com/office/drawing/2014/main" id="{00000000-0008-0000-1400-0000069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386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26</xdr:row>
      <xdr:rowOff>0</xdr:rowOff>
    </xdr:from>
    <xdr:to>
      <xdr:col>1</xdr:col>
      <xdr:colOff>552450</xdr:colOff>
      <xdr:row>27</xdr:row>
      <xdr:rowOff>57150</xdr:rowOff>
    </xdr:to>
    <xdr:pic>
      <xdr:nvPicPr>
        <xdr:cNvPr id="102407" name="Picture 7">
          <a:extLst>
            <a:ext uri="{FF2B5EF4-FFF2-40B4-BE49-F238E27FC236}">
              <a16:creationId xmlns:a16="http://schemas.microsoft.com/office/drawing/2014/main" id="{00000000-0008-0000-1400-0000079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5257800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0</xdr:rowOff>
    </xdr:to>
    <xdr:pic>
      <xdr:nvPicPr>
        <xdr:cNvPr id="102408" name="Picture 8">
          <a:extLst>
            <a:ext uri="{FF2B5EF4-FFF2-40B4-BE49-F238E27FC236}">
              <a16:creationId xmlns:a16="http://schemas.microsoft.com/office/drawing/2014/main" id="{00000000-0008-0000-1400-0000089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196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102409" name="Picture 9">
          <a:extLst>
            <a:ext uri="{FF2B5EF4-FFF2-40B4-BE49-F238E27FC236}">
              <a16:creationId xmlns:a16="http://schemas.microsoft.com/office/drawing/2014/main" id="{00000000-0008-0000-1400-0000099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1930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171450</xdr:rowOff>
        </xdr:from>
        <xdr:to>
          <xdr:col>1</xdr:col>
          <xdr:colOff>527050</xdr:colOff>
          <xdr:row>19</xdr:row>
          <xdr:rowOff>171450</xdr:rowOff>
        </xdr:to>
        <xdr:sp macro="" textlink="">
          <xdr:nvSpPr>
            <xdr:cNvPr id="102410" name="Object 10" hidden="1">
              <a:extLst>
                <a:ext uri="{63B3BB69-23CF-44E3-9099-C40C66FF867C}">
                  <a14:compatExt spid="_x0000_s102410"/>
                </a:ext>
                <a:ext uri="{FF2B5EF4-FFF2-40B4-BE49-F238E27FC236}">
                  <a16:creationId xmlns:a16="http://schemas.microsoft.com/office/drawing/2014/main" id="{00000000-0008-0000-1400-00000A9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38913" name="Picture 1">
          <a:extLst>
            <a:ext uri="{FF2B5EF4-FFF2-40B4-BE49-F238E27FC236}">
              <a16:creationId xmlns:a16="http://schemas.microsoft.com/office/drawing/2014/main" id="{00000000-0008-0000-1600-0000019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906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8</xdr:row>
      <xdr:rowOff>190500</xdr:rowOff>
    </xdr:to>
    <xdr:pic>
      <xdr:nvPicPr>
        <xdr:cNvPr id="38914" name="Picture 2">
          <a:extLst>
            <a:ext uri="{FF2B5EF4-FFF2-40B4-BE49-F238E27FC236}">
              <a16:creationId xmlns:a16="http://schemas.microsoft.com/office/drawing/2014/main" id="{00000000-0008-0000-1600-0000029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6210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38915" name="Picture 3">
          <a:extLst>
            <a:ext uri="{FF2B5EF4-FFF2-40B4-BE49-F238E27FC236}">
              <a16:creationId xmlns:a16="http://schemas.microsoft.com/office/drawing/2014/main" id="{00000000-0008-0000-1600-0000039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003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38916" name="Picture 4">
          <a:extLst>
            <a:ext uri="{FF2B5EF4-FFF2-40B4-BE49-F238E27FC236}">
              <a16:creationId xmlns:a16="http://schemas.microsoft.com/office/drawing/2014/main" id="{00000000-0008-0000-1600-0000049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28875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8917" name="Picture 5">
          <a:extLst>
            <a:ext uri="{FF2B5EF4-FFF2-40B4-BE49-F238E27FC236}">
              <a16:creationId xmlns:a16="http://schemas.microsoft.com/office/drawing/2014/main" id="{00000000-0008-0000-1600-0000059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1945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8918" name="Picture 6">
          <a:extLst>
            <a:ext uri="{FF2B5EF4-FFF2-40B4-BE49-F238E27FC236}">
              <a16:creationId xmlns:a16="http://schemas.microsoft.com/office/drawing/2014/main" id="{00000000-0008-0000-1600-0000069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386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8919" name="Picture 7">
          <a:extLst>
            <a:ext uri="{FF2B5EF4-FFF2-40B4-BE49-F238E27FC236}">
              <a16:creationId xmlns:a16="http://schemas.microsoft.com/office/drawing/2014/main" id="{00000000-0008-0000-1600-0000079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577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0</xdr:rowOff>
    </xdr:to>
    <xdr:pic>
      <xdr:nvPicPr>
        <xdr:cNvPr id="38920" name="Picture 8">
          <a:extLst>
            <a:ext uri="{FF2B5EF4-FFF2-40B4-BE49-F238E27FC236}">
              <a16:creationId xmlns:a16="http://schemas.microsoft.com/office/drawing/2014/main" id="{00000000-0008-0000-1600-0000089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196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38921" name="Picture 9">
          <a:extLst>
            <a:ext uri="{FF2B5EF4-FFF2-40B4-BE49-F238E27FC236}">
              <a16:creationId xmlns:a16="http://schemas.microsoft.com/office/drawing/2014/main" id="{00000000-0008-0000-1600-0000099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1930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171450</xdr:rowOff>
        </xdr:from>
        <xdr:to>
          <xdr:col>1</xdr:col>
          <xdr:colOff>527050</xdr:colOff>
          <xdr:row>19</xdr:row>
          <xdr:rowOff>171450</xdr:rowOff>
        </xdr:to>
        <xdr:sp macro="" textlink="">
          <xdr:nvSpPr>
            <xdr:cNvPr id="38922" name="Object 10" hidden="1">
              <a:extLst>
                <a:ext uri="{63B3BB69-23CF-44E3-9099-C40C66FF867C}">
                  <a14:compatExt spid="_x0000_s38922"/>
                </a:ext>
                <a:ext uri="{FF2B5EF4-FFF2-40B4-BE49-F238E27FC236}">
                  <a16:creationId xmlns:a16="http://schemas.microsoft.com/office/drawing/2014/main" id="{00000000-0008-0000-1600-00000A9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51201" name="Picture 1">
          <a:extLst>
            <a:ext uri="{FF2B5EF4-FFF2-40B4-BE49-F238E27FC236}">
              <a16:creationId xmlns:a16="http://schemas.microsoft.com/office/drawing/2014/main" id="{00000000-0008-0000-1800-000001C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906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51202" name="Picture 2">
          <a:extLst>
            <a:ext uri="{FF2B5EF4-FFF2-40B4-BE49-F238E27FC236}">
              <a16:creationId xmlns:a16="http://schemas.microsoft.com/office/drawing/2014/main" id="{00000000-0008-0000-1800-000002C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6210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51203" name="Picture 3">
          <a:extLst>
            <a:ext uri="{FF2B5EF4-FFF2-40B4-BE49-F238E27FC236}">
              <a16:creationId xmlns:a16="http://schemas.microsoft.com/office/drawing/2014/main" id="{00000000-0008-0000-1800-000003C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003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51204" name="Picture 4">
          <a:extLst>
            <a:ext uri="{FF2B5EF4-FFF2-40B4-BE49-F238E27FC236}">
              <a16:creationId xmlns:a16="http://schemas.microsoft.com/office/drawing/2014/main" id="{00000000-0008-0000-1800-000004C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28875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51205" name="Picture 5">
          <a:extLst>
            <a:ext uri="{FF2B5EF4-FFF2-40B4-BE49-F238E27FC236}">
              <a16:creationId xmlns:a16="http://schemas.microsoft.com/office/drawing/2014/main" id="{00000000-0008-0000-1800-000005C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1945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51206" name="Picture 6">
          <a:extLst>
            <a:ext uri="{FF2B5EF4-FFF2-40B4-BE49-F238E27FC236}">
              <a16:creationId xmlns:a16="http://schemas.microsoft.com/office/drawing/2014/main" id="{00000000-0008-0000-1800-000006C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386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51207" name="Picture 7">
          <a:extLst>
            <a:ext uri="{FF2B5EF4-FFF2-40B4-BE49-F238E27FC236}">
              <a16:creationId xmlns:a16="http://schemas.microsoft.com/office/drawing/2014/main" id="{00000000-0008-0000-1800-000007C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577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0</xdr:rowOff>
    </xdr:to>
    <xdr:pic>
      <xdr:nvPicPr>
        <xdr:cNvPr id="51208" name="Picture 8">
          <a:extLst>
            <a:ext uri="{FF2B5EF4-FFF2-40B4-BE49-F238E27FC236}">
              <a16:creationId xmlns:a16="http://schemas.microsoft.com/office/drawing/2014/main" id="{00000000-0008-0000-1800-000008C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196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51209" name="Picture 9">
          <a:extLst>
            <a:ext uri="{FF2B5EF4-FFF2-40B4-BE49-F238E27FC236}">
              <a16:creationId xmlns:a16="http://schemas.microsoft.com/office/drawing/2014/main" id="{00000000-0008-0000-1800-000009C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1930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171450</xdr:rowOff>
        </xdr:from>
        <xdr:to>
          <xdr:col>1</xdr:col>
          <xdr:colOff>527050</xdr:colOff>
          <xdr:row>19</xdr:row>
          <xdr:rowOff>171450</xdr:rowOff>
        </xdr:to>
        <xdr:sp macro="" textlink="">
          <xdr:nvSpPr>
            <xdr:cNvPr id="51210" name="Object 10" hidden="1">
              <a:extLst>
                <a:ext uri="{63B3BB69-23CF-44E3-9099-C40C66FF867C}">
                  <a14:compatExt spid="_x0000_s51210"/>
                </a:ext>
                <a:ext uri="{FF2B5EF4-FFF2-40B4-BE49-F238E27FC236}">
                  <a16:creationId xmlns:a16="http://schemas.microsoft.com/office/drawing/2014/main" id="{00000000-0008-0000-1800-00000AC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86017" name="Picture 1">
          <a:extLst>
            <a:ext uri="{FF2B5EF4-FFF2-40B4-BE49-F238E27FC236}">
              <a16:creationId xmlns:a16="http://schemas.microsoft.com/office/drawing/2014/main" id="{00000000-0008-0000-1A00-0000015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906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86018" name="Picture 2">
          <a:extLst>
            <a:ext uri="{FF2B5EF4-FFF2-40B4-BE49-F238E27FC236}">
              <a16:creationId xmlns:a16="http://schemas.microsoft.com/office/drawing/2014/main" id="{00000000-0008-0000-1A00-0000025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6210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86019" name="Picture 3">
          <a:extLst>
            <a:ext uri="{FF2B5EF4-FFF2-40B4-BE49-F238E27FC236}">
              <a16:creationId xmlns:a16="http://schemas.microsoft.com/office/drawing/2014/main" id="{00000000-0008-0000-1A00-0000035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003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86020" name="Picture 4">
          <a:extLst>
            <a:ext uri="{FF2B5EF4-FFF2-40B4-BE49-F238E27FC236}">
              <a16:creationId xmlns:a16="http://schemas.microsoft.com/office/drawing/2014/main" id="{00000000-0008-0000-1A00-0000045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28875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86021" name="Picture 5">
          <a:extLst>
            <a:ext uri="{FF2B5EF4-FFF2-40B4-BE49-F238E27FC236}">
              <a16:creationId xmlns:a16="http://schemas.microsoft.com/office/drawing/2014/main" id="{00000000-0008-0000-1A00-0000055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1945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86022" name="Picture 6">
          <a:extLst>
            <a:ext uri="{FF2B5EF4-FFF2-40B4-BE49-F238E27FC236}">
              <a16:creationId xmlns:a16="http://schemas.microsoft.com/office/drawing/2014/main" id="{00000000-0008-0000-1A00-0000065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386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6023" name="Picture 7">
          <a:extLst>
            <a:ext uri="{FF2B5EF4-FFF2-40B4-BE49-F238E27FC236}">
              <a16:creationId xmlns:a16="http://schemas.microsoft.com/office/drawing/2014/main" id="{00000000-0008-0000-1A00-0000075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577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0</xdr:rowOff>
    </xdr:to>
    <xdr:pic>
      <xdr:nvPicPr>
        <xdr:cNvPr id="86024" name="Picture 8">
          <a:extLst>
            <a:ext uri="{FF2B5EF4-FFF2-40B4-BE49-F238E27FC236}">
              <a16:creationId xmlns:a16="http://schemas.microsoft.com/office/drawing/2014/main" id="{00000000-0008-0000-1A00-0000085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196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86025" name="Picture 9">
          <a:extLst>
            <a:ext uri="{FF2B5EF4-FFF2-40B4-BE49-F238E27FC236}">
              <a16:creationId xmlns:a16="http://schemas.microsoft.com/office/drawing/2014/main" id="{00000000-0008-0000-1A00-0000095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1930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171450</xdr:rowOff>
        </xdr:from>
        <xdr:to>
          <xdr:col>1</xdr:col>
          <xdr:colOff>527050</xdr:colOff>
          <xdr:row>19</xdr:row>
          <xdr:rowOff>171450</xdr:rowOff>
        </xdr:to>
        <xdr:sp macro="" textlink="">
          <xdr:nvSpPr>
            <xdr:cNvPr id="86026" name="Object 10" hidden="1">
              <a:extLst>
                <a:ext uri="{63B3BB69-23CF-44E3-9099-C40C66FF867C}">
                  <a14:compatExt spid="_x0000_s86026"/>
                </a:ext>
                <a:ext uri="{FF2B5EF4-FFF2-40B4-BE49-F238E27FC236}">
                  <a16:creationId xmlns:a16="http://schemas.microsoft.com/office/drawing/2014/main" id="{00000000-0008-0000-1A00-00000A5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63489" name="Picture 1">
          <a:extLst>
            <a:ext uri="{FF2B5EF4-FFF2-40B4-BE49-F238E27FC236}">
              <a16:creationId xmlns:a16="http://schemas.microsoft.com/office/drawing/2014/main" id="{00000000-0008-0000-1C00-000001F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906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63490" name="Picture 2">
          <a:extLst>
            <a:ext uri="{FF2B5EF4-FFF2-40B4-BE49-F238E27FC236}">
              <a16:creationId xmlns:a16="http://schemas.microsoft.com/office/drawing/2014/main" id="{00000000-0008-0000-1C00-000002F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6210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63491" name="Picture 3">
          <a:extLst>
            <a:ext uri="{FF2B5EF4-FFF2-40B4-BE49-F238E27FC236}">
              <a16:creationId xmlns:a16="http://schemas.microsoft.com/office/drawing/2014/main" id="{00000000-0008-0000-1C00-000003F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003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63492" name="Picture 4">
          <a:extLst>
            <a:ext uri="{FF2B5EF4-FFF2-40B4-BE49-F238E27FC236}">
              <a16:creationId xmlns:a16="http://schemas.microsoft.com/office/drawing/2014/main" id="{00000000-0008-0000-1C00-000004F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28875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3493" name="Picture 5">
          <a:extLst>
            <a:ext uri="{FF2B5EF4-FFF2-40B4-BE49-F238E27FC236}">
              <a16:creationId xmlns:a16="http://schemas.microsoft.com/office/drawing/2014/main" id="{00000000-0008-0000-1C00-000005F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1945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63494" name="Picture 6">
          <a:extLst>
            <a:ext uri="{FF2B5EF4-FFF2-40B4-BE49-F238E27FC236}">
              <a16:creationId xmlns:a16="http://schemas.microsoft.com/office/drawing/2014/main" id="{00000000-0008-0000-1C00-000006F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386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63495" name="Picture 7">
          <a:extLst>
            <a:ext uri="{FF2B5EF4-FFF2-40B4-BE49-F238E27FC236}">
              <a16:creationId xmlns:a16="http://schemas.microsoft.com/office/drawing/2014/main" id="{00000000-0008-0000-1C00-000007F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577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0</xdr:rowOff>
    </xdr:to>
    <xdr:pic>
      <xdr:nvPicPr>
        <xdr:cNvPr id="63496" name="Picture 8">
          <a:extLst>
            <a:ext uri="{FF2B5EF4-FFF2-40B4-BE49-F238E27FC236}">
              <a16:creationId xmlns:a16="http://schemas.microsoft.com/office/drawing/2014/main" id="{00000000-0008-0000-1C00-000008F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196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63497" name="Picture 9">
          <a:extLst>
            <a:ext uri="{FF2B5EF4-FFF2-40B4-BE49-F238E27FC236}">
              <a16:creationId xmlns:a16="http://schemas.microsoft.com/office/drawing/2014/main" id="{00000000-0008-0000-1C00-000009F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1930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171450</xdr:rowOff>
        </xdr:from>
        <xdr:to>
          <xdr:col>1</xdr:col>
          <xdr:colOff>527050</xdr:colOff>
          <xdr:row>19</xdr:row>
          <xdr:rowOff>171450</xdr:rowOff>
        </xdr:to>
        <xdr:sp macro="" textlink="">
          <xdr:nvSpPr>
            <xdr:cNvPr id="63498" name="Object 10" hidden="1">
              <a:extLst>
                <a:ext uri="{63B3BB69-23CF-44E3-9099-C40C66FF867C}">
                  <a14:compatExt spid="_x0000_s63498"/>
                </a:ext>
                <a:ext uri="{FF2B5EF4-FFF2-40B4-BE49-F238E27FC236}">
                  <a16:creationId xmlns:a16="http://schemas.microsoft.com/office/drawing/2014/main" id="{00000000-0008-0000-1C00-00000A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906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8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6210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003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28875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1945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386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577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E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196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E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1930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171450</xdr:rowOff>
        </xdr:from>
        <xdr:to>
          <xdr:col>1</xdr:col>
          <xdr:colOff>527050</xdr:colOff>
          <xdr:row>19</xdr:row>
          <xdr:rowOff>171450</xdr:rowOff>
        </xdr:to>
        <xdr:sp macro="" textlink="">
          <xdr:nvSpPr>
            <xdr:cNvPr id="436225" name="Object 1" hidden="1">
              <a:extLst>
                <a:ext uri="{63B3BB69-23CF-44E3-9099-C40C66FF867C}">
                  <a14:compatExt spid="_x0000_s436225"/>
                </a:ext>
                <a:ext uri="{FF2B5EF4-FFF2-40B4-BE49-F238E27FC236}">
                  <a16:creationId xmlns:a16="http://schemas.microsoft.com/office/drawing/2014/main" id="{00000000-0008-0000-1E00-000001A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E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430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8</xdr:row>
      <xdr:rowOff>190500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E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049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1E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686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1E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2410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1E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086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1E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5762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1E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3867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1E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29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1E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33575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430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049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686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2410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086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5762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3867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29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2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33575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2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430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2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049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9525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2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686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28575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2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2410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2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086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2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5762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2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3867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2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29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2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33575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430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049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686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2410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086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5762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3867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29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2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33575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2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430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2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049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9525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2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686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28575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2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2410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2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086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2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5762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2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3867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2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29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2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33575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430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049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686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2410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086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5762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3867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29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2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33575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24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430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24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049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9525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24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686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28575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24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2410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24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086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24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5762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24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3867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24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29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24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33575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430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049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686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2410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086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5762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3867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29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2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33575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26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430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26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049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9525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26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686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28575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26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2410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26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086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26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5762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26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3867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26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29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26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33575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430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049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686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2410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086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8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5762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3867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8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29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28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33575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28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430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28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049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9525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28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686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28575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28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2410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28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086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28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5762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28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3867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28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29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28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33575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430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049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686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2410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086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A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5762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3867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A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29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2A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33575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2A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430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2A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049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9525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2A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686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28575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2A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2410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2A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086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2A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5762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2A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3867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2A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29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2A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33575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430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049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686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2410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086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C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5762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3867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C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29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2C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33575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2C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430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2C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049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9525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2C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686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28575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2C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2410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2C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086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2C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5762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2C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3867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2C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29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2C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33575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430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049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686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2410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086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E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5762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3867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E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29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2E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33575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2E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430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2E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049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9525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2E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686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28575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2E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2410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2E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086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2E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5762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2E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3867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2E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29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2E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33575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430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049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686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2410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086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5762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3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3867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3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29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3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33575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3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430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3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049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9525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3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686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28575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3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2410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3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086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3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5762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3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3867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3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291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3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33575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18183</xdr:rowOff>
    </xdr:to>
    <xdr:pic>
      <xdr:nvPicPr>
        <xdr:cNvPr id="23553" name="Picture 1">
          <a:extLst>
            <a:ext uri="{FF2B5EF4-FFF2-40B4-BE49-F238E27FC236}">
              <a16:creationId xmlns:a16="http://schemas.microsoft.com/office/drawing/2014/main" id="{00000000-0008-0000-3200-0000015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382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8</xdr:row>
      <xdr:rowOff>189634</xdr:rowOff>
    </xdr:to>
    <xdr:pic>
      <xdr:nvPicPr>
        <xdr:cNvPr id="23554" name="Picture 2">
          <a:extLst>
            <a:ext uri="{FF2B5EF4-FFF2-40B4-BE49-F238E27FC236}">
              <a16:creationId xmlns:a16="http://schemas.microsoft.com/office/drawing/2014/main" id="{00000000-0008-0000-3200-0000025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6192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14</xdr:row>
      <xdr:rowOff>189634</xdr:rowOff>
    </xdr:to>
    <xdr:pic>
      <xdr:nvPicPr>
        <xdr:cNvPr id="23555" name="Picture 3">
          <a:extLst>
            <a:ext uri="{FF2B5EF4-FFF2-40B4-BE49-F238E27FC236}">
              <a16:creationId xmlns:a16="http://schemas.microsoft.com/office/drawing/2014/main" id="{00000000-0008-0000-3200-0000035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765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18184</xdr:rowOff>
    </xdr:to>
    <xdr:pic>
      <xdr:nvPicPr>
        <xdr:cNvPr id="23556" name="Picture 4">
          <a:extLst>
            <a:ext uri="{FF2B5EF4-FFF2-40B4-BE49-F238E27FC236}">
              <a16:creationId xmlns:a16="http://schemas.microsoft.com/office/drawing/2014/main" id="{00000000-0008-0000-3200-0000045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505075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2309</xdr:rowOff>
    </xdr:to>
    <xdr:pic>
      <xdr:nvPicPr>
        <xdr:cNvPr id="23557" name="Picture 5">
          <a:extLst>
            <a:ext uri="{FF2B5EF4-FFF2-40B4-BE49-F238E27FC236}">
              <a16:creationId xmlns:a16="http://schemas.microsoft.com/office/drawing/2014/main" id="{00000000-0008-0000-3200-0000055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9565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46759</xdr:rowOff>
    </xdr:to>
    <xdr:pic>
      <xdr:nvPicPr>
        <xdr:cNvPr id="23558" name="Picture 6">
          <a:extLst>
            <a:ext uri="{FF2B5EF4-FFF2-40B4-BE49-F238E27FC236}">
              <a16:creationId xmlns:a16="http://schemas.microsoft.com/office/drawing/2014/main" id="{00000000-0008-0000-3200-0000065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1148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46759</xdr:rowOff>
    </xdr:to>
    <xdr:pic>
      <xdr:nvPicPr>
        <xdr:cNvPr id="23559" name="Picture 7">
          <a:extLst>
            <a:ext uri="{FF2B5EF4-FFF2-40B4-BE49-F238E27FC236}">
              <a16:creationId xmlns:a16="http://schemas.microsoft.com/office/drawing/2014/main" id="{00000000-0008-0000-3200-0000075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9339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17319</xdr:rowOff>
    </xdr:to>
    <xdr:pic>
      <xdr:nvPicPr>
        <xdr:cNvPr id="23560" name="Picture 8">
          <a:extLst>
            <a:ext uri="{FF2B5EF4-FFF2-40B4-BE49-F238E27FC236}">
              <a16:creationId xmlns:a16="http://schemas.microsoft.com/office/drawing/2014/main" id="{00000000-0008-0000-3200-0000085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958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46759</xdr:rowOff>
    </xdr:to>
    <xdr:pic>
      <xdr:nvPicPr>
        <xdr:cNvPr id="23561" name="Picture 9">
          <a:extLst>
            <a:ext uri="{FF2B5EF4-FFF2-40B4-BE49-F238E27FC236}">
              <a16:creationId xmlns:a16="http://schemas.microsoft.com/office/drawing/2014/main" id="{00000000-0008-0000-3200-0000095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764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69850</xdr:rowOff>
        </xdr:from>
        <xdr:to>
          <xdr:col>1</xdr:col>
          <xdr:colOff>527050</xdr:colOff>
          <xdr:row>19</xdr:row>
          <xdr:rowOff>57150</xdr:rowOff>
        </xdr:to>
        <xdr:sp macro="" textlink="">
          <xdr:nvSpPr>
            <xdr:cNvPr id="23562" name="Object 10" hidden="1">
              <a:extLst>
                <a:ext uri="{63B3BB69-23CF-44E3-9099-C40C66FF867C}">
                  <a14:compatExt spid="_x0000_s23562"/>
                </a:ext>
                <a:ext uri="{FF2B5EF4-FFF2-40B4-BE49-F238E27FC236}">
                  <a16:creationId xmlns:a16="http://schemas.microsoft.com/office/drawing/2014/main" id="{00000000-0008-0000-3200-00000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46433" name="Picture 1">
          <a:extLst>
            <a:ext uri="{FF2B5EF4-FFF2-40B4-BE49-F238E27FC236}">
              <a16:creationId xmlns:a16="http://schemas.microsoft.com/office/drawing/2014/main" id="{00000000-0008-0000-3400-0000013C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146434" name="Picture 2">
          <a:extLst>
            <a:ext uri="{FF2B5EF4-FFF2-40B4-BE49-F238E27FC236}">
              <a16:creationId xmlns:a16="http://schemas.microsoft.com/office/drawing/2014/main" id="{00000000-0008-0000-3400-0000023C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146435" name="Picture 3">
          <a:extLst>
            <a:ext uri="{FF2B5EF4-FFF2-40B4-BE49-F238E27FC236}">
              <a16:creationId xmlns:a16="http://schemas.microsoft.com/office/drawing/2014/main" id="{00000000-0008-0000-3400-0000033C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194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146436" name="Picture 4">
          <a:extLst>
            <a:ext uri="{FF2B5EF4-FFF2-40B4-BE49-F238E27FC236}">
              <a16:creationId xmlns:a16="http://schemas.microsoft.com/office/drawing/2014/main" id="{00000000-0008-0000-3400-0000043C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47925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46437" name="Picture 5">
          <a:extLst>
            <a:ext uri="{FF2B5EF4-FFF2-40B4-BE49-F238E27FC236}">
              <a16:creationId xmlns:a16="http://schemas.microsoft.com/office/drawing/2014/main" id="{00000000-0008-0000-3400-0000053C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385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46438" name="Picture 6">
          <a:extLst>
            <a:ext uri="{FF2B5EF4-FFF2-40B4-BE49-F238E27FC236}">
              <a16:creationId xmlns:a16="http://schemas.microsoft.com/office/drawing/2014/main" id="{00000000-0008-0000-3400-0000063C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5765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46439" name="Picture 7">
          <a:extLst>
            <a:ext uri="{FF2B5EF4-FFF2-40B4-BE49-F238E27FC236}">
              <a16:creationId xmlns:a16="http://schemas.microsoft.com/office/drawing/2014/main" id="{00000000-0008-0000-3400-0000073C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7680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146440" name="Picture 8">
          <a:extLst>
            <a:ext uri="{FF2B5EF4-FFF2-40B4-BE49-F238E27FC236}">
              <a16:creationId xmlns:a16="http://schemas.microsoft.com/office/drawing/2014/main" id="{00000000-0008-0000-3400-0000083C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3865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146441" name="Picture 9">
          <a:extLst>
            <a:ext uri="{FF2B5EF4-FFF2-40B4-BE49-F238E27FC236}">
              <a16:creationId xmlns:a16="http://schemas.microsoft.com/office/drawing/2014/main" id="{00000000-0008-0000-3400-0000093C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152400</xdr:rowOff>
        </xdr:from>
        <xdr:to>
          <xdr:col>1</xdr:col>
          <xdr:colOff>527050</xdr:colOff>
          <xdr:row>19</xdr:row>
          <xdr:rowOff>152400</xdr:rowOff>
        </xdr:to>
        <xdr:sp macro="" textlink="">
          <xdr:nvSpPr>
            <xdr:cNvPr id="146442" name="Object 10" hidden="1">
              <a:extLst>
                <a:ext uri="{63B3BB69-23CF-44E3-9099-C40C66FF867C}">
                  <a14:compatExt spid="_x0000_s146442"/>
                </a:ext>
                <a:ext uri="{FF2B5EF4-FFF2-40B4-BE49-F238E27FC236}">
                  <a16:creationId xmlns:a16="http://schemas.microsoft.com/office/drawing/2014/main" id="{00000000-0008-0000-3400-00000A3C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93185" name="Picture 1">
          <a:extLst>
            <a:ext uri="{FF2B5EF4-FFF2-40B4-BE49-F238E27FC236}">
              <a16:creationId xmlns:a16="http://schemas.microsoft.com/office/drawing/2014/main" id="{00000000-0008-0000-3600-0000016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93186" name="Picture 2">
          <a:extLst>
            <a:ext uri="{FF2B5EF4-FFF2-40B4-BE49-F238E27FC236}">
              <a16:creationId xmlns:a16="http://schemas.microsoft.com/office/drawing/2014/main" id="{00000000-0008-0000-3600-0000026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93187" name="Picture 3">
          <a:extLst>
            <a:ext uri="{FF2B5EF4-FFF2-40B4-BE49-F238E27FC236}">
              <a16:creationId xmlns:a16="http://schemas.microsoft.com/office/drawing/2014/main" id="{00000000-0008-0000-3600-0000036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194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93188" name="Picture 4">
          <a:extLst>
            <a:ext uri="{FF2B5EF4-FFF2-40B4-BE49-F238E27FC236}">
              <a16:creationId xmlns:a16="http://schemas.microsoft.com/office/drawing/2014/main" id="{00000000-0008-0000-3600-0000046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47925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93189" name="Picture 5">
          <a:extLst>
            <a:ext uri="{FF2B5EF4-FFF2-40B4-BE49-F238E27FC236}">
              <a16:creationId xmlns:a16="http://schemas.microsoft.com/office/drawing/2014/main" id="{00000000-0008-0000-3600-0000056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385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93190" name="Picture 6">
          <a:extLst>
            <a:ext uri="{FF2B5EF4-FFF2-40B4-BE49-F238E27FC236}">
              <a16:creationId xmlns:a16="http://schemas.microsoft.com/office/drawing/2014/main" id="{00000000-0008-0000-3600-0000066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5765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93191" name="Picture 7">
          <a:extLst>
            <a:ext uri="{FF2B5EF4-FFF2-40B4-BE49-F238E27FC236}">
              <a16:creationId xmlns:a16="http://schemas.microsoft.com/office/drawing/2014/main" id="{00000000-0008-0000-3600-0000076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7680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93192" name="Picture 8">
          <a:extLst>
            <a:ext uri="{FF2B5EF4-FFF2-40B4-BE49-F238E27FC236}">
              <a16:creationId xmlns:a16="http://schemas.microsoft.com/office/drawing/2014/main" id="{00000000-0008-0000-3600-0000086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3865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93193" name="Picture 9">
          <a:extLst>
            <a:ext uri="{FF2B5EF4-FFF2-40B4-BE49-F238E27FC236}">
              <a16:creationId xmlns:a16="http://schemas.microsoft.com/office/drawing/2014/main" id="{00000000-0008-0000-3600-0000096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152400</xdr:rowOff>
        </xdr:from>
        <xdr:to>
          <xdr:col>1</xdr:col>
          <xdr:colOff>527050</xdr:colOff>
          <xdr:row>19</xdr:row>
          <xdr:rowOff>152400</xdr:rowOff>
        </xdr:to>
        <xdr:sp macro="" textlink="">
          <xdr:nvSpPr>
            <xdr:cNvPr id="93194" name="Object 10" hidden="1">
              <a:extLst>
                <a:ext uri="{63B3BB69-23CF-44E3-9099-C40C66FF867C}">
                  <a14:compatExt spid="_x0000_s93194"/>
                </a:ext>
                <a:ext uri="{FF2B5EF4-FFF2-40B4-BE49-F238E27FC236}">
                  <a16:creationId xmlns:a16="http://schemas.microsoft.com/office/drawing/2014/main" id="{00000000-0008-0000-3600-00000A6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312321" name="Picture 1">
          <a:extLst>
            <a:ext uri="{FF2B5EF4-FFF2-40B4-BE49-F238E27FC236}">
              <a16:creationId xmlns:a16="http://schemas.microsoft.com/office/drawing/2014/main" id="{00000000-0008-0000-3800-000001C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312322" name="Picture 2">
          <a:extLst>
            <a:ext uri="{FF2B5EF4-FFF2-40B4-BE49-F238E27FC236}">
              <a16:creationId xmlns:a16="http://schemas.microsoft.com/office/drawing/2014/main" id="{00000000-0008-0000-3800-000002C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312323" name="Picture 3">
          <a:extLst>
            <a:ext uri="{FF2B5EF4-FFF2-40B4-BE49-F238E27FC236}">
              <a16:creationId xmlns:a16="http://schemas.microsoft.com/office/drawing/2014/main" id="{00000000-0008-0000-3800-000003C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194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312324" name="Picture 4">
          <a:extLst>
            <a:ext uri="{FF2B5EF4-FFF2-40B4-BE49-F238E27FC236}">
              <a16:creationId xmlns:a16="http://schemas.microsoft.com/office/drawing/2014/main" id="{00000000-0008-0000-3800-000004C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47925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12325" name="Picture 5">
          <a:extLst>
            <a:ext uri="{FF2B5EF4-FFF2-40B4-BE49-F238E27FC236}">
              <a16:creationId xmlns:a16="http://schemas.microsoft.com/office/drawing/2014/main" id="{00000000-0008-0000-3800-000005C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385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12326" name="Picture 6">
          <a:extLst>
            <a:ext uri="{FF2B5EF4-FFF2-40B4-BE49-F238E27FC236}">
              <a16:creationId xmlns:a16="http://schemas.microsoft.com/office/drawing/2014/main" id="{00000000-0008-0000-3800-000006C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5765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12327" name="Picture 7">
          <a:extLst>
            <a:ext uri="{FF2B5EF4-FFF2-40B4-BE49-F238E27FC236}">
              <a16:creationId xmlns:a16="http://schemas.microsoft.com/office/drawing/2014/main" id="{00000000-0008-0000-3800-000007C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7680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312328" name="Picture 8">
          <a:extLst>
            <a:ext uri="{FF2B5EF4-FFF2-40B4-BE49-F238E27FC236}">
              <a16:creationId xmlns:a16="http://schemas.microsoft.com/office/drawing/2014/main" id="{00000000-0008-0000-3800-000008C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3865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312329" name="Picture 9">
          <a:extLst>
            <a:ext uri="{FF2B5EF4-FFF2-40B4-BE49-F238E27FC236}">
              <a16:creationId xmlns:a16="http://schemas.microsoft.com/office/drawing/2014/main" id="{00000000-0008-0000-3800-000009C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152400</xdr:rowOff>
        </xdr:from>
        <xdr:to>
          <xdr:col>1</xdr:col>
          <xdr:colOff>527050</xdr:colOff>
          <xdr:row>19</xdr:row>
          <xdr:rowOff>152400</xdr:rowOff>
        </xdr:to>
        <xdr:sp macro="" textlink="">
          <xdr:nvSpPr>
            <xdr:cNvPr id="312330" name="Object 10" hidden="1">
              <a:extLst>
                <a:ext uri="{63B3BB69-23CF-44E3-9099-C40C66FF867C}">
                  <a14:compatExt spid="_x0000_s312330"/>
                </a:ext>
                <a:ext uri="{FF2B5EF4-FFF2-40B4-BE49-F238E27FC236}">
                  <a16:creationId xmlns:a16="http://schemas.microsoft.com/office/drawing/2014/main" id="{00000000-0008-0000-3800-00000AC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98305" name="Picture 1">
          <a:extLst>
            <a:ext uri="{FF2B5EF4-FFF2-40B4-BE49-F238E27FC236}">
              <a16:creationId xmlns:a16="http://schemas.microsoft.com/office/drawing/2014/main" id="{00000000-0008-0000-3A00-0000018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98306" name="Picture 2">
          <a:extLst>
            <a:ext uri="{FF2B5EF4-FFF2-40B4-BE49-F238E27FC236}">
              <a16:creationId xmlns:a16="http://schemas.microsoft.com/office/drawing/2014/main" id="{00000000-0008-0000-3A00-0000028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98307" name="Picture 3">
          <a:extLst>
            <a:ext uri="{FF2B5EF4-FFF2-40B4-BE49-F238E27FC236}">
              <a16:creationId xmlns:a16="http://schemas.microsoft.com/office/drawing/2014/main" id="{00000000-0008-0000-3A00-0000038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194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98308" name="Picture 4">
          <a:extLst>
            <a:ext uri="{FF2B5EF4-FFF2-40B4-BE49-F238E27FC236}">
              <a16:creationId xmlns:a16="http://schemas.microsoft.com/office/drawing/2014/main" id="{00000000-0008-0000-3A00-0000048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47925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98309" name="Picture 5">
          <a:extLst>
            <a:ext uri="{FF2B5EF4-FFF2-40B4-BE49-F238E27FC236}">
              <a16:creationId xmlns:a16="http://schemas.microsoft.com/office/drawing/2014/main" id="{00000000-0008-0000-3A00-0000058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385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98310" name="Picture 6">
          <a:extLst>
            <a:ext uri="{FF2B5EF4-FFF2-40B4-BE49-F238E27FC236}">
              <a16:creationId xmlns:a16="http://schemas.microsoft.com/office/drawing/2014/main" id="{00000000-0008-0000-3A00-0000068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5765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98311" name="Picture 7">
          <a:extLst>
            <a:ext uri="{FF2B5EF4-FFF2-40B4-BE49-F238E27FC236}">
              <a16:creationId xmlns:a16="http://schemas.microsoft.com/office/drawing/2014/main" id="{00000000-0008-0000-3A00-0000078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7680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98312" name="Picture 8">
          <a:extLst>
            <a:ext uri="{FF2B5EF4-FFF2-40B4-BE49-F238E27FC236}">
              <a16:creationId xmlns:a16="http://schemas.microsoft.com/office/drawing/2014/main" id="{00000000-0008-0000-3A00-0000088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3865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98313" name="Picture 9">
          <a:extLst>
            <a:ext uri="{FF2B5EF4-FFF2-40B4-BE49-F238E27FC236}">
              <a16:creationId xmlns:a16="http://schemas.microsoft.com/office/drawing/2014/main" id="{00000000-0008-0000-3A00-0000098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152400</xdr:rowOff>
        </xdr:from>
        <xdr:to>
          <xdr:col>1</xdr:col>
          <xdr:colOff>527050</xdr:colOff>
          <xdr:row>19</xdr:row>
          <xdr:rowOff>152400</xdr:rowOff>
        </xdr:to>
        <xdr:sp macro="" textlink="">
          <xdr:nvSpPr>
            <xdr:cNvPr id="98314" name="Object 10" hidden="1">
              <a:extLst>
                <a:ext uri="{63B3BB69-23CF-44E3-9099-C40C66FF867C}">
                  <a14:compatExt spid="_x0000_s98314"/>
                </a:ext>
                <a:ext uri="{FF2B5EF4-FFF2-40B4-BE49-F238E27FC236}">
                  <a16:creationId xmlns:a16="http://schemas.microsoft.com/office/drawing/2014/main" id="{00000000-0008-0000-3A00-00000A8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94209" name="Picture 1">
          <a:extLst>
            <a:ext uri="{FF2B5EF4-FFF2-40B4-BE49-F238E27FC236}">
              <a16:creationId xmlns:a16="http://schemas.microsoft.com/office/drawing/2014/main" id="{00000000-0008-0000-3C00-0000017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94210" name="Picture 2">
          <a:extLst>
            <a:ext uri="{FF2B5EF4-FFF2-40B4-BE49-F238E27FC236}">
              <a16:creationId xmlns:a16="http://schemas.microsoft.com/office/drawing/2014/main" id="{00000000-0008-0000-3C00-0000027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94211" name="Picture 3">
          <a:extLst>
            <a:ext uri="{FF2B5EF4-FFF2-40B4-BE49-F238E27FC236}">
              <a16:creationId xmlns:a16="http://schemas.microsoft.com/office/drawing/2014/main" id="{00000000-0008-0000-3C00-0000037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194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94212" name="Picture 4">
          <a:extLst>
            <a:ext uri="{FF2B5EF4-FFF2-40B4-BE49-F238E27FC236}">
              <a16:creationId xmlns:a16="http://schemas.microsoft.com/office/drawing/2014/main" id="{00000000-0008-0000-3C00-0000047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47925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94213" name="Picture 5">
          <a:extLst>
            <a:ext uri="{FF2B5EF4-FFF2-40B4-BE49-F238E27FC236}">
              <a16:creationId xmlns:a16="http://schemas.microsoft.com/office/drawing/2014/main" id="{00000000-0008-0000-3C00-0000057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385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94214" name="Picture 6">
          <a:extLst>
            <a:ext uri="{FF2B5EF4-FFF2-40B4-BE49-F238E27FC236}">
              <a16:creationId xmlns:a16="http://schemas.microsoft.com/office/drawing/2014/main" id="{00000000-0008-0000-3C00-0000067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5765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94215" name="Picture 7">
          <a:extLst>
            <a:ext uri="{FF2B5EF4-FFF2-40B4-BE49-F238E27FC236}">
              <a16:creationId xmlns:a16="http://schemas.microsoft.com/office/drawing/2014/main" id="{00000000-0008-0000-3C00-0000077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7680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94216" name="Picture 8">
          <a:extLst>
            <a:ext uri="{FF2B5EF4-FFF2-40B4-BE49-F238E27FC236}">
              <a16:creationId xmlns:a16="http://schemas.microsoft.com/office/drawing/2014/main" id="{00000000-0008-0000-3C00-0000087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3865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94217" name="Picture 9">
          <a:extLst>
            <a:ext uri="{FF2B5EF4-FFF2-40B4-BE49-F238E27FC236}">
              <a16:creationId xmlns:a16="http://schemas.microsoft.com/office/drawing/2014/main" id="{00000000-0008-0000-3C00-0000097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152400</xdr:rowOff>
        </xdr:from>
        <xdr:to>
          <xdr:col>1</xdr:col>
          <xdr:colOff>527050</xdr:colOff>
          <xdr:row>19</xdr:row>
          <xdr:rowOff>152400</xdr:rowOff>
        </xdr:to>
        <xdr:sp macro="" textlink="">
          <xdr:nvSpPr>
            <xdr:cNvPr id="94218" name="Object 10" hidden="1">
              <a:extLst>
                <a:ext uri="{63B3BB69-23CF-44E3-9099-C40C66FF867C}">
                  <a14:compatExt spid="_x0000_s94218"/>
                </a:ext>
                <a:ext uri="{FF2B5EF4-FFF2-40B4-BE49-F238E27FC236}">
                  <a16:creationId xmlns:a16="http://schemas.microsoft.com/office/drawing/2014/main" id="{00000000-0008-0000-3C00-00000A7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91137" name="Picture 1">
          <a:extLst>
            <a:ext uri="{FF2B5EF4-FFF2-40B4-BE49-F238E27FC236}">
              <a16:creationId xmlns:a16="http://schemas.microsoft.com/office/drawing/2014/main" id="{00000000-0008-0000-3E00-0000016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91138" name="Picture 2">
          <a:extLst>
            <a:ext uri="{FF2B5EF4-FFF2-40B4-BE49-F238E27FC236}">
              <a16:creationId xmlns:a16="http://schemas.microsoft.com/office/drawing/2014/main" id="{00000000-0008-0000-3E00-0000026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91139" name="Picture 3">
          <a:extLst>
            <a:ext uri="{FF2B5EF4-FFF2-40B4-BE49-F238E27FC236}">
              <a16:creationId xmlns:a16="http://schemas.microsoft.com/office/drawing/2014/main" id="{00000000-0008-0000-3E00-0000036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194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91140" name="Picture 4">
          <a:extLst>
            <a:ext uri="{FF2B5EF4-FFF2-40B4-BE49-F238E27FC236}">
              <a16:creationId xmlns:a16="http://schemas.microsoft.com/office/drawing/2014/main" id="{00000000-0008-0000-3E00-0000046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47925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91141" name="Picture 5">
          <a:extLst>
            <a:ext uri="{FF2B5EF4-FFF2-40B4-BE49-F238E27FC236}">
              <a16:creationId xmlns:a16="http://schemas.microsoft.com/office/drawing/2014/main" id="{00000000-0008-0000-3E00-0000056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385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91142" name="Picture 6">
          <a:extLst>
            <a:ext uri="{FF2B5EF4-FFF2-40B4-BE49-F238E27FC236}">
              <a16:creationId xmlns:a16="http://schemas.microsoft.com/office/drawing/2014/main" id="{00000000-0008-0000-3E00-0000066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5765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91143" name="Picture 7">
          <a:extLst>
            <a:ext uri="{FF2B5EF4-FFF2-40B4-BE49-F238E27FC236}">
              <a16:creationId xmlns:a16="http://schemas.microsoft.com/office/drawing/2014/main" id="{00000000-0008-0000-3E00-0000076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7680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91144" name="Picture 8">
          <a:extLst>
            <a:ext uri="{FF2B5EF4-FFF2-40B4-BE49-F238E27FC236}">
              <a16:creationId xmlns:a16="http://schemas.microsoft.com/office/drawing/2014/main" id="{00000000-0008-0000-3E00-0000086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3865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91145" name="Picture 9">
          <a:extLst>
            <a:ext uri="{FF2B5EF4-FFF2-40B4-BE49-F238E27FC236}">
              <a16:creationId xmlns:a16="http://schemas.microsoft.com/office/drawing/2014/main" id="{00000000-0008-0000-3E00-0000096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152400</xdr:rowOff>
        </xdr:from>
        <xdr:to>
          <xdr:col>1</xdr:col>
          <xdr:colOff>527050</xdr:colOff>
          <xdr:row>19</xdr:row>
          <xdr:rowOff>152400</xdr:rowOff>
        </xdr:to>
        <xdr:sp macro="" textlink="">
          <xdr:nvSpPr>
            <xdr:cNvPr id="91146" name="Object 10" hidden="1">
              <a:extLst>
                <a:ext uri="{63B3BB69-23CF-44E3-9099-C40C66FF867C}">
                  <a14:compatExt spid="_x0000_s91146"/>
                </a:ext>
                <a:ext uri="{FF2B5EF4-FFF2-40B4-BE49-F238E27FC236}">
                  <a16:creationId xmlns:a16="http://schemas.microsoft.com/office/drawing/2014/main" id="{00000000-0008-0000-3E00-00000A6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72385" name="Picture 1">
          <a:extLst>
            <a:ext uri="{FF2B5EF4-FFF2-40B4-BE49-F238E27FC236}">
              <a16:creationId xmlns:a16="http://schemas.microsoft.com/office/drawing/2014/main" id="{00000000-0008-0000-4000-0000012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272386" name="Picture 2">
          <a:extLst>
            <a:ext uri="{FF2B5EF4-FFF2-40B4-BE49-F238E27FC236}">
              <a16:creationId xmlns:a16="http://schemas.microsoft.com/office/drawing/2014/main" id="{00000000-0008-0000-4000-0000022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272387" name="Picture 3">
          <a:extLst>
            <a:ext uri="{FF2B5EF4-FFF2-40B4-BE49-F238E27FC236}">
              <a16:creationId xmlns:a16="http://schemas.microsoft.com/office/drawing/2014/main" id="{00000000-0008-0000-4000-0000032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194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272388" name="Picture 4">
          <a:extLst>
            <a:ext uri="{FF2B5EF4-FFF2-40B4-BE49-F238E27FC236}">
              <a16:creationId xmlns:a16="http://schemas.microsoft.com/office/drawing/2014/main" id="{00000000-0008-0000-4000-0000042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47925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272389" name="Picture 5">
          <a:extLst>
            <a:ext uri="{FF2B5EF4-FFF2-40B4-BE49-F238E27FC236}">
              <a16:creationId xmlns:a16="http://schemas.microsoft.com/office/drawing/2014/main" id="{00000000-0008-0000-4000-0000052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385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272390" name="Picture 6">
          <a:extLst>
            <a:ext uri="{FF2B5EF4-FFF2-40B4-BE49-F238E27FC236}">
              <a16:creationId xmlns:a16="http://schemas.microsoft.com/office/drawing/2014/main" id="{00000000-0008-0000-4000-0000062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5765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272391" name="Picture 7">
          <a:extLst>
            <a:ext uri="{FF2B5EF4-FFF2-40B4-BE49-F238E27FC236}">
              <a16:creationId xmlns:a16="http://schemas.microsoft.com/office/drawing/2014/main" id="{00000000-0008-0000-4000-0000072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7680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272392" name="Picture 8">
          <a:extLst>
            <a:ext uri="{FF2B5EF4-FFF2-40B4-BE49-F238E27FC236}">
              <a16:creationId xmlns:a16="http://schemas.microsoft.com/office/drawing/2014/main" id="{00000000-0008-0000-4000-0000082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3865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272393" name="Picture 9">
          <a:extLst>
            <a:ext uri="{FF2B5EF4-FFF2-40B4-BE49-F238E27FC236}">
              <a16:creationId xmlns:a16="http://schemas.microsoft.com/office/drawing/2014/main" id="{00000000-0008-0000-4000-0000092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152400</xdr:rowOff>
        </xdr:from>
        <xdr:to>
          <xdr:col>1</xdr:col>
          <xdr:colOff>527050</xdr:colOff>
          <xdr:row>19</xdr:row>
          <xdr:rowOff>152400</xdr:rowOff>
        </xdr:to>
        <xdr:sp macro="" textlink="">
          <xdr:nvSpPr>
            <xdr:cNvPr id="272394" name="Object 10" hidden="1">
              <a:extLst>
                <a:ext uri="{63B3BB69-23CF-44E3-9099-C40C66FF867C}">
                  <a14:compatExt spid="_x0000_s272394"/>
                </a:ext>
                <a:ext uri="{FF2B5EF4-FFF2-40B4-BE49-F238E27FC236}">
                  <a16:creationId xmlns:a16="http://schemas.microsoft.com/office/drawing/2014/main" id="{00000000-0008-0000-4000-00000A2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313345" name="Picture 1">
          <a:extLst>
            <a:ext uri="{FF2B5EF4-FFF2-40B4-BE49-F238E27FC236}">
              <a16:creationId xmlns:a16="http://schemas.microsoft.com/office/drawing/2014/main" id="{00000000-0008-0000-4200-000001C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313346" name="Picture 2">
          <a:extLst>
            <a:ext uri="{FF2B5EF4-FFF2-40B4-BE49-F238E27FC236}">
              <a16:creationId xmlns:a16="http://schemas.microsoft.com/office/drawing/2014/main" id="{00000000-0008-0000-4200-000002C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313347" name="Picture 3">
          <a:extLst>
            <a:ext uri="{FF2B5EF4-FFF2-40B4-BE49-F238E27FC236}">
              <a16:creationId xmlns:a16="http://schemas.microsoft.com/office/drawing/2014/main" id="{00000000-0008-0000-4200-000003C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194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313348" name="Picture 4">
          <a:extLst>
            <a:ext uri="{FF2B5EF4-FFF2-40B4-BE49-F238E27FC236}">
              <a16:creationId xmlns:a16="http://schemas.microsoft.com/office/drawing/2014/main" id="{00000000-0008-0000-4200-000004C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47925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13349" name="Picture 5">
          <a:extLst>
            <a:ext uri="{FF2B5EF4-FFF2-40B4-BE49-F238E27FC236}">
              <a16:creationId xmlns:a16="http://schemas.microsoft.com/office/drawing/2014/main" id="{00000000-0008-0000-4200-000005C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385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13350" name="Picture 6">
          <a:extLst>
            <a:ext uri="{FF2B5EF4-FFF2-40B4-BE49-F238E27FC236}">
              <a16:creationId xmlns:a16="http://schemas.microsoft.com/office/drawing/2014/main" id="{00000000-0008-0000-4200-000006C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5765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13351" name="Picture 7">
          <a:extLst>
            <a:ext uri="{FF2B5EF4-FFF2-40B4-BE49-F238E27FC236}">
              <a16:creationId xmlns:a16="http://schemas.microsoft.com/office/drawing/2014/main" id="{00000000-0008-0000-4200-000007C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7680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313352" name="Picture 8">
          <a:extLst>
            <a:ext uri="{FF2B5EF4-FFF2-40B4-BE49-F238E27FC236}">
              <a16:creationId xmlns:a16="http://schemas.microsoft.com/office/drawing/2014/main" id="{00000000-0008-0000-4200-000008C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3865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313353" name="Picture 9">
          <a:extLst>
            <a:ext uri="{FF2B5EF4-FFF2-40B4-BE49-F238E27FC236}">
              <a16:creationId xmlns:a16="http://schemas.microsoft.com/office/drawing/2014/main" id="{00000000-0008-0000-4200-000009C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152400</xdr:rowOff>
        </xdr:from>
        <xdr:to>
          <xdr:col>1</xdr:col>
          <xdr:colOff>527050</xdr:colOff>
          <xdr:row>19</xdr:row>
          <xdr:rowOff>152400</xdr:rowOff>
        </xdr:to>
        <xdr:sp macro="" textlink="">
          <xdr:nvSpPr>
            <xdr:cNvPr id="313354" name="Object 10" hidden="1">
              <a:extLst>
                <a:ext uri="{63B3BB69-23CF-44E3-9099-C40C66FF867C}">
                  <a14:compatExt spid="_x0000_s313354"/>
                </a:ext>
                <a:ext uri="{FF2B5EF4-FFF2-40B4-BE49-F238E27FC236}">
                  <a16:creationId xmlns:a16="http://schemas.microsoft.com/office/drawing/2014/main" id="{00000000-0008-0000-4200-00000AC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314369" name="Picture 1">
          <a:extLst>
            <a:ext uri="{FF2B5EF4-FFF2-40B4-BE49-F238E27FC236}">
              <a16:creationId xmlns:a16="http://schemas.microsoft.com/office/drawing/2014/main" id="{00000000-0008-0000-4400-000001C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314370" name="Picture 2">
          <a:extLst>
            <a:ext uri="{FF2B5EF4-FFF2-40B4-BE49-F238E27FC236}">
              <a16:creationId xmlns:a16="http://schemas.microsoft.com/office/drawing/2014/main" id="{00000000-0008-0000-4400-000002C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314371" name="Picture 3">
          <a:extLst>
            <a:ext uri="{FF2B5EF4-FFF2-40B4-BE49-F238E27FC236}">
              <a16:creationId xmlns:a16="http://schemas.microsoft.com/office/drawing/2014/main" id="{00000000-0008-0000-4400-000003C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194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314372" name="Picture 4">
          <a:extLst>
            <a:ext uri="{FF2B5EF4-FFF2-40B4-BE49-F238E27FC236}">
              <a16:creationId xmlns:a16="http://schemas.microsoft.com/office/drawing/2014/main" id="{00000000-0008-0000-4400-000004C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47925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14373" name="Picture 5">
          <a:extLst>
            <a:ext uri="{FF2B5EF4-FFF2-40B4-BE49-F238E27FC236}">
              <a16:creationId xmlns:a16="http://schemas.microsoft.com/office/drawing/2014/main" id="{00000000-0008-0000-4400-000005C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385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14374" name="Picture 6">
          <a:extLst>
            <a:ext uri="{FF2B5EF4-FFF2-40B4-BE49-F238E27FC236}">
              <a16:creationId xmlns:a16="http://schemas.microsoft.com/office/drawing/2014/main" id="{00000000-0008-0000-4400-000006C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5765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14375" name="Picture 7">
          <a:extLst>
            <a:ext uri="{FF2B5EF4-FFF2-40B4-BE49-F238E27FC236}">
              <a16:creationId xmlns:a16="http://schemas.microsoft.com/office/drawing/2014/main" id="{00000000-0008-0000-4400-000007C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7680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314376" name="Picture 8">
          <a:extLst>
            <a:ext uri="{FF2B5EF4-FFF2-40B4-BE49-F238E27FC236}">
              <a16:creationId xmlns:a16="http://schemas.microsoft.com/office/drawing/2014/main" id="{00000000-0008-0000-4400-000008C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3865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314377" name="Picture 9">
          <a:extLst>
            <a:ext uri="{FF2B5EF4-FFF2-40B4-BE49-F238E27FC236}">
              <a16:creationId xmlns:a16="http://schemas.microsoft.com/office/drawing/2014/main" id="{00000000-0008-0000-4400-000009C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152400</xdr:rowOff>
        </xdr:from>
        <xdr:to>
          <xdr:col>1</xdr:col>
          <xdr:colOff>527050</xdr:colOff>
          <xdr:row>19</xdr:row>
          <xdr:rowOff>152400</xdr:rowOff>
        </xdr:to>
        <xdr:sp macro="" textlink="">
          <xdr:nvSpPr>
            <xdr:cNvPr id="314378" name="Object 10" hidden="1">
              <a:extLst>
                <a:ext uri="{63B3BB69-23CF-44E3-9099-C40C66FF867C}">
                  <a14:compatExt spid="_x0000_s314378"/>
                </a:ext>
                <a:ext uri="{FF2B5EF4-FFF2-40B4-BE49-F238E27FC236}">
                  <a16:creationId xmlns:a16="http://schemas.microsoft.com/office/drawing/2014/main" id="{00000000-0008-0000-4400-00000AC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315393" name="Picture 1">
          <a:extLst>
            <a:ext uri="{FF2B5EF4-FFF2-40B4-BE49-F238E27FC236}">
              <a16:creationId xmlns:a16="http://schemas.microsoft.com/office/drawing/2014/main" id="{00000000-0008-0000-4600-000001D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315394" name="Picture 2">
          <a:extLst>
            <a:ext uri="{FF2B5EF4-FFF2-40B4-BE49-F238E27FC236}">
              <a16:creationId xmlns:a16="http://schemas.microsoft.com/office/drawing/2014/main" id="{00000000-0008-0000-4600-000002D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315395" name="Picture 3">
          <a:extLst>
            <a:ext uri="{FF2B5EF4-FFF2-40B4-BE49-F238E27FC236}">
              <a16:creationId xmlns:a16="http://schemas.microsoft.com/office/drawing/2014/main" id="{00000000-0008-0000-4600-000003D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194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315396" name="Picture 4">
          <a:extLst>
            <a:ext uri="{FF2B5EF4-FFF2-40B4-BE49-F238E27FC236}">
              <a16:creationId xmlns:a16="http://schemas.microsoft.com/office/drawing/2014/main" id="{00000000-0008-0000-4600-000004D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47925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15397" name="Picture 5">
          <a:extLst>
            <a:ext uri="{FF2B5EF4-FFF2-40B4-BE49-F238E27FC236}">
              <a16:creationId xmlns:a16="http://schemas.microsoft.com/office/drawing/2014/main" id="{00000000-0008-0000-4600-000005D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385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15398" name="Picture 6">
          <a:extLst>
            <a:ext uri="{FF2B5EF4-FFF2-40B4-BE49-F238E27FC236}">
              <a16:creationId xmlns:a16="http://schemas.microsoft.com/office/drawing/2014/main" id="{00000000-0008-0000-4600-000006D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5765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15399" name="Picture 7">
          <a:extLst>
            <a:ext uri="{FF2B5EF4-FFF2-40B4-BE49-F238E27FC236}">
              <a16:creationId xmlns:a16="http://schemas.microsoft.com/office/drawing/2014/main" id="{00000000-0008-0000-4600-000007D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7680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315400" name="Picture 8">
          <a:extLst>
            <a:ext uri="{FF2B5EF4-FFF2-40B4-BE49-F238E27FC236}">
              <a16:creationId xmlns:a16="http://schemas.microsoft.com/office/drawing/2014/main" id="{00000000-0008-0000-4600-000008D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3865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315401" name="Picture 9">
          <a:extLst>
            <a:ext uri="{FF2B5EF4-FFF2-40B4-BE49-F238E27FC236}">
              <a16:creationId xmlns:a16="http://schemas.microsoft.com/office/drawing/2014/main" id="{00000000-0008-0000-4600-000009D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152400</xdr:rowOff>
        </xdr:from>
        <xdr:to>
          <xdr:col>1</xdr:col>
          <xdr:colOff>527050</xdr:colOff>
          <xdr:row>19</xdr:row>
          <xdr:rowOff>152400</xdr:rowOff>
        </xdr:to>
        <xdr:sp macro="" textlink="">
          <xdr:nvSpPr>
            <xdr:cNvPr id="315402" name="Object 10" hidden="1">
              <a:extLst>
                <a:ext uri="{63B3BB69-23CF-44E3-9099-C40C66FF867C}">
                  <a14:compatExt spid="_x0000_s315402"/>
                </a:ext>
                <a:ext uri="{FF2B5EF4-FFF2-40B4-BE49-F238E27FC236}">
                  <a16:creationId xmlns:a16="http://schemas.microsoft.com/office/drawing/2014/main" id="{00000000-0008-0000-4600-00000AD0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03425" name="Picture 1">
          <a:extLst>
            <a:ext uri="{FF2B5EF4-FFF2-40B4-BE49-F238E27FC236}">
              <a16:creationId xmlns:a16="http://schemas.microsoft.com/office/drawing/2014/main" id="{00000000-0008-0000-4800-0000019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103426" name="Picture 2">
          <a:extLst>
            <a:ext uri="{FF2B5EF4-FFF2-40B4-BE49-F238E27FC236}">
              <a16:creationId xmlns:a16="http://schemas.microsoft.com/office/drawing/2014/main" id="{00000000-0008-0000-4800-0000029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103427" name="Picture 3">
          <a:extLst>
            <a:ext uri="{FF2B5EF4-FFF2-40B4-BE49-F238E27FC236}">
              <a16:creationId xmlns:a16="http://schemas.microsoft.com/office/drawing/2014/main" id="{00000000-0008-0000-4800-0000039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194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103428" name="Picture 4">
          <a:extLst>
            <a:ext uri="{FF2B5EF4-FFF2-40B4-BE49-F238E27FC236}">
              <a16:creationId xmlns:a16="http://schemas.microsoft.com/office/drawing/2014/main" id="{00000000-0008-0000-4800-0000049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47925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03429" name="Picture 5">
          <a:extLst>
            <a:ext uri="{FF2B5EF4-FFF2-40B4-BE49-F238E27FC236}">
              <a16:creationId xmlns:a16="http://schemas.microsoft.com/office/drawing/2014/main" id="{00000000-0008-0000-4800-0000059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385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03430" name="Picture 6">
          <a:extLst>
            <a:ext uri="{FF2B5EF4-FFF2-40B4-BE49-F238E27FC236}">
              <a16:creationId xmlns:a16="http://schemas.microsoft.com/office/drawing/2014/main" id="{00000000-0008-0000-4800-0000069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5765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03431" name="Picture 7">
          <a:extLst>
            <a:ext uri="{FF2B5EF4-FFF2-40B4-BE49-F238E27FC236}">
              <a16:creationId xmlns:a16="http://schemas.microsoft.com/office/drawing/2014/main" id="{00000000-0008-0000-4800-0000079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7680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103432" name="Picture 8">
          <a:extLst>
            <a:ext uri="{FF2B5EF4-FFF2-40B4-BE49-F238E27FC236}">
              <a16:creationId xmlns:a16="http://schemas.microsoft.com/office/drawing/2014/main" id="{00000000-0008-0000-4800-0000089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3865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103433" name="Picture 9">
          <a:extLst>
            <a:ext uri="{FF2B5EF4-FFF2-40B4-BE49-F238E27FC236}">
              <a16:creationId xmlns:a16="http://schemas.microsoft.com/office/drawing/2014/main" id="{00000000-0008-0000-4800-0000099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152400</xdr:rowOff>
        </xdr:from>
        <xdr:to>
          <xdr:col>1</xdr:col>
          <xdr:colOff>527050</xdr:colOff>
          <xdr:row>19</xdr:row>
          <xdr:rowOff>152400</xdr:rowOff>
        </xdr:to>
        <xdr:sp macro="" textlink="">
          <xdr:nvSpPr>
            <xdr:cNvPr id="103434" name="Object 10" hidden="1">
              <a:extLst>
                <a:ext uri="{63B3BB69-23CF-44E3-9099-C40C66FF867C}">
                  <a14:compatExt spid="_x0000_s103434"/>
                </a:ext>
                <a:ext uri="{FF2B5EF4-FFF2-40B4-BE49-F238E27FC236}">
                  <a16:creationId xmlns:a16="http://schemas.microsoft.com/office/drawing/2014/main" id="{00000000-0008-0000-4800-00000A9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52225" name="Picture 1">
          <a:extLst>
            <a:ext uri="{FF2B5EF4-FFF2-40B4-BE49-F238E27FC236}">
              <a16:creationId xmlns:a16="http://schemas.microsoft.com/office/drawing/2014/main" id="{00000000-0008-0000-4A00-000001C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52226" name="Picture 2">
          <a:extLst>
            <a:ext uri="{FF2B5EF4-FFF2-40B4-BE49-F238E27FC236}">
              <a16:creationId xmlns:a16="http://schemas.microsoft.com/office/drawing/2014/main" id="{00000000-0008-0000-4A00-000002C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52227" name="Picture 3">
          <a:extLst>
            <a:ext uri="{FF2B5EF4-FFF2-40B4-BE49-F238E27FC236}">
              <a16:creationId xmlns:a16="http://schemas.microsoft.com/office/drawing/2014/main" id="{00000000-0008-0000-4A00-000003C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194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52228" name="Picture 4">
          <a:extLst>
            <a:ext uri="{FF2B5EF4-FFF2-40B4-BE49-F238E27FC236}">
              <a16:creationId xmlns:a16="http://schemas.microsoft.com/office/drawing/2014/main" id="{00000000-0008-0000-4A00-000004C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47925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52229" name="Picture 5">
          <a:extLst>
            <a:ext uri="{FF2B5EF4-FFF2-40B4-BE49-F238E27FC236}">
              <a16:creationId xmlns:a16="http://schemas.microsoft.com/office/drawing/2014/main" id="{00000000-0008-0000-4A00-000005C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385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52230" name="Picture 6">
          <a:extLst>
            <a:ext uri="{FF2B5EF4-FFF2-40B4-BE49-F238E27FC236}">
              <a16:creationId xmlns:a16="http://schemas.microsoft.com/office/drawing/2014/main" id="{00000000-0008-0000-4A00-000006C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5765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52231" name="Picture 7">
          <a:extLst>
            <a:ext uri="{FF2B5EF4-FFF2-40B4-BE49-F238E27FC236}">
              <a16:creationId xmlns:a16="http://schemas.microsoft.com/office/drawing/2014/main" id="{00000000-0008-0000-4A00-000007C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7680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52232" name="Picture 8">
          <a:extLst>
            <a:ext uri="{FF2B5EF4-FFF2-40B4-BE49-F238E27FC236}">
              <a16:creationId xmlns:a16="http://schemas.microsoft.com/office/drawing/2014/main" id="{00000000-0008-0000-4A00-000008C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3865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52233" name="Picture 9">
          <a:extLst>
            <a:ext uri="{FF2B5EF4-FFF2-40B4-BE49-F238E27FC236}">
              <a16:creationId xmlns:a16="http://schemas.microsoft.com/office/drawing/2014/main" id="{00000000-0008-0000-4A00-000009C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152400</xdr:rowOff>
        </xdr:from>
        <xdr:to>
          <xdr:col>1</xdr:col>
          <xdr:colOff>527050</xdr:colOff>
          <xdr:row>19</xdr:row>
          <xdr:rowOff>152400</xdr:rowOff>
        </xdr:to>
        <xdr:sp macro="" textlink="">
          <xdr:nvSpPr>
            <xdr:cNvPr id="52234" name="Object 10" hidden="1">
              <a:extLst>
                <a:ext uri="{63B3BB69-23CF-44E3-9099-C40C66FF867C}">
                  <a14:compatExt spid="_x0000_s52234"/>
                </a:ext>
                <a:ext uri="{FF2B5EF4-FFF2-40B4-BE49-F238E27FC236}">
                  <a16:creationId xmlns:a16="http://schemas.microsoft.com/office/drawing/2014/main" id="{00000000-0008-0000-4A00-00000AC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92161" name="Picture 1">
          <a:extLst>
            <a:ext uri="{FF2B5EF4-FFF2-40B4-BE49-F238E27FC236}">
              <a16:creationId xmlns:a16="http://schemas.microsoft.com/office/drawing/2014/main" id="{00000000-0008-0000-4C00-0000016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8</xdr:row>
      <xdr:rowOff>190500</xdr:rowOff>
    </xdr:to>
    <xdr:pic>
      <xdr:nvPicPr>
        <xdr:cNvPr id="92162" name="Picture 2">
          <a:extLst>
            <a:ext uri="{FF2B5EF4-FFF2-40B4-BE49-F238E27FC236}">
              <a16:creationId xmlns:a16="http://schemas.microsoft.com/office/drawing/2014/main" id="{00000000-0008-0000-4C00-0000026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92163" name="Picture 3">
          <a:extLst>
            <a:ext uri="{FF2B5EF4-FFF2-40B4-BE49-F238E27FC236}">
              <a16:creationId xmlns:a16="http://schemas.microsoft.com/office/drawing/2014/main" id="{00000000-0008-0000-4C00-0000036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194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92164" name="Picture 4">
          <a:extLst>
            <a:ext uri="{FF2B5EF4-FFF2-40B4-BE49-F238E27FC236}">
              <a16:creationId xmlns:a16="http://schemas.microsoft.com/office/drawing/2014/main" id="{00000000-0008-0000-4C00-0000046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47925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92165" name="Picture 5">
          <a:extLst>
            <a:ext uri="{FF2B5EF4-FFF2-40B4-BE49-F238E27FC236}">
              <a16:creationId xmlns:a16="http://schemas.microsoft.com/office/drawing/2014/main" id="{00000000-0008-0000-4C00-0000056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385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92166" name="Picture 6">
          <a:extLst>
            <a:ext uri="{FF2B5EF4-FFF2-40B4-BE49-F238E27FC236}">
              <a16:creationId xmlns:a16="http://schemas.microsoft.com/office/drawing/2014/main" id="{00000000-0008-0000-4C00-0000066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5765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92167" name="Picture 7">
          <a:extLst>
            <a:ext uri="{FF2B5EF4-FFF2-40B4-BE49-F238E27FC236}">
              <a16:creationId xmlns:a16="http://schemas.microsoft.com/office/drawing/2014/main" id="{00000000-0008-0000-4C00-0000076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7680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92168" name="Picture 8">
          <a:extLst>
            <a:ext uri="{FF2B5EF4-FFF2-40B4-BE49-F238E27FC236}">
              <a16:creationId xmlns:a16="http://schemas.microsoft.com/office/drawing/2014/main" id="{00000000-0008-0000-4C00-0000086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3865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92169" name="Picture 9">
          <a:extLst>
            <a:ext uri="{FF2B5EF4-FFF2-40B4-BE49-F238E27FC236}">
              <a16:creationId xmlns:a16="http://schemas.microsoft.com/office/drawing/2014/main" id="{00000000-0008-0000-4C00-0000096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152400</xdr:rowOff>
        </xdr:from>
        <xdr:to>
          <xdr:col>1</xdr:col>
          <xdr:colOff>527050</xdr:colOff>
          <xdr:row>19</xdr:row>
          <xdr:rowOff>152400</xdr:rowOff>
        </xdr:to>
        <xdr:sp macro="" textlink="">
          <xdr:nvSpPr>
            <xdr:cNvPr id="92170" name="Object 10" hidden="1">
              <a:extLst>
                <a:ext uri="{63B3BB69-23CF-44E3-9099-C40C66FF867C}">
                  <a14:compatExt spid="_x0000_s92170"/>
                </a:ext>
                <a:ext uri="{FF2B5EF4-FFF2-40B4-BE49-F238E27FC236}">
                  <a16:creationId xmlns:a16="http://schemas.microsoft.com/office/drawing/2014/main" id="{00000000-0008-0000-4C00-00000A6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73409" name="Picture 1">
          <a:extLst>
            <a:ext uri="{FF2B5EF4-FFF2-40B4-BE49-F238E27FC236}">
              <a16:creationId xmlns:a16="http://schemas.microsoft.com/office/drawing/2014/main" id="{00000000-0008-0000-4E00-0000012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273410" name="Picture 2">
          <a:extLst>
            <a:ext uri="{FF2B5EF4-FFF2-40B4-BE49-F238E27FC236}">
              <a16:creationId xmlns:a16="http://schemas.microsoft.com/office/drawing/2014/main" id="{00000000-0008-0000-4E00-0000022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273411" name="Picture 3">
          <a:extLst>
            <a:ext uri="{FF2B5EF4-FFF2-40B4-BE49-F238E27FC236}">
              <a16:creationId xmlns:a16="http://schemas.microsoft.com/office/drawing/2014/main" id="{00000000-0008-0000-4E00-0000032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194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273412" name="Picture 4">
          <a:extLst>
            <a:ext uri="{FF2B5EF4-FFF2-40B4-BE49-F238E27FC236}">
              <a16:creationId xmlns:a16="http://schemas.microsoft.com/office/drawing/2014/main" id="{00000000-0008-0000-4E00-0000042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47925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273413" name="Picture 5">
          <a:extLst>
            <a:ext uri="{FF2B5EF4-FFF2-40B4-BE49-F238E27FC236}">
              <a16:creationId xmlns:a16="http://schemas.microsoft.com/office/drawing/2014/main" id="{00000000-0008-0000-4E00-0000052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385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273414" name="Picture 6">
          <a:extLst>
            <a:ext uri="{FF2B5EF4-FFF2-40B4-BE49-F238E27FC236}">
              <a16:creationId xmlns:a16="http://schemas.microsoft.com/office/drawing/2014/main" id="{00000000-0008-0000-4E00-0000062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5765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273415" name="Picture 7">
          <a:extLst>
            <a:ext uri="{FF2B5EF4-FFF2-40B4-BE49-F238E27FC236}">
              <a16:creationId xmlns:a16="http://schemas.microsoft.com/office/drawing/2014/main" id="{00000000-0008-0000-4E00-0000072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7680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273416" name="Picture 8">
          <a:extLst>
            <a:ext uri="{FF2B5EF4-FFF2-40B4-BE49-F238E27FC236}">
              <a16:creationId xmlns:a16="http://schemas.microsoft.com/office/drawing/2014/main" id="{00000000-0008-0000-4E00-0000082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3865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273417" name="Picture 9">
          <a:extLst>
            <a:ext uri="{FF2B5EF4-FFF2-40B4-BE49-F238E27FC236}">
              <a16:creationId xmlns:a16="http://schemas.microsoft.com/office/drawing/2014/main" id="{00000000-0008-0000-4E00-0000092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152400</xdr:rowOff>
        </xdr:from>
        <xdr:to>
          <xdr:col>1</xdr:col>
          <xdr:colOff>527050</xdr:colOff>
          <xdr:row>19</xdr:row>
          <xdr:rowOff>152400</xdr:rowOff>
        </xdr:to>
        <xdr:sp macro="" textlink="">
          <xdr:nvSpPr>
            <xdr:cNvPr id="273418" name="Object 10" hidden="1">
              <a:extLst>
                <a:ext uri="{63B3BB69-23CF-44E3-9099-C40C66FF867C}">
                  <a14:compatExt spid="_x0000_s273418"/>
                </a:ext>
                <a:ext uri="{FF2B5EF4-FFF2-40B4-BE49-F238E27FC236}">
                  <a16:creationId xmlns:a16="http://schemas.microsoft.com/office/drawing/2014/main" id="{00000000-0008-0000-4E00-00000A2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89089" name="Picture 1">
          <a:extLst>
            <a:ext uri="{FF2B5EF4-FFF2-40B4-BE49-F238E27FC236}">
              <a16:creationId xmlns:a16="http://schemas.microsoft.com/office/drawing/2014/main" id="{00000000-0008-0000-5000-0000015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89090" name="Picture 2">
          <a:extLst>
            <a:ext uri="{FF2B5EF4-FFF2-40B4-BE49-F238E27FC236}">
              <a16:creationId xmlns:a16="http://schemas.microsoft.com/office/drawing/2014/main" id="{00000000-0008-0000-5000-0000025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89091" name="Picture 3">
          <a:extLst>
            <a:ext uri="{FF2B5EF4-FFF2-40B4-BE49-F238E27FC236}">
              <a16:creationId xmlns:a16="http://schemas.microsoft.com/office/drawing/2014/main" id="{00000000-0008-0000-5000-0000035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89092" name="Picture 4">
          <a:extLst>
            <a:ext uri="{FF2B5EF4-FFF2-40B4-BE49-F238E27FC236}">
              <a16:creationId xmlns:a16="http://schemas.microsoft.com/office/drawing/2014/main" id="{00000000-0008-0000-5000-0000045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89093" name="Picture 5">
          <a:extLst>
            <a:ext uri="{FF2B5EF4-FFF2-40B4-BE49-F238E27FC236}">
              <a16:creationId xmlns:a16="http://schemas.microsoft.com/office/drawing/2014/main" id="{00000000-0008-0000-5000-0000055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89094" name="Picture 6">
          <a:extLst>
            <a:ext uri="{FF2B5EF4-FFF2-40B4-BE49-F238E27FC236}">
              <a16:creationId xmlns:a16="http://schemas.microsoft.com/office/drawing/2014/main" id="{00000000-0008-0000-5000-0000065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9095" name="Picture 7">
          <a:extLst>
            <a:ext uri="{FF2B5EF4-FFF2-40B4-BE49-F238E27FC236}">
              <a16:creationId xmlns:a16="http://schemas.microsoft.com/office/drawing/2014/main" id="{00000000-0008-0000-5000-0000075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89096" name="Picture 8">
          <a:extLst>
            <a:ext uri="{FF2B5EF4-FFF2-40B4-BE49-F238E27FC236}">
              <a16:creationId xmlns:a16="http://schemas.microsoft.com/office/drawing/2014/main" id="{00000000-0008-0000-5000-0000085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89097" name="Picture 9">
          <a:extLst>
            <a:ext uri="{FF2B5EF4-FFF2-40B4-BE49-F238E27FC236}">
              <a16:creationId xmlns:a16="http://schemas.microsoft.com/office/drawing/2014/main" id="{00000000-0008-0000-5000-0000095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89098" name="Object 10" hidden="1">
              <a:extLst>
                <a:ext uri="{63B3BB69-23CF-44E3-9099-C40C66FF867C}">
                  <a14:compatExt spid="_x0000_s89098"/>
                </a:ext>
                <a:ext uri="{FF2B5EF4-FFF2-40B4-BE49-F238E27FC236}">
                  <a16:creationId xmlns:a16="http://schemas.microsoft.com/office/drawing/2014/main" id="{00000000-0008-0000-5000-00000A5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40641" name="Picture 1">
          <a:extLst>
            <a:ext uri="{FF2B5EF4-FFF2-40B4-BE49-F238E27FC236}">
              <a16:creationId xmlns:a16="http://schemas.microsoft.com/office/drawing/2014/main" id="{00000000-0008-0000-5200-000001AC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240642" name="Picture 2">
          <a:extLst>
            <a:ext uri="{FF2B5EF4-FFF2-40B4-BE49-F238E27FC236}">
              <a16:creationId xmlns:a16="http://schemas.microsoft.com/office/drawing/2014/main" id="{00000000-0008-0000-5200-000002AC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240643" name="Picture 3">
          <a:extLst>
            <a:ext uri="{FF2B5EF4-FFF2-40B4-BE49-F238E27FC236}">
              <a16:creationId xmlns:a16="http://schemas.microsoft.com/office/drawing/2014/main" id="{00000000-0008-0000-5200-000003AC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194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240644" name="Picture 4">
          <a:extLst>
            <a:ext uri="{FF2B5EF4-FFF2-40B4-BE49-F238E27FC236}">
              <a16:creationId xmlns:a16="http://schemas.microsoft.com/office/drawing/2014/main" id="{00000000-0008-0000-5200-000004AC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47925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240645" name="Picture 5">
          <a:extLst>
            <a:ext uri="{FF2B5EF4-FFF2-40B4-BE49-F238E27FC236}">
              <a16:creationId xmlns:a16="http://schemas.microsoft.com/office/drawing/2014/main" id="{00000000-0008-0000-5200-000005AC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385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240646" name="Picture 6">
          <a:extLst>
            <a:ext uri="{FF2B5EF4-FFF2-40B4-BE49-F238E27FC236}">
              <a16:creationId xmlns:a16="http://schemas.microsoft.com/office/drawing/2014/main" id="{00000000-0008-0000-5200-000006AC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5765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240647" name="Picture 7">
          <a:extLst>
            <a:ext uri="{FF2B5EF4-FFF2-40B4-BE49-F238E27FC236}">
              <a16:creationId xmlns:a16="http://schemas.microsoft.com/office/drawing/2014/main" id="{00000000-0008-0000-5200-000007AC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7680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240648" name="Picture 8">
          <a:extLst>
            <a:ext uri="{FF2B5EF4-FFF2-40B4-BE49-F238E27FC236}">
              <a16:creationId xmlns:a16="http://schemas.microsoft.com/office/drawing/2014/main" id="{00000000-0008-0000-5200-000008AC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3865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240649" name="Picture 9">
          <a:extLst>
            <a:ext uri="{FF2B5EF4-FFF2-40B4-BE49-F238E27FC236}">
              <a16:creationId xmlns:a16="http://schemas.microsoft.com/office/drawing/2014/main" id="{00000000-0008-0000-5200-000009AC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152400</xdr:rowOff>
        </xdr:from>
        <xdr:to>
          <xdr:col>1</xdr:col>
          <xdr:colOff>527050</xdr:colOff>
          <xdr:row>19</xdr:row>
          <xdr:rowOff>152400</xdr:rowOff>
        </xdr:to>
        <xdr:sp macro="" textlink="">
          <xdr:nvSpPr>
            <xdr:cNvPr id="240650" name="Object 10" hidden="1">
              <a:extLst>
                <a:ext uri="{63B3BB69-23CF-44E3-9099-C40C66FF867C}">
                  <a14:compatExt spid="_x0000_s240650"/>
                </a:ext>
                <a:ext uri="{FF2B5EF4-FFF2-40B4-BE49-F238E27FC236}">
                  <a16:creationId xmlns:a16="http://schemas.microsoft.com/office/drawing/2014/main" id="{00000000-0008-0000-5200-00000AA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318465" name="Picture 1">
          <a:extLst>
            <a:ext uri="{FF2B5EF4-FFF2-40B4-BE49-F238E27FC236}">
              <a16:creationId xmlns:a16="http://schemas.microsoft.com/office/drawing/2014/main" id="{00000000-0008-0000-5400-000001D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318466" name="Picture 2">
          <a:extLst>
            <a:ext uri="{FF2B5EF4-FFF2-40B4-BE49-F238E27FC236}">
              <a16:creationId xmlns:a16="http://schemas.microsoft.com/office/drawing/2014/main" id="{00000000-0008-0000-5400-000002D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318467" name="Picture 3">
          <a:extLst>
            <a:ext uri="{FF2B5EF4-FFF2-40B4-BE49-F238E27FC236}">
              <a16:creationId xmlns:a16="http://schemas.microsoft.com/office/drawing/2014/main" id="{00000000-0008-0000-5400-000003D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1940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318468" name="Picture 4">
          <a:extLst>
            <a:ext uri="{FF2B5EF4-FFF2-40B4-BE49-F238E27FC236}">
              <a16:creationId xmlns:a16="http://schemas.microsoft.com/office/drawing/2014/main" id="{00000000-0008-0000-5400-000004D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47925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18469" name="Picture 5">
          <a:extLst>
            <a:ext uri="{FF2B5EF4-FFF2-40B4-BE49-F238E27FC236}">
              <a16:creationId xmlns:a16="http://schemas.microsoft.com/office/drawing/2014/main" id="{00000000-0008-0000-5400-000005D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3850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18470" name="Picture 6">
          <a:extLst>
            <a:ext uri="{FF2B5EF4-FFF2-40B4-BE49-F238E27FC236}">
              <a16:creationId xmlns:a16="http://schemas.microsoft.com/office/drawing/2014/main" id="{00000000-0008-0000-5400-000006D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5765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18471" name="Picture 7">
          <a:extLst>
            <a:ext uri="{FF2B5EF4-FFF2-40B4-BE49-F238E27FC236}">
              <a16:creationId xmlns:a16="http://schemas.microsoft.com/office/drawing/2014/main" id="{00000000-0008-0000-5400-000007D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7680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318472" name="Picture 8">
          <a:extLst>
            <a:ext uri="{FF2B5EF4-FFF2-40B4-BE49-F238E27FC236}">
              <a16:creationId xmlns:a16="http://schemas.microsoft.com/office/drawing/2014/main" id="{00000000-0008-0000-5400-000008D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38650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318473" name="Picture 9">
          <a:extLst>
            <a:ext uri="{FF2B5EF4-FFF2-40B4-BE49-F238E27FC236}">
              <a16:creationId xmlns:a16="http://schemas.microsoft.com/office/drawing/2014/main" id="{00000000-0008-0000-5400-000009D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152400</xdr:rowOff>
        </xdr:from>
        <xdr:to>
          <xdr:col>1</xdr:col>
          <xdr:colOff>527050</xdr:colOff>
          <xdr:row>19</xdr:row>
          <xdr:rowOff>152400</xdr:rowOff>
        </xdr:to>
        <xdr:sp macro="" textlink="">
          <xdr:nvSpPr>
            <xdr:cNvPr id="318474" name="Object 10" hidden="1">
              <a:extLst>
                <a:ext uri="{63B3BB69-23CF-44E3-9099-C40C66FF867C}">
                  <a14:compatExt spid="_x0000_s318474"/>
                </a:ext>
                <a:ext uri="{FF2B5EF4-FFF2-40B4-BE49-F238E27FC236}">
                  <a16:creationId xmlns:a16="http://schemas.microsoft.com/office/drawing/2014/main" id="{00000000-0008-0000-5400-00000AD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317441" name="Picture 1">
          <a:extLst>
            <a:ext uri="{FF2B5EF4-FFF2-40B4-BE49-F238E27FC236}">
              <a16:creationId xmlns:a16="http://schemas.microsoft.com/office/drawing/2014/main" id="{00000000-0008-0000-5600-000001D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317442" name="Picture 2">
          <a:extLst>
            <a:ext uri="{FF2B5EF4-FFF2-40B4-BE49-F238E27FC236}">
              <a16:creationId xmlns:a16="http://schemas.microsoft.com/office/drawing/2014/main" id="{00000000-0008-0000-5600-000002D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317443" name="Picture 3">
          <a:extLst>
            <a:ext uri="{FF2B5EF4-FFF2-40B4-BE49-F238E27FC236}">
              <a16:creationId xmlns:a16="http://schemas.microsoft.com/office/drawing/2014/main" id="{00000000-0008-0000-5600-000003D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317444" name="Picture 4">
          <a:extLst>
            <a:ext uri="{FF2B5EF4-FFF2-40B4-BE49-F238E27FC236}">
              <a16:creationId xmlns:a16="http://schemas.microsoft.com/office/drawing/2014/main" id="{00000000-0008-0000-5600-000004D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17445" name="Picture 5">
          <a:extLst>
            <a:ext uri="{FF2B5EF4-FFF2-40B4-BE49-F238E27FC236}">
              <a16:creationId xmlns:a16="http://schemas.microsoft.com/office/drawing/2014/main" id="{00000000-0008-0000-5600-000005D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17446" name="Picture 6">
          <a:extLst>
            <a:ext uri="{FF2B5EF4-FFF2-40B4-BE49-F238E27FC236}">
              <a16:creationId xmlns:a16="http://schemas.microsoft.com/office/drawing/2014/main" id="{00000000-0008-0000-5600-000006D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17447" name="Picture 7">
          <a:extLst>
            <a:ext uri="{FF2B5EF4-FFF2-40B4-BE49-F238E27FC236}">
              <a16:creationId xmlns:a16="http://schemas.microsoft.com/office/drawing/2014/main" id="{00000000-0008-0000-5600-000007D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317448" name="Picture 8">
          <a:extLst>
            <a:ext uri="{FF2B5EF4-FFF2-40B4-BE49-F238E27FC236}">
              <a16:creationId xmlns:a16="http://schemas.microsoft.com/office/drawing/2014/main" id="{00000000-0008-0000-5600-000008D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317449" name="Picture 9">
          <a:extLst>
            <a:ext uri="{FF2B5EF4-FFF2-40B4-BE49-F238E27FC236}">
              <a16:creationId xmlns:a16="http://schemas.microsoft.com/office/drawing/2014/main" id="{00000000-0008-0000-5600-000009D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317450" name="Object 10" hidden="1">
              <a:extLst>
                <a:ext uri="{63B3BB69-23CF-44E3-9099-C40C66FF867C}">
                  <a14:compatExt spid="_x0000_s317450"/>
                </a:ext>
                <a:ext uri="{FF2B5EF4-FFF2-40B4-BE49-F238E27FC236}">
                  <a16:creationId xmlns:a16="http://schemas.microsoft.com/office/drawing/2014/main" id="{00000000-0008-0000-5600-00000AD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40961" name="Picture 1">
          <a:extLst>
            <a:ext uri="{FF2B5EF4-FFF2-40B4-BE49-F238E27FC236}">
              <a16:creationId xmlns:a16="http://schemas.microsoft.com/office/drawing/2014/main" id="{00000000-0008-0000-5800-000001A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40962" name="Picture 2">
          <a:extLst>
            <a:ext uri="{FF2B5EF4-FFF2-40B4-BE49-F238E27FC236}">
              <a16:creationId xmlns:a16="http://schemas.microsoft.com/office/drawing/2014/main" id="{00000000-0008-0000-5800-000002A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40963" name="Picture 3">
          <a:extLst>
            <a:ext uri="{FF2B5EF4-FFF2-40B4-BE49-F238E27FC236}">
              <a16:creationId xmlns:a16="http://schemas.microsoft.com/office/drawing/2014/main" id="{00000000-0008-0000-5800-000003A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40964" name="Picture 4">
          <a:extLst>
            <a:ext uri="{FF2B5EF4-FFF2-40B4-BE49-F238E27FC236}">
              <a16:creationId xmlns:a16="http://schemas.microsoft.com/office/drawing/2014/main" id="{00000000-0008-0000-5800-000004A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40965" name="Picture 5">
          <a:extLst>
            <a:ext uri="{FF2B5EF4-FFF2-40B4-BE49-F238E27FC236}">
              <a16:creationId xmlns:a16="http://schemas.microsoft.com/office/drawing/2014/main" id="{00000000-0008-0000-5800-000005A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40966" name="Picture 6">
          <a:extLst>
            <a:ext uri="{FF2B5EF4-FFF2-40B4-BE49-F238E27FC236}">
              <a16:creationId xmlns:a16="http://schemas.microsoft.com/office/drawing/2014/main" id="{00000000-0008-0000-5800-000006A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40967" name="Picture 7">
          <a:extLst>
            <a:ext uri="{FF2B5EF4-FFF2-40B4-BE49-F238E27FC236}">
              <a16:creationId xmlns:a16="http://schemas.microsoft.com/office/drawing/2014/main" id="{00000000-0008-0000-5800-000007A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40968" name="Picture 8">
          <a:extLst>
            <a:ext uri="{FF2B5EF4-FFF2-40B4-BE49-F238E27FC236}">
              <a16:creationId xmlns:a16="http://schemas.microsoft.com/office/drawing/2014/main" id="{00000000-0008-0000-5800-000008A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40969" name="Picture 9">
          <a:extLst>
            <a:ext uri="{FF2B5EF4-FFF2-40B4-BE49-F238E27FC236}">
              <a16:creationId xmlns:a16="http://schemas.microsoft.com/office/drawing/2014/main" id="{00000000-0008-0000-5800-000009A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40970" name="Object 10" hidden="1">
              <a:extLst>
                <a:ext uri="{63B3BB69-23CF-44E3-9099-C40C66FF867C}">
                  <a14:compatExt spid="_x0000_s40970"/>
                </a:ext>
                <a:ext uri="{FF2B5EF4-FFF2-40B4-BE49-F238E27FC236}">
                  <a16:creationId xmlns:a16="http://schemas.microsoft.com/office/drawing/2014/main" id="{00000000-0008-0000-5800-00000A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90113" name="Picture 1">
          <a:extLst>
            <a:ext uri="{FF2B5EF4-FFF2-40B4-BE49-F238E27FC236}">
              <a16:creationId xmlns:a16="http://schemas.microsoft.com/office/drawing/2014/main" id="{00000000-0008-0000-5A00-0000016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90114" name="Picture 2">
          <a:extLst>
            <a:ext uri="{FF2B5EF4-FFF2-40B4-BE49-F238E27FC236}">
              <a16:creationId xmlns:a16="http://schemas.microsoft.com/office/drawing/2014/main" id="{00000000-0008-0000-5A00-0000026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90115" name="Picture 3">
          <a:extLst>
            <a:ext uri="{FF2B5EF4-FFF2-40B4-BE49-F238E27FC236}">
              <a16:creationId xmlns:a16="http://schemas.microsoft.com/office/drawing/2014/main" id="{00000000-0008-0000-5A00-0000036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90116" name="Picture 4">
          <a:extLst>
            <a:ext uri="{FF2B5EF4-FFF2-40B4-BE49-F238E27FC236}">
              <a16:creationId xmlns:a16="http://schemas.microsoft.com/office/drawing/2014/main" id="{00000000-0008-0000-5A00-0000046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90117" name="Picture 5">
          <a:extLst>
            <a:ext uri="{FF2B5EF4-FFF2-40B4-BE49-F238E27FC236}">
              <a16:creationId xmlns:a16="http://schemas.microsoft.com/office/drawing/2014/main" id="{00000000-0008-0000-5A00-0000056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90118" name="Picture 6">
          <a:extLst>
            <a:ext uri="{FF2B5EF4-FFF2-40B4-BE49-F238E27FC236}">
              <a16:creationId xmlns:a16="http://schemas.microsoft.com/office/drawing/2014/main" id="{00000000-0008-0000-5A00-0000066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90119" name="Picture 7">
          <a:extLst>
            <a:ext uri="{FF2B5EF4-FFF2-40B4-BE49-F238E27FC236}">
              <a16:creationId xmlns:a16="http://schemas.microsoft.com/office/drawing/2014/main" id="{00000000-0008-0000-5A00-0000076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90120" name="Picture 8">
          <a:extLst>
            <a:ext uri="{FF2B5EF4-FFF2-40B4-BE49-F238E27FC236}">
              <a16:creationId xmlns:a16="http://schemas.microsoft.com/office/drawing/2014/main" id="{00000000-0008-0000-5A00-0000086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90121" name="Picture 9">
          <a:extLst>
            <a:ext uri="{FF2B5EF4-FFF2-40B4-BE49-F238E27FC236}">
              <a16:creationId xmlns:a16="http://schemas.microsoft.com/office/drawing/2014/main" id="{00000000-0008-0000-5A00-0000096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90122" name="Object 10" hidden="1">
              <a:extLst>
                <a:ext uri="{63B3BB69-23CF-44E3-9099-C40C66FF867C}">
                  <a14:compatExt spid="_x0000_s90122"/>
                </a:ext>
                <a:ext uri="{FF2B5EF4-FFF2-40B4-BE49-F238E27FC236}">
                  <a16:creationId xmlns:a16="http://schemas.microsoft.com/office/drawing/2014/main" id="{00000000-0008-0000-5A00-00000A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75457" name="Picture 1">
          <a:extLst>
            <a:ext uri="{FF2B5EF4-FFF2-40B4-BE49-F238E27FC236}">
              <a16:creationId xmlns:a16="http://schemas.microsoft.com/office/drawing/2014/main" id="{00000000-0008-0000-5C00-0000013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8</xdr:row>
      <xdr:rowOff>190500</xdr:rowOff>
    </xdr:to>
    <xdr:pic>
      <xdr:nvPicPr>
        <xdr:cNvPr id="275458" name="Picture 2">
          <a:extLst>
            <a:ext uri="{FF2B5EF4-FFF2-40B4-BE49-F238E27FC236}">
              <a16:creationId xmlns:a16="http://schemas.microsoft.com/office/drawing/2014/main" id="{00000000-0008-0000-5C00-0000023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275459" name="Picture 3">
          <a:extLst>
            <a:ext uri="{FF2B5EF4-FFF2-40B4-BE49-F238E27FC236}">
              <a16:creationId xmlns:a16="http://schemas.microsoft.com/office/drawing/2014/main" id="{00000000-0008-0000-5C00-0000033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275460" name="Picture 4">
          <a:extLst>
            <a:ext uri="{FF2B5EF4-FFF2-40B4-BE49-F238E27FC236}">
              <a16:creationId xmlns:a16="http://schemas.microsoft.com/office/drawing/2014/main" id="{00000000-0008-0000-5C00-0000043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275461" name="Picture 5">
          <a:extLst>
            <a:ext uri="{FF2B5EF4-FFF2-40B4-BE49-F238E27FC236}">
              <a16:creationId xmlns:a16="http://schemas.microsoft.com/office/drawing/2014/main" id="{00000000-0008-0000-5C00-0000053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275462" name="Picture 6">
          <a:extLst>
            <a:ext uri="{FF2B5EF4-FFF2-40B4-BE49-F238E27FC236}">
              <a16:creationId xmlns:a16="http://schemas.microsoft.com/office/drawing/2014/main" id="{00000000-0008-0000-5C00-0000063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275463" name="Picture 7">
          <a:extLst>
            <a:ext uri="{FF2B5EF4-FFF2-40B4-BE49-F238E27FC236}">
              <a16:creationId xmlns:a16="http://schemas.microsoft.com/office/drawing/2014/main" id="{00000000-0008-0000-5C00-0000073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275464" name="Picture 8">
          <a:extLst>
            <a:ext uri="{FF2B5EF4-FFF2-40B4-BE49-F238E27FC236}">
              <a16:creationId xmlns:a16="http://schemas.microsoft.com/office/drawing/2014/main" id="{00000000-0008-0000-5C00-0000083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275465" name="Picture 9">
          <a:extLst>
            <a:ext uri="{FF2B5EF4-FFF2-40B4-BE49-F238E27FC236}">
              <a16:creationId xmlns:a16="http://schemas.microsoft.com/office/drawing/2014/main" id="{00000000-0008-0000-5C00-0000093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275466" name="Object 10" hidden="1">
              <a:extLst>
                <a:ext uri="{63B3BB69-23CF-44E3-9099-C40C66FF867C}">
                  <a14:compatExt spid="_x0000_s275466"/>
                </a:ext>
                <a:ext uri="{FF2B5EF4-FFF2-40B4-BE49-F238E27FC236}">
                  <a16:creationId xmlns:a16="http://schemas.microsoft.com/office/drawing/2014/main" id="{00000000-0008-0000-5C00-00000A3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53249" name="Picture 1">
          <a:extLst>
            <a:ext uri="{FF2B5EF4-FFF2-40B4-BE49-F238E27FC236}">
              <a16:creationId xmlns:a16="http://schemas.microsoft.com/office/drawing/2014/main" id="{00000000-0008-0000-5E00-000001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53250" name="Picture 2">
          <a:extLst>
            <a:ext uri="{FF2B5EF4-FFF2-40B4-BE49-F238E27FC236}">
              <a16:creationId xmlns:a16="http://schemas.microsoft.com/office/drawing/2014/main" id="{00000000-0008-0000-5E00-000002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53251" name="Picture 3">
          <a:extLst>
            <a:ext uri="{FF2B5EF4-FFF2-40B4-BE49-F238E27FC236}">
              <a16:creationId xmlns:a16="http://schemas.microsoft.com/office/drawing/2014/main" id="{00000000-0008-0000-5E00-000003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53252" name="Picture 4">
          <a:extLst>
            <a:ext uri="{FF2B5EF4-FFF2-40B4-BE49-F238E27FC236}">
              <a16:creationId xmlns:a16="http://schemas.microsoft.com/office/drawing/2014/main" id="{00000000-0008-0000-5E00-000004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53253" name="Picture 5">
          <a:extLst>
            <a:ext uri="{FF2B5EF4-FFF2-40B4-BE49-F238E27FC236}">
              <a16:creationId xmlns:a16="http://schemas.microsoft.com/office/drawing/2014/main" id="{00000000-0008-0000-5E00-000005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53254" name="Picture 6">
          <a:extLst>
            <a:ext uri="{FF2B5EF4-FFF2-40B4-BE49-F238E27FC236}">
              <a16:creationId xmlns:a16="http://schemas.microsoft.com/office/drawing/2014/main" id="{00000000-0008-0000-5E00-000006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53255" name="Picture 7">
          <a:extLst>
            <a:ext uri="{FF2B5EF4-FFF2-40B4-BE49-F238E27FC236}">
              <a16:creationId xmlns:a16="http://schemas.microsoft.com/office/drawing/2014/main" id="{00000000-0008-0000-5E00-000007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53256" name="Picture 8">
          <a:extLst>
            <a:ext uri="{FF2B5EF4-FFF2-40B4-BE49-F238E27FC236}">
              <a16:creationId xmlns:a16="http://schemas.microsoft.com/office/drawing/2014/main" id="{00000000-0008-0000-5E00-000008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53257" name="Picture 9">
          <a:extLst>
            <a:ext uri="{FF2B5EF4-FFF2-40B4-BE49-F238E27FC236}">
              <a16:creationId xmlns:a16="http://schemas.microsoft.com/office/drawing/2014/main" id="{00000000-0008-0000-5E00-000009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53258" name="Object 10" hidden="1">
              <a:extLst>
                <a:ext uri="{63B3BB69-23CF-44E3-9099-C40C66FF867C}">
                  <a14:compatExt spid="_x0000_s53258"/>
                </a:ext>
                <a:ext uri="{FF2B5EF4-FFF2-40B4-BE49-F238E27FC236}">
                  <a16:creationId xmlns:a16="http://schemas.microsoft.com/office/drawing/2014/main" id="{00000000-0008-0000-5E00-00000AD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70657" name="Picture 1">
          <a:extLst>
            <a:ext uri="{FF2B5EF4-FFF2-40B4-BE49-F238E27FC236}">
              <a16:creationId xmlns:a16="http://schemas.microsoft.com/office/drawing/2014/main" id="{00000000-0008-0000-6000-0000011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70658" name="Picture 2">
          <a:extLst>
            <a:ext uri="{FF2B5EF4-FFF2-40B4-BE49-F238E27FC236}">
              <a16:creationId xmlns:a16="http://schemas.microsoft.com/office/drawing/2014/main" id="{00000000-0008-0000-6000-0000021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70659" name="Picture 3">
          <a:extLst>
            <a:ext uri="{FF2B5EF4-FFF2-40B4-BE49-F238E27FC236}">
              <a16:creationId xmlns:a16="http://schemas.microsoft.com/office/drawing/2014/main" id="{00000000-0008-0000-6000-0000031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70660" name="Picture 4">
          <a:extLst>
            <a:ext uri="{FF2B5EF4-FFF2-40B4-BE49-F238E27FC236}">
              <a16:creationId xmlns:a16="http://schemas.microsoft.com/office/drawing/2014/main" id="{00000000-0008-0000-6000-0000041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70661" name="Picture 5">
          <a:extLst>
            <a:ext uri="{FF2B5EF4-FFF2-40B4-BE49-F238E27FC236}">
              <a16:creationId xmlns:a16="http://schemas.microsoft.com/office/drawing/2014/main" id="{00000000-0008-0000-6000-0000051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0662" name="Picture 6">
          <a:extLst>
            <a:ext uri="{FF2B5EF4-FFF2-40B4-BE49-F238E27FC236}">
              <a16:creationId xmlns:a16="http://schemas.microsoft.com/office/drawing/2014/main" id="{00000000-0008-0000-6000-0000061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70663" name="Picture 7">
          <a:extLst>
            <a:ext uri="{FF2B5EF4-FFF2-40B4-BE49-F238E27FC236}">
              <a16:creationId xmlns:a16="http://schemas.microsoft.com/office/drawing/2014/main" id="{00000000-0008-0000-6000-0000071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70664" name="Picture 8">
          <a:extLst>
            <a:ext uri="{FF2B5EF4-FFF2-40B4-BE49-F238E27FC236}">
              <a16:creationId xmlns:a16="http://schemas.microsoft.com/office/drawing/2014/main" id="{00000000-0008-0000-6000-0000081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70665" name="Picture 9">
          <a:extLst>
            <a:ext uri="{FF2B5EF4-FFF2-40B4-BE49-F238E27FC236}">
              <a16:creationId xmlns:a16="http://schemas.microsoft.com/office/drawing/2014/main" id="{00000000-0008-0000-6000-0000091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70666" name="Object 10" hidden="1">
              <a:extLst>
                <a:ext uri="{63B3BB69-23CF-44E3-9099-C40C66FF867C}">
                  <a14:compatExt spid="_x0000_s70666"/>
                </a:ext>
                <a:ext uri="{FF2B5EF4-FFF2-40B4-BE49-F238E27FC236}">
                  <a16:creationId xmlns:a16="http://schemas.microsoft.com/office/drawing/2014/main" id="{00000000-0008-0000-6000-00000A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319489" name="Picture 1">
          <a:extLst>
            <a:ext uri="{FF2B5EF4-FFF2-40B4-BE49-F238E27FC236}">
              <a16:creationId xmlns:a16="http://schemas.microsoft.com/office/drawing/2014/main" id="{00000000-0008-0000-6200-000001E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8</xdr:row>
      <xdr:rowOff>190500</xdr:rowOff>
    </xdr:to>
    <xdr:pic>
      <xdr:nvPicPr>
        <xdr:cNvPr id="319490" name="Picture 2">
          <a:extLst>
            <a:ext uri="{FF2B5EF4-FFF2-40B4-BE49-F238E27FC236}">
              <a16:creationId xmlns:a16="http://schemas.microsoft.com/office/drawing/2014/main" id="{00000000-0008-0000-6200-000002E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319491" name="Picture 3">
          <a:extLst>
            <a:ext uri="{FF2B5EF4-FFF2-40B4-BE49-F238E27FC236}">
              <a16:creationId xmlns:a16="http://schemas.microsoft.com/office/drawing/2014/main" id="{00000000-0008-0000-6200-000003E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319492" name="Picture 4">
          <a:extLst>
            <a:ext uri="{FF2B5EF4-FFF2-40B4-BE49-F238E27FC236}">
              <a16:creationId xmlns:a16="http://schemas.microsoft.com/office/drawing/2014/main" id="{00000000-0008-0000-6200-000004E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19493" name="Picture 5">
          <a:extLst>
            <a:ext uri="{FF2B5EF4-FFF2-40B4-BE49-F238E27FC236}">
              <a16:creationId xmlns:a16="http://schemas.microsoft.com/office/drawing/2014/main" id="{00000000-0008-0000-6200-000005E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19494" name="Picture 6">
          <a:extLst>
            <a:ext uri="{FF2B5EF4-FFF2-40B4-BE49-F238E27FC236}">
              <a16:creationId xmlns:a16="http://schemas.microsoft.com/office/drawing/2014/main" id="{00000000-0008-0000-6200-000006E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19495" name="Picture 7">
          <a:extLst>
            <a:ext uri="{FF2B5EF4-FFF2-40B4-BE49-F238E27FC236}">
              <a16:creationId xmlns:a16="http://schemas.microsoft.com/office/drawing/2014/main" id="{00000000-0008-0000-6200-000007E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319496" name="Picture 8">
          <a:extLst>
            <a:ext uri="{FF2B5EF4-FFF2-40B4-BE49-F238E27FC236}">
              <a16:creationId xmlns:a16="http://schemas.microsoft.com/office/drawing/2014/main" id="{00000000-0008-0000-6200-000008E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319497" name="Picture 9">
          <a:extLst>
            <a:ext uri="{FF2B5EF4-FFF2-40B4-BE49-F238E27FC236}">
              <a16:creationId xmlns:a16="http://schemas.microsoft.com/office/drawing/2014/main" id="{00000000-0008-0000-6200-000009E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319498" name="Object 10" hidden="1">
              <a:extLst>
                <a:ext uri="{63B3BB69-23CF-44E3-9099-C40C66FF867C}">
                  <a14:compatExt spid="_x0000_s319498"/>
                </a:ext>
                <a:ext uri="{FF2B5EF4-FFF2-40B4-BE49-F238E27FC236}">
                  <a16:creationId xmlns:a16="http://schemas.microsoft.com/office/drawing/2014/main" id="{00000000-0008-0000-6200-00000AE0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38100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64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28575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64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28575</xdr:rowOff>
    </xdr:to>
    <xdr:pic>
      <xdr:nvPicPr>
        <xdr:cNvPr id="22" name="Picture 3">
          <a:extLst>
            <a:ext uri="{FF2B5EF4-FFF2-40B4-BE49-F238E27FC236}">
              <a16:creationId xmlns:a16="http://schemas.microsoft.com/office/drawing/2014/main" id="{00000000-0008-0000-64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38100</xdr:rowOff>
    </xdr:to>
    <xdr:pic>
      <xdr:nvPicPr>
        <xdr:cNvPr id="23" name="Picture 4">
          <a:extLst>
            <a:ext uri="{FF2B5EF4-FFF2-40B4-BE49-F238E27FC236}">
              <a16:creationId xmlns:a16="http://schemas.microsoft.com/office/drawing/2014/main" id="{00000000-0008-0000-64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38100</xdr:rowOff>
    </xdr:to>
    <xdr:pic>
      <xdr:nvPicPr>
        <xdr:cNvPr id="24" name="Picture 5">
          <a:extLst>
            <a:ext uri="{FF2B5EF4-FFF2-40B4-BE49-F238E27FC236}">
              <a16:creationId xmlns:a16="http://schemas.microsoft.com/office/drawing/2014/main" id="{00000000-0008-0000-64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57150</xdr:rowOff>
    </xdr:to>
    <xdr:pic>
      <xdr:nvPicPr>
        <xdr:cNvPr id="25" name="Picture 6">
          <a:extLst>
            <a:ext uri="{FF2B5EF4-FFF2-40B4-BE49-F238E27FC236}">
              <a16:creationId xmlns:a16="http://schemas.microsoft.com/office/drawing/2014/main" id="{00000000-0008-0000-64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57150</xdr:rowOff>
    </xdr:to>
    <xdr:pic>
      <xdr:nvPicPr>
        <xdr:cNvPr id="26" name="Picture 7">
          <a:extLst>
            <a:ext uri="{FF2B5EF4-FFF2-40B4-BE49-F238E27FC236}">
              <a16:creationId xmlns:a16="http://schemas.microsoft.com/office/drawing/2014/main" id="{00000000-0008-0000-64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38100</xdr:rowOff>
    </xdr:to>
    <xdr:pic>
      <xdr:nvPicPr>
        <xdr:cNvPr id="27" name="Picture 8">
          <a:extLst>
            <a:ext uri="{FF2B5EF4-FFF2-40B4-BE49-F238E27FC236}">
              <a16:creationId xmlns:a16="http://schemas.microsoft.com/office/drawing/2014/main" id="{00000000-0008-0000-64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66675</xdr:rowOff>
    </xdr:to>
    <xdr:pic>
      <xdr:nvPicPr>
        <xdr:cNvPr id="28" name="Picture 9">
          <a:extLst>
            <a:ext uri="{FF2B5EF4-FFF2-40B4-BE49-F238E27FC236}">
              <a16:creationId xmlns:a16="http://schemas.microsoft.com/office/drawing/2014/main" id="{00000000-0008-0000-64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47625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66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66675</xdr:rowOff>
    </xdr:to>
    <xdr:pic>
      <xdr:nvPicPr>
        <xdr:cNvPr id="12" name="Picture 2">
          <a:extLst>
            <a:ext uri="{FF2B5EF4-FFF2-40B4-BE49-F238E27FC236}">
              <a16:creationId xmlns:a16="http://schemas.microsoft.com/office/drawing/2014/main" id="{00000000-0008-0000-66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57150</xdr:rowOff>
    </xdr:to>
    <xdr:pic>
      <xdr:nvPicPr>
        <xdr:cNvPr id="13" name="Picture 3">
          <a:extLst>
            <a:ext uri="{FF2B5EF4-FFF2-40B4-BE49-F238E27FC236}">
              <a16:creationId xmlns:a16="http://schemas.microsoft.com/office/drawing/2014/main" id="{00000000-0008-0000-66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57150</xdr:rowOff>
    </xdr:to>
    <xdr:pic>
      <xdr:nvPicPr>
        <xdr:cNvPr id="14" name="Picture 4">
          <a:extLst>
            <a:ext uri="{FF2B5EF4-FFF2-40B4-BE49-F238E27FC236}">
              <a16:creationId xmlns:a16="http://schemas.microsoft.com/office/drawing/2014/main" id="{00000000-0008-0000-66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57150</xdr:rowOff>
    </xdr:to>
    <xdr:pic>
      <xdr:nvPicPr>
        <xdr:cNvPr id="15" name="Picture 5">
          <a:extLst>
            <a:ext uri="{FF2B5EF4-FFF2-40B4-BE49-F238E27FC236}">
              <a16:creationId xmlns:a16="http://schemas.microsoft.com/office/drawing/2014/main" id="{00000000-0008-0000-66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66675</xdr:rowOff>
    </xdr:to>
    <xdr:pic>
      <xdr:nvPicPr>
        <xdr:cNvPr id="16" name="Picture 6">
          <a:extLst>
            <a:ext uri="{FF2B5EF4-FFF2-40B4-BE49-F238E27FC236}">
              <a16:creationId xmlns:a16="http://schemas.microsoft.com/office/drawing/2014/main" id="{00000000-0008-0000-66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66675</xdr:rowOff>
    </xdr:to>
    <xdr:pic>
      <xdr:nvPicPr>
        <xdr:cNvPr id="17" name="Picture 7">
          <a:extLst>
            <a:ext uri="{FF2B5EF4-FFF2-40B4-BE49-F238E27FC236}">
              <a16:creationId xmlns:a16="http://schemas.microsoft.com/office/drawing/2014/main" id="{00000000-0008-0000-66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76200</xdr:rowOff>
    </xdr:to>
    <xdr:pic>
      <xdr:nvPicPr>
        <xdr:cNvPr id="18" name="Picture 8">
          <a:extLst>
            <a:ext uri="{FF2B5EF4-FFF2-40B4-BE49-F238E27FC236}">
              <a16:creationId xmlns:a16="http://schemas.microsoft.com/office/drawing/2014/main" id="{00000000-0008-0000-66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85725</xdr:rowOff>
    </xdr:to>
    <xdr:pic>
      <xdr:nvPicPr>
        <xdr:cNvPr id="19" name="Picture 9">
          <a:extLst>
            <a:ext uri="{FF2B5EF4-FFF2-40B4-BE49-F238E27FC236}">
              <a16:creationId xmlns:a16="http://schemas.microsoft.com/office/drawing/2014/main" id="{00000000-0008-0000-66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66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57150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68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104775</xdr:rowOff>
    </xdr:to>
    <xdr:pic>
      <xdr:nvPicPr>
        <xdr:cNvPr id="12" name="Picture 2">
          <a:extLst>
            <a:ext uri="{FF2B5EF4-FFF2-40B4-BE49-F238E27FC236}">
              <a16:creationId xmlns:a16="http://schemas.microsoft.com/office/drawing/2014/main" id="{00000000-0008-0000-68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95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85725</xdr:rowOff>
    </xdr:to>
    <xdr:pic>
      <xdr:nvPicPr>
        <xdr:cNvPr id="13" name="Picture 3">
          <a:extLst>
            <a:ext uri="{FF2B5EF4-FFF2-40B4-BE49-F238E27FC236}">
              <a16:creationId xmlns:a16="http://schemas.microsoft.com/office/drawing/2014/main" id="{00000000-0008-0000-68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76200</xdr:rowOff>
    </xdr:to>
    <xdr:pic>
      <xdr:nvPicPr>
        <xdr:cNvPr id="14" name="Picture 4">
          <a:extLst>
            <a:ext uri="{FF2B5EF4-FFF2-40B4-BE49-F238E27FC236}">
              <a16:creationId xmlns:a16="http://schemas.microsoft.com/office/drawing/2014/main" id="{00000000-0008-0000-68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76200</xdr:rowOff>
    </xdr:to>
    <xdr:pic>
      <xdr:nvPicPr>
        <xdr:cNvPr id="15" name="Picture 5">
          <a:extLst>
            <a:ext uri="{FF2B5EF4-FFF2-40B4-BE49-F238E27FC236}">
              <a16:creationId xmlns:a16="http://schemas.microsoft.com/office/drawing/2014/main" id="{00000000-0008-0000-68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76200</xdr:rowOff>
    </xdr:to>
    <xdr:pic>
      <xdr:nvPicPr>
        <xdr:cNvPr id="16" name="Picture 6">
          <a:extLst>
            <a:ext uri="{FF2B5EF4-FFF2-40B4-BE49-F238E27FC236}">
              <a16:creationId xmlns:a16="http://schemas.microsoft.com/office/drawing/2014/main" id="{00000000-0008-0000-68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76200</xdr:rowOff>
    </xdr:to>
    <xdr:pic>
      <xdr:nvPicPr>
        <xdr:cNvPr id="17" name="Picture 7">
          <a:extLst>
            <a:ext uri="{FF2B5EF4-FFF2-40B4-BE49-F238E27FC236}">
              <a16:creationId xmlns:a16="http://schemas.microsoft.com/office/drawing/2014/main" id="{00000000-0008-0000-68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18" name="Picture 8">
          <a:extLst>
            <a:ext uri="{FF2B5EF4-FFF2-40B4-BE49-F238E27FC236}">
              <a16:creationId xmlns:a16="http://schemas.microsoft.com/office/drawing/2014/main" id="{00000000-0008-0000-68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95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104775</xdr:rowOff>
    </xdr:to>
    <xdr:pic>
      <xdr:nvPicPr>
        <xdr:cNvPr id="19" name="Picture 9">
          <a:extLst>
            <a:ext uri="{FF2B5EF4-FFF2-40B4-BE49-F238E27FC236}">
              <a16:creationId xmlns:a16="http://schemas.microsoft.com/office/drawing/2014/main" id="{00000000-0008-0000-68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6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333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6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6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66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6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85725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6A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66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85725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6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66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6A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333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123825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6A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6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371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6C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333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6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6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95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95250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6C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95250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6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24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6C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371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142875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6C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323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66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10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6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4095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6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6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133350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6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6E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104775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6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24</xdr:row>
      <xdr:rowOff>47625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6E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4095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161925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6E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87041" name="Picture 1">
          <a:extLst>
            <a:ext uri="{FF2B5EF4-FFF2-40B4-BE49-F238E27FC236}">
              <a16:creationId xmlns:a16="http://schemas.microsoft.com/office/drawing/2014/main" id="{00000000-0008-0000-7000-0000015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87042" name="Picture 2">
          <a:extLst>
            <a:ext uri="{FF2B5EF4-FFF2-40B4-BE49-F238E27FC236}">
              <a16:creationId xmlns:a16="http://schemas.microsoft.com/office/drawing/2014/main" id="{00000000-0008-0000-7000-0000025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87043" name="Picture 3">
          <a:extLst>
            <a:ext uri="{FF2B5EF4-FFF2-40B4-BE49-F238E27FC236}">
              <a16:creationId xmlns:a16="http://schemas.microsoft.com/office/drawing/2014/main" id="{00000000-0008-0000-7000-0000035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87044" name="Picture 4">
          <a:extLst>
            <a:ext uri="{FF2B5EF4-FFF2-40B4-BE49-F238E27FC236}">
              <a16:creationId xmlns:a16="http://schemas.microsoft.com/office/drawing/2014/main" id="{00000000-0008-0000-7000-0000045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87045" name="Picture 5">
          <a:extLst>
            <a:ext uri="{FF2B5EF4-FFF2-40B4-BE49-F238E27FC236}">
              <a16:creationId xmlns:a16="http://schemas.microsoft.com/office/drawing/2014/main" id="{00000000-0008-0000-7000-0000055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87046" name="Picture 6">
          <a:extLst>
            <a:ext uri="{FF2B5EF4-FFF2-40B4-BE49-F238E27FC236}">
              <a16:creationId xmlns:a16="http://schemas.microsoft.com/office/drawing/2014/main" id="{00000000-0008-0000-7000-0000065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7047" name="Picture 7">
          <a:extLst>
            <a:ext uri="{FF2B5EF4-FFF2-40B4-BE49-F238E27FC236}">
              <a16:creationId xmlns:a16="http://schemas.microsoft.com/office/drawing/2014/main" id="{00000000-0008-0000-7000-0000075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87048" name="Picture 8">
          <a:extLst>
            <a:ext uri="{FF2B5EF4-FFF2-40B4-BE49-F238E27FC236}">
              <a16:creationId xmlns:a16="http://schemas.microsoft.com/office/drawing/2014/main" id="{00000000-0008-0000-7000-0000085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87049" name="Picture 9">
          <a:extLst>
            <a:ext uri="{FF2B5EF4-FFF2-40B4-BE49-F238E27FC236}">
              <a16:creationId xmlns:a16="http://schemas.microsoft.com/office/drawing/2014/main" id="{00000000-0008-0000-7000-0000095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87050" name="Object 10" hidden="1">
              <a:extLst>
                <a:ext uri="{63B3BB69-23CF-44E3-9099-C40C66FF867C}">
                  <a14:compatExt spid="_x0000_s87050"/>
                </a:ext>
                <a:ext uri="{FF2B5EF4-FFF2-40B4-BE49-F238E27FC236}">
                  <a16:creationId xmlns:a16="http://schemas.microsoft.com/office/drawing/2014/main" id="{00000000-0008-0000-7000-00000A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88065" name="Picture 1">
          <a:extLst>
            <a:ext uri="{FF2B5EF4-FFF2-40B4-BE49-F238E27FC236}">
              <a16:creationId xmlns:a16="http://schemas.microsoft.com/office/drawing/2014/main" id="{00000000-0008-0000-7200-0000015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88066" name="Picture 2">
          <a:extLst>
            <a:ext uri="{FF2B5EF4-FFF2-40B4-BE49-F238E27FC236}">
              <a16:creationId xmlns:a16="http://schemas.microsoft.com/office/drawing/2014/main" id="{00000000-0008-0000-7200-0000025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88067" name="Picture 3">
          <a:extLst>
            <a:ext uri="{FF2B5EF4-FFF2-40B4-BE49-F238E27FC236}">
              <a16:creationId xmlns:a16="http://schemas.microsoft.com/office/drawing/2014/main" id="{00000000-0008-0000-7200-0000035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88068" name="Picture 4">
          <a:extLst>
            <a:ext uri="{FF2B5EF4-FFF2-40B4-BE49-F238E27FC236}">
              <a16:creationId xmlns:a16="http://schemas.microsoft.com/office/drawing/2014/main" id="{00000000-0008-0000-7200-0000045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88069" name="Picture 5">
          <a:extLst>
            <a:ext uri="{FF2B5EF4-FFF2-40B4-BE49-F238E27FC236}">
              <a16:creationId xmlns:a16="http://schemas.microsoft.com/office/drawing/2014/main" id="{00000000-0008-0000-7200-0000055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88070" name="Picture 6">
          <a:extLst>
            <a:ext uri="{FF2B5EF4-FFF2-40B4-BE49-F238E27FC236}">
              <a16:creationId xmlns:a16="http://schemas.microsoft.com/office/drawing/2014/main" id="{00000000-0008-0000-7200-0000065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8071" name="Picture 7">
          <a:extLst>
            <a:ext uri="{FF2B5EF4-FFF2-40B4-BE49-F238E27FC236}">
              <a16:creationId xmlns:a16="http://schemas.microsoft.com/office/drawing/2014/main" id="{00000000-0008-0000-7200-0000075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88072" name="Picture 8">
          <a:extLst>
            <a:ext uri="{FF2B5EF4-FFF2-40B4-BE49-F238E27FC236}">
              <a16:creationId xmlns:a16="http://schemas.microsoft.com/office/drawing/2014/main" id="{00000000-0008-0000-7200-0000085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88073" name="Picture 9">
          <a:extLst>
            <a:ext uri="{FF2B5EF4-FFF2-40B4-BE49-F238E27FC236}">
              <a16:creationId xmlns:a16="http://schemas.microsoft.com/office/drawing/2014/main" id="{00000000-0008-0000-7200-0000095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88074" name="Object 10" hidden="1">
              <a:extLst>
                <a:ext uri="{63B3BB69-23CF-44E3-9099-C40C66FF867C}">
                  <a14:compatExt spid="_x0000_s88074"/>
                </a:ext>
                <a:ext uri="{FF2B5EF4-FFF2-40B4-BE49-F238E27FC236}">
                  <a16:creationId xmlns:a16="http://schemas.microsoft.com/office/drawing/2014/main" id="{00000000-0008-0000-7200-00000A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7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6350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7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203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25400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7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7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7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7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31750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7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53975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7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74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12700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74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41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6350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74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25400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74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74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74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74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31750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74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50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53975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74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54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7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41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15875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7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34925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7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7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7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7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50800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7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50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63500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7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54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76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31750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76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41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15875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76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34925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76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76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76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76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50800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76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50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63500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76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54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76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31750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76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15875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76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34925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7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76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76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76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50800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7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63500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76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76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31750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76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15875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76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34925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76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76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76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76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50800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76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63500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76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7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7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7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7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78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7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78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78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78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78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78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78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78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78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78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78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78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78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7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78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78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78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78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78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78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78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78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78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78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78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78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78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78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78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78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7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7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7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7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7A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7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7A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7A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7A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7A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7A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7A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7A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7A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7A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7A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7A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7A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7A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7A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7A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7A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7A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7A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7A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7A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7A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7A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7A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7A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7A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7A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7A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7A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7A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7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7C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7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7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7C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7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7C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7C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7C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7C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7C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7C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7C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7C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7C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7C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7C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7C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7C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7C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7C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7C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7C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7C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7C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7C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7C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7C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7C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7C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7C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7C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7C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7C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7C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7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7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7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7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7E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7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7E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7E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7E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7E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7E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7E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7E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7E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7E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7E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7E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7E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7E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7E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7E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7E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7E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7E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7E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7E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7E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7E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7E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7E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7E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7E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7E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7E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7E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8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8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8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8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8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8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8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8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8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8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8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8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8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8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8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8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8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8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8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8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8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8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8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8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8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8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8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8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8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8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8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8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8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8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8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8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8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8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8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8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8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8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8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8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8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8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8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8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8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8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8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8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82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8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8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8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8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8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82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8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82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82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82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82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82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82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82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82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82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82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8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8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8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8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8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8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8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8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84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84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84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84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84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84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84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84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84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84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84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84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84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84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84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84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84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84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84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84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84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84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84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84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84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84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84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8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8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8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8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8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8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8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8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86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86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86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86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86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86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86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86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86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86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86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86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8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86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86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86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8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86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86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86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86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86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86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86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86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86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86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8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8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8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8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88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8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88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88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88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88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88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88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88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88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88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88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88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88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8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88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88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88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88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88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88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88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88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88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88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88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88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88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88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88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88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8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8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8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8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8A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8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8A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8A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8A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8A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8A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8A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8A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8A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8A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8A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8A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8A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8A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8A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8A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8A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8A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8A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8A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8A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8A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8A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8A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8A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8A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8A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8A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8A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8A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8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8C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8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8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8C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8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8C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8C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8C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8C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8C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8C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8C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8C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8C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8C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8C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8C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8C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8C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8C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8C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8C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8C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8C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8C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8C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8C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8C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8C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8C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8C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8C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8C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8C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8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8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8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8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8E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8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8E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8E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8E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8E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8E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8E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8E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8E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8E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8E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8E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8E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8E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8E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8E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8E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8E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8E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8E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8E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8E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8E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8E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8E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8E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8E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8E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8E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8E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9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9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9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9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9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9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9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9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9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9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9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9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9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9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9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9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9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9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9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9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9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9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9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9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9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9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9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9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9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9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9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9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9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9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9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9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9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9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9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9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9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9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9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9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9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9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9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9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9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9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9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9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9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9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92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9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9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9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9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9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92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9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92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92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92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92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92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92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92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92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92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92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9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9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9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9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9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9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9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9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9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94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94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94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94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94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94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94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94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94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94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94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94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94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94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94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94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94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94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94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94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94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94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94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94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94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94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94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9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9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9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9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9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9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9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9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9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96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96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96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96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96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96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96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96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96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96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96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96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9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96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96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96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9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96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96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96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96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96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96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96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96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96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96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9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9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9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9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9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98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9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98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98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98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98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98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98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98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98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98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98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98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98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9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98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98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98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98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98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98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98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98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98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98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98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98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98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98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98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98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9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9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9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9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9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9A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9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9A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9A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9A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9A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9A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9A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9A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9A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9A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9A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9A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9A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9A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9A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9A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9A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9A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9A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9A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9A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9A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9A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9A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9A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9A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9A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9A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9A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9A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9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9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9C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9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9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9C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9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9C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9C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9C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9C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9C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9C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9C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9C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9C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9C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9C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9C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9C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9C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9C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9C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9C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9C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9C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9C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9C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9C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9C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9C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9C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9C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9C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9C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9C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2529" name="Picture 1">
          <a:extLst>
            <a:ext uri="{FF2B5EF4-FFF2-40B4-BE49-F238E27FC236}">
              <a16:creationId xmlns:a16="http://schemas.microsoft.com/office/drawing/2014/main" id="{00000000-0008-0000-9E00-0000015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22530" name="Picture 2">
          <a:extLst>
            <a:ext uri="{FF2B5EF4-FFF2-40B4-BE49-F238E27FC236}">
              <a16:creationId xmlns:a16="http://schemas.microsoft.com/office/drawing/2014/main" id="{00000000-0008-0000-9E00-0000025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22531" name="Picture 3">
          <a:extLst>
            <a:ext uri="{FF2B5EF4-FFF2-40B4-BE49-F238E27FC236}">
              <a16:creationId xmlns:a16="http://schemas.microsoft.com/office/drawing/2014/main" id="{00000000-0008-0000-9E00-0000035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22532" name="Picture 4">
          <a:extLst>
            <a:ext uri="{FF2B5EF4-FFF2-40B4-BE49-F238E27FC236}">
              <a16:creationId xmlns:a16="http://schemas.microsoft.com/office/drawing/2014/main" id="{00000000-0008-0000-9E00-0000045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22533" name="Picture 5">
          <a:extLst>
            <a:ext uri="{FF2B5EF4-FFF2-40B4-BE49-F238E27FC236}">
              <a16:creationId xmlns:a16="http://schemas.microsoft.com/office/drawing/2014/main" id="{00000000-0008-0000-9E00-0000055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22534" name="Picture 6">
          <a:extLst>
            <a:ext uri="{FF2B5EF4-FFF2-40B4-BE49-F238E27FC236}">
              <a16:creationId xmlns:a16="http://schemas.microsoft.com/office/drawing/2014/main" id="{00000000-0008-0000-9E00-0000065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22535" name="Picture 7">
          <a:extLst>
            <a:ext uri="{FF2B5EF4-FFF2-40B4-BE49-F238E27FC236}">
              <a16:creationId xmlns:a16="http://schemas.microsoft.com/office/drawing/2014/main" id="{00000000-0008-0000-9E00-0000075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22536" name="Picture 8">
          <a:extLst>
            <a:ext uri="{FF2B5EF4-FFF2-40B4-BE49-F238E27FC236}">
              <a16:creationId xmlns:a16="http://schemas.microsoft.com/office/drawing/2014/main" id="{00000000-0008-0000-9E00-0000085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22537" name="Picture 9">
          <a:extLst>
            <a:ext uri="{FF2B5EF4-FFF2-40B4-BE49-F238E27FC236}">
              <a16:creationId xmlns:a16="http://schemas.microsoft.com/office/drawing/2014/main" id="{00000000-0008-0000-9E00-0000095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12700</xdr:rowOff>
        </xdr:from>
        <xdr:to>
          <xdr:col>1</xdr:col>
          <xdr:colOff>527050</xdr:colOff>
          <xdr:row>19</xdr:row>
          <xdr:rowOff>12700</xdr:rowOff>
        </xdr:to>
        <xdr:sp macro="" textlink="">
          <xdr:nvSpPr>
            <xdr:cNvPr id="22538" name="Object 10" hidden="1">
              <a:extLst>
                <a:ext uri="{63B3BB69-23CF-44E3-9099-C40C66FF867C}">
                  <a14:compatExt spid="_x0000_s22538"/>
                </a:ext>
                <a:ext uri="{FF2B5EF4-FFF2-40B4-BE49-F238E27FC236}">
                  <a16:creationId xmlns:a16="http://schemas.microsoft.com/office/drawing/2014/main" id="{00000000-0008-0000-9E00-00000A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44033" name="Picture 1">
          <a:extLst>
            <a:ext uri="{FF2B5EF4-FFF2-40B4-BE49-F238E27FC236}">
              <a16:creationId xmlns:a16="http://schemas.microsoft.com/office/drawing/2014/main" id="{00000000-0008-0000-A000-000001A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44034" name="Picture 2">
          <a:extLst>
            <a:ext uri="{FF2B5EF4-FFF2-40B4-BE49-F238E27FC236}">
              <a16:creationId xmlns:a16="http://schemas.microsoft.com/office/drawing/2014/main" id="{00000000-0008-0000-A000-000002A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44035" name="Picture 3">
          <a:extLst>
            <a:ext uri="{FF2B5EF4-FFF2-40B4-BE49-F238E27FC236}">
              <a16:creationId xmlns:a16="http://schemas.microsoft.com/office/drawing/2014/main" id="{00000000-0008-0000-A000-000003A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44036" name="Picture 4">
          <a:extLst>
            <a:ext uri="{FF2B5EF4-FFF2-40B4-BE49-F238E27FC236}">
              <a16:creationId xmlns:a16="http://schemas.microsoft.com/office/drawing/2014/main" id="{00000000-0008-0000-A000-000004A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44037" name="Picture 5">
          <a:extLst>
            <a:ext uri="{FF2B5EF4-FFF2-40B4-BE49-F238E27FC236}">
              <a16:creationId xmlns:a16="http://schemas.microsoft.com/office/drawing/2014/main" id="{00000000-0008-0000-A000-000005A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44038" name="Picture 6">
          <a:extLst>
            <a:ext uri="{FF2B5EF4-FFF2-40B4-BE49-F238E27FC236}">
              <a16:creationId xmlns:a16="http://schemas.microsoft.com/office/drawing/2014/main" id="{00000000-0008-0000-A000-000006A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44039" name="Picture 7">
          <a:extLst>
            <a:ext uri="{FF2B5EF4-FFF2-40B4-BE49-F238E27FC236}">
              <a16:creationId xmlns:a16="http://schemas.microsoft.com/office/drawing/2014/main" id="{00000000-0008-0000-A000-000007A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44040" name="Picture 8">
          <a:extLst>
            <a:ext uri="{FF2B5EF4-FFF2-40B4-BE49-F238E27FC236}">
              <a16:creationId xmlns:a16="http://schemas.microsoft.com/office/drawing/2014/main" id="{00000000-0008-0000-A000-000008A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44041" name="Picture 9">
          <a:extLst>
            <a:ext uri="{FF2B5EF4-FFF2-40B4-BE49-F238E27FC236}">
              <a16:creationId xmlns:a16="http://schemas.microsoft.com/office/drawing/2014/main" id="{00000000-0008-0000-A000-000009A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17</xdr:row>
          <xdr:rowOff>152400</xdr:rowOff>
        </xdr:from>
        <xdr:to>
          <xdr:col>1</xdr:col>
          <xdr:colOff>527050</xdr:colOff>
          <xdr:row>18</xdr:row>
          <xdr:rowOff>152400</xdr:rowOff>
        </xdr:to>
        <xdr:sp macro="" textlink="">
          <xdr:nvSpPr>
            <xdr:cNvPr id="44042" name="Object 10" hidden="1">
              <a:extLst>
                <a:ext uri="{63B3BB69-23CF-44E3-9099-C40C66FF867C}">
                  <a14:compatExt spid="_x0000_s44042"/>
                </a:ext>
                <a:ext uri="{FF2B5EF4-FFF2-40B4-BE49-F238E27FC236}">
                  <a16:creationId xmlns:a16="http://schemas.microsoft.com/office/drawing/2014/main" id="{00000000-0008-0000-A000-00000AA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A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A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A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A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A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A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A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38100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A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A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A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A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A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A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A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66675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A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A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A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85725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A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66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64513" name="Picture 1">
          <a:extLst>
            <a:ext uri="{FF2B5EF4-FFF2-40B4-BE49-F238E27FC236}">
              <a16:creationId xmlns:a16="http://schemas.microsoft.com/office/drawing/2014/main" id="{00000000-0008-0000-A600-000001F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8</xdr:row>
      <xdr:rowOff>190500</xdr:rowOff>
    </xdr:to>
    <xdr:pic>
      <xdr:nvPicPr>
        <xdr:cNvPr id="64514" name="Picture 2">
          <a:extLst>
            <a:ext uri="{FF2B5EF4-FFF2-40B4-BE49-F238E27FC236}">
              <a16:creationId xmlns:a16="http://schemas.microsoft.com/office/drawing/2014/main" id="{00000000-0008-0000-A600-000002F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64515" name="Picture 3">
          <a:extLst>
            <a:ext uri="{FF2B5EF4-FFF2-40B4-BE49-F238E27FC236}">
              <a16:creationId xmlns:a16="http://schemas.microsoft.com/office/drawing/2014/main" id="{00000000-0008-0000-A600-000003F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64516" name="Picture 4">
          <a:extLst>
            <a:ext uri="{FF2B5EF4-FFF2-40B4-BE49-F238E27FC236}">
              <a16:creationId xmlns:a16="http://schemas.microsoft.com/office/drawing/2014/main" id="{00000000-0008-0000-A600-000004F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4517" name="Picture 5">
          <a:extLst>
            <a:ext uri="{FF2B5EF4-FFF2-40B4-BE49-F238E27FC236}">
              <a16:creationId xmlns:a16="http://schemas.microsoft.com/office/drawing/2014/main" id="{00000000-0008-0000-A600-000005F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64518" name="Picture 6">
          <a:extLst>
            <a:ext uri="{FF2B5EF4-FFF2-40B4-BE49-F238E27FC236}">
              <a16:creationId xmlns:a16="http://schemas.microsoft.com/office/drawing/2014/main" id="{00000000-0008-0000-A600-000006F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64519" name="Picture 7">
          <a:extLst>
            <a:ext uri="{FF2B5EF4-FFF2-40B4-BE49-F238E27FC236}">
              <a16:creationId xmlns:a16="http://schemas.microsoft.com/office/drawing/2014/main" id="{00000000-0008-0000-A600-000007F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64520" name="Picture 8">
          <a:extLst>
            <a:ext uri="{FF2B5EF4-FFF2-40B4-BE49-F238E27FC236}">
              <a16:creationId xmlns:a16="http://schemas.microsoft.com/office/drawing/2014/main" id="{00000000-0008-0000-A600-000008F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64521" name="Picture 9">
          <a:extLst>
            <a:ext uri="{FF2B5EF4-FFF2-40B4-BE49-F238E27FC236}">
              <a16:creationId xmlns:a16="http://schemas.microsoft.com/office/drawing/2014/main" id="{00000000-0008-0000-A600-000009F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64522" name="Object 10" hidden="1">
              <a:extLst>
                <a:ext uri="{63B3BB69-23CF-44E3-9099-C40C66FF867C}">
                  <a14:compatExt spid="_x0000_s64522"/>
                </a:ext>
                <a:ext uri="{FF2B5EF4-FFF2-40B4-BE49-F238E27FC236}">
                  <a16:creationId xmlns:a16="http://schemas.microsoft.com/office/drawing/2014/main" id="{00000000-0008-0000-A600-00000A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321537" name="Picture 1">
          <a:extLst>
            <a:ext uri="{FF2B5EF4-FFF2-40B4-BE49-F238E27FC236}">
              <a16:creationId xmlns:a16="http://schemas.microsoft.com/office/drawing/2014/main" id="{00000000-0008-0000-A800-000001E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321538" name="Picture 2">
          <a:extLst>
            <a:ext uri="{FF2B5EF4-FFF2-40B4-BE49-F238E27FC236}">
              <a16:creationId xmlns:a16="http://schemas.microsoft.com/office/drawing/2014/main" id="{00000000-0008-0000-A800-000002E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321539" name="Picture 3">
          <a:extLst>
            <a:ext uri="{FF2B5EF4-FFF2-40B4-BE49-F238E27FC236}">
              <a16:creationId xmlns:a16="http://schemas.microsoft.com/office/drawing/2014/main" id="{00000000-0008-0000-A800-000003E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321540" name="Picture 4">
          <a:extLst>
            <a:ext uri="{FF2B5EF4-FFF2-40B4-BE49-F238E27FC236}">
              <a16:creationId xmlns:a16="http://schemas.microsoft.com/office/drawing/2014/main" id="{00000000-0008-0000-A800-000004E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21541" name="Picture 5">
          <a:extLst>
            <a:ext uri="{FF2B5EF4-FFF2-40B4-BE49-F238E27FC236}">
              <a16:creationId xmlns:a16="http://schemas.microsoft.com/office/drawing/2014/main" id="{00000000-0008-0000-A800-000005E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21542" name="Picture 6">
          <a:extLst>
            <a:ext uri="{FF2B5EF4-FFF2-40B4-BE49-F238E27FC236}">
              <a16:creationId xmlns:a16="http://schemas.microsoft.com/office/drawing/2014/main" id="{00000000-0008-0000-A800-000006E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21543" name="Picture 7">
          <a:extLst>
            <a:ext uri="{FF2B5EF4-FFF2-40B4-BE49-F238E27FC236}">
              <a16:creationId xmlns:a16="http://schemas.microsoft.com/office/drawing/2014/main" id="{00000000-0008-0000-A800-000007E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321544" name="Picture 8">
          <a:extLst>
            <a:ext uri="{FF2B5EF4-FFF2-40B4-BE49-F238E27FC236}">
              <a16:creationId xmlns:a16="http://schemas.microsoft.com/office/drawing/2014/main" id="{00000000-0008-0000-A800-000008E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321545" name="Picture 9">
          <a:extLst>
            <a:ext uri="{FF2B5EF4-FFF2-40B4-BE49-F238E27FC236}">
              <a16:creationId xmlns:a16="http://schemas.microsoft.com/office/drawing/2014/main" id="{00000000-0008-0000-A800-000009E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321546" name="Object 10" hidden="1">
              <a:extLst>
                <a:ext uri="{63B3BB69-23CF-44E3-9099-C40C66FF867C}">
                  <a14:compatExt spid="_x0000_s321546"/>
                </a:ext>
                <a:ext uri="{FF2B5EF4-FFF2-40B4-BE49-F238E27FC236}">
                  <a16:creationId xmlns:a16="http://schemas.microsoft.com/office/drawing/2014/main" id="{00000000-0008-0000-A800-00000AE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322561" name="Picture 1">
          <a:extLst>
            <a:ext uri="{FF2B5EF4-FFF2-40B4-BE49-F238E27FC236}">
              <a16:creationId xmlns:a16="http://schemas.microsoft.com/office/drawing/2014/main" id="{00000000-0008-0000-AA00-000001E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322562" name="Picture 2">
          <a:extLst>
            <a:ext uri="{FF2B5EF4-FFF2-40B4-BE49-F238E27FC236}">
              <a16:creationId xmlns:a16="http://schemas.microsoft.com/office/drawing/2014/main" id="{00000000-0008-0000-AA00-000002E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322563" name="Picture 3">
          <a:extLst>
            <a:ext uri="{FF2B5EF4-FFF2-40B4-BE49-F238E27FC236}">
              <a16:creationId xmlns:a16="http://schemas.microsoft.com/office/drawing/2014/main" id="{00000000-0008-0000-AA00-000003E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322564" name="Picture 4">
          <a:extLst>
            <a:ext uri="{FF2B5EF4-FFF2-40B4-BE49-F238E27FC236}">
              <a16:creationId xmlns:a16="http://schemas.microsoft.com/office/drawing/2014/main" id="{00000000-0008-0000-AA00-000004E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22565" name="Picture 5">
          <a:extLst>
            <a:ext uri="{FF2B5EF4-FFF2-40B4-BE49-F238E27FC236}">
              <a16:creationId xmlns:a16="http://schemas.microsoft.com/office/drawing/2014/main" id="{00000000-0008-0000-AA00-000005E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22566" name="Picture 6">
          <a:extLst>
            <a:ext uri="{FF2B5EF4-FFF2-40B4-BE49-F238E27FC236}">
              <a16:creationId xmlns:a16="http://schemas.microsoft.com/office/drawing/2014/main" id="{00000000-0008-0000-AA00-000006E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22567" name="Picture 7">
          <a:extLst>
            <a:ext uri="{FF2B5EF4-FFF2-40B4-BE49-F238E27FC236}">
              <a16:creationId xmlns:a16="http://schemas.microsoft.com/office/drawing/2014/main" id="{00000000-0008-0000-AA00-000007E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322568" name="Picture 8">
          <a:extLst>
            <a:ext uri="{FF2B5EF4-FFF2-40B4-BE49-F238E27FC236}">
              <a16:creationId xmlns:a16="http://schemas.microsoft.com/office/drawing/2014/main" id="{00000000-0008-0000-AA00-000008E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322569" name="Picture 9">
          <a:extLst>
            <a:ext uri="{FF2B5EF4-FFF2-40B4-BE49-F238E27FC236}">
              <a16:creationId xmlns:a16="http://schemas.microsoft.com/office/drawing/2014/main" id="{00000000-0008-0000-AA00-000009E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322570" name="Object 10" hidden="1">
              <a:extLst>
                <a:ext uri="{63B3BB69-23CF-44E3-9099-C40C66FF867C}">
                  <a14:compatExt spid="_x0000_s322570"/>
                </a:ext>
                <a:ext uri="{FF2B5EF4-FFF2-40B4-BE49-F238E27FC236}">
                  <a16:creationId xmlns:a16="http://schemas.microsoft.com/office/drawing/2014/main" id="{00000000-0008-0000-AA00-00000AE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A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A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AC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A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A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AC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A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AC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AC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403457" name="Object 1" hidden="1">
              <a:extLst>
                <a:ext uri="{63B3BB69-23CF-44E3-9099-C40C66FF867C}">
                  <a14:compatExt spid="_x0000_s403457"/>
                </a:ext>
                <a:ext uri="{FF2B5EF4-FFF2-40B4-BE49-F238E27FC236}">
                  <a16:creationId xmlns:a16="http://schemas.microsoft.com/office/drawing/2014/main" id="{00000000-0008-0000-AC00-0000012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323585" name="Picture 1">
          <a:extLst>
            <a:ext uri="{FF2B5EF4-FFF2-40B4-BE49-F238E27FC236}">
              <a16:creationId xmlns:a16="http://schemas.microsoft.com/office/drawing/2014/main" id="{00000000-0008-0000-AE00-000001F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323586" name="Picture 2">
          <a:extLst>
            <a:ext uri="{FF2B5EF4-FFF2-40B4-BE49-F238E27FC236}">
              <a16:creationId xmlns:a16="http://schemas.microsoft.com/office/drawing/2014/main" id="{00000000-0008-0000-AE00-000002F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323587" name="Picture 3">
          <a:extLst>
            <a:ext uri="{FF2B5EF4-FFF2-40B4-BE49-F238E27FC236}">
              <a16:creationId xmlns:a16="http://schemas.microsoft.com/office/drawing/2014/main" id="{00000000-0008-0000-AE00-000003F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323588" name="Picture 4">
          <a:extLst>
            <a:ext uri="{FF2B5EF4-FFF2-40B4-BE49-F238E27FC236}">
              <a16:creationId xmlns:a16="http://schemas.microsoft.com/office/drawing/2014/main" id="{00000000-0008-0000-AE00-000004F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23589" name="Picture 5">
          <a:extLst>
            <a:ext uri="{FF2B5EF4-FFF2-40B4-BE49-F238E27FC236}">
              <a16:creationId xmlns:a16="http://schemas.microsoft.com/office/drawing/2014/main" id="{00000000-0008-0000-AE00-000005F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23590" name="Picture 6">
          <a:extLst>
            <a:ext uri="{FF2B5EF4-FFF2-40B4-BE49-F238E27FC236}">
              <a16:creationId xmlns:a16="http://schemas.microsoft.com/office/drawing/2014/main" id="{00000000-0008-0000-AE00-000006F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23591" name="Picture 7">
          <a:extLst>
            <a:ext uri="{FF2B5EF4-FFF2-40B4-BE49-F238E27FC236}">
              <a16:creationId xmlns:a16="http://schemas.microsoft.com/office/drawing/2014/main" id="{00000000-0008-0000-AE00-000007F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323592" name="Picture 8">
          <a:extLst>
            <a:ext uri="{FF2B5EF4-FFF2-40B4-BE49-F238E27FC236}">
              <a16:creationId xmlns:a16="http://schemas.microsoft.com/office/drawing/2014/main" id="{00000000-0008-0000-AE00-000008F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323593" name="Picture 9">
          <a:extLst>
            <a:ext uri="{FF2B5EF4-FFF2-40B4-BE49-F238E27FC236}">
              <a16:creationId xmlns:a16="http://schemas.microsoft.com/office/drawing/2014/main" id="{00000000-0008-0000-AE00-000009F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323594" name="Object 10" hidden="1">
              <a:extLst>
                <a:ext uri="{63B3BB69-23CF-44E3-9099-C40C66FF867C}">
                  <a14:compatExt spid="_x0000_s323594"/>
                </a:ext>
                <a:ext uri="{FF2B5EF4-FFF2-40B4-BE49-F238E27FC236}">
                  <a16:creationId xmlns:a16="http://schemas.microsoft.com/office/drawing/2014/main" id="{00000000-0008-0000-AE00-00000AF0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50529" name="Picture 1">
          <a:extLst>
            <a:ext uri="{FF2B5EF4-FFF2-40B4-BE49-F238E27FC236}">
              <a16:creationId xmlns:a16="http://schemas.microsoft.com/office/drawing/2014/main" id="{00000000-0008-0000-B000-0000014C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150530" name="Picture 2">
          <a:extLst>
            <a:ext uri="{FF2B5EF4-FFF2-40B4-BE49-F238E27FC236}">
              <a16:creationId xmlns:a16="http://schemas.microsoft.com/office/drawing/2014/main" id="{00000000-0008-0000-B000-0000024C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150531" name="Picture 3">
          <a:extLst>
            <a:ext uri="{FF2B5EF4-FFF2-40B4-BE49-F238E27FC236}">
              <a16:creationId xmlns:a16="http://schemas.microsoft.com/office/drawing/2014/main" id="{00000000-0008-0000-B000-0000034C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150532" name="Picture 4">
          <a:extLst>
            <a:ext uri="{FF2B5EF4-FFF2-40B4-BE49-F238E27FC236}">
              <a16:creationId xmlns:a16="http://schemas.microsoft.com/office/drawing/2014/main" id="{00000000-0008-0000-B000-0000044C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50533" name="Picture 5">
          <a:extLst>
            <a:ext uri="{FF2B5EF4-FFF2-40B4-BE49-F238E27FC236}">
              <a16:creationId xmlns:a16="http://schemas.microsoft.com/office/drawing/2014/main" id="{00000000-0008-0000-B000-0000054C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50534" name="Picture 6">
          <a:extLst>
            <a:ext uri="{FF2B5EF4-FFF2-40B4-BE49-F238E27FC236}">
              <a16:creationId xmlns:a16="http://schemas.microsoft.com/office/drawing/2014/main" id="{00000000-0008-0000-B000-0000064C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50535" name="Picture 7">
          <a:extLst>
            <a:ext uri="{FF2B5EF4-FFF2-40B4-BE49-F238E27FC236}">
              <a16:creationId xmlns:a16="http://schemas.microsoft.com/office/drawing/2014/main" id="{00000000-0008-0000-B000-0000074C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150536" name="Picture 8">
          <a:extLst>
            <a:ext uri="{FF2B5EF4-FFF2-40B4-BE49-F238E27FC236}">
              <a16:creationId xmlns:a16="http://schemas.microsoft.com/office/drawing/2014/main" id="{00000000-0008-0000-B000-0000084C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150537" name="Picture 9">
          <a:extLst>
            <a:ext uri="{FF2B5EF4-FFF2-40B4-BE49-F238E27FC236}">
              <a16:creationId xmlns:a16="http://schemas.microsoft.com/office/drawing/2014/main" id="{00000000-0008-0000-B000-0000094C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150538" name="Object 10" hidden="1">
              <a:extLst>
                <a:ext uri="{63B3BB69-23CF-44E3-9099-C40C66FF867C}">
                  <a14:compatExt spid="_x0000_s150538"/>
                </a:ext>
                <a:ext uri="{FF2B5EF4-FFF2-40B4-BE49-F238E27FC236}">
                  <a16:creationId xmlns:a16="http://schemas.microsoft.com/office/drawing/2014/main" id="{00000000-0008-0000-B000-00000A4C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326657" name="Picture 1">
          <a:extLst>
            <a:ext uri="{FF2B5EF4-FFF2-40B4-BE49-F238E27FC236}">
              <a16:creationId xmlns:a16="http://schemas.microsoft.com/office/drawing/2014/main" id="{00000000-0008-0000-B200-000001F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326658" name="Picture 2">
          <a:extLst>
            <a:ext uri="{FF2B5EF4-FFF2-40B4-BE49-F238E27FC236}">
              <a16:creationId xmlns:a16="http://schemas.microsoft.com/office/drawing/2014/main" id="{00000000-0008-0000-B200-000002F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326659" name="Picture 3">
          <a:extLst>
            <a:ext uri="{FF2B5EF4-FFF2-40B4-BE49-F238E27FC236}">
              <a16:creationId xmlns:a16="http://schemas.microsoft.com/office/drawing/2014/main" id="{00000000-0008-0000-B200-000003F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326660" name="Picture 4">
          <a:extLst>
            <a:ext uri="{FF2B5EF4-FFF2-40B4-BE49-F238E27FC236}">
              <a16:creationId xmlns:a16="http://schemas.microsoft.com/office/drawing/2014/main" id="{00000000-0008-0000-B200-000004F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26661" name="Picture 5">
          <a:extLst>
            <a:ext uri="{FF2B5EF4-FFF2-40B4-BE49-F238E27FC236}">
              <a16:creationId xmlns:a16="http://schemas.microsoft.com/office/drawing/2014/main" id="{00000000-0008-0000-B200-000005F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26662" name="Picture 6">
          <a:extLst>
            <a:ext uri="{FF2B5EF4-FFF2-40B4-BE49-F238E27FC236}">
              <a16:creationId xmlns:a16="http://schemas.microsoft.com/office/drawing/2014/main" id="{00000000-0008-0000-B200-000006F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26663" name="Picture 7">
          <a:extLst>
            <a:ext uri="{FF2B5EF4-FFF2-40B4-BE49-F238E27FC236}">
              <a16:creationId xmlns:a16="http://schemas.microsoft.com/office/drawing/2014/main" id="{00000000-0008-0000-B200-000007F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326664" name="Picture 8">
          <a:extLst>
            <a:ext uri="{FF2B5EF4-FFF2-40B4-BE49-F238E27FC236}">
              <a16:creationId xmlns:a16="http://schemas.microsoft.com/office/drawing/2014/main" id="{00000000-0008-0000-B200-000008F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326665" name="Picture 9">
          <a:extLst>
            <a:ext uri="{FF2B5EF4-FFF2-40B4-BE49-F238E27FC236}">
              <a16:creationId xmlns:a16="http://schemas.microsoft.com/office/drawing/2014/main" id="{00000000-0008-0000-B200-000009F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326666" name="Object 10" hidden="1">
              <a:extLst>
                <a:ext uri="{63B3BB69-23CF-44E3-9099-C40C66FF867C}">
                  <a14:compatExt spid="_x0000_s326666"/>
                </a:ext>
                <a:ext uri="{FF2B5EF4-FFF2-40B4-BE49-F238E27FC236}">
                  <a16:creationId xmlns:a16="http://schemas.microsoft.com/office/drawing/2014/main" id="{00000000-0008-0000-B200-00000AF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324609" name="Picture 1">
          <a:extLst>
            <a:ext uri="{FF2B5EF4-FFF2-40B4-BE49-F238E27FC236}">
              <a16:creationId xmlns:a16="http://schemas.microsoft.com/office/drawing/2014/main" id="{00000000-0008-0000-B400-000001F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324610" name="Picture 2">
          <a:extLst>
            <a:ext uri="{FF2B5EF4-FFF2-40B4-BE49-F238E27FC236}">
              <a16:creationId xmlns:a16="http://schemas.microsoft.com/office/drawing/2014/main" id="{00000000-0008-0000-B400-000002F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324611" name="Picture 3">
          <a:extLst>
            <a:ext uri="{FF2B5EF4-FFF2-40B4-BE49-F238E27FC236}">
              <a16:creationId xmlns:a16="http://schemas.microsoft.com/office/drawing/2014/main" id="{00000000-0008-0000-B400-000003F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324612" name="Picture 4">
          <a:extLst>
            <a:ext uri="{FF2B5EF4-FFF2-40B4-BE49-F238E27FC236}">
              <a16:creationId xmlns:a16="http://schemas.microsoft.com/office/drawing/2014/main" id="{00000000-0008-0000-B400-000004F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24613" name="Picture 5">
          <a:extLst>
            <a:ext uri="{FF2B5EF4-FFF2-40B4-BE49-F238E27FC236}">
              <a16:creationId xmlns:a16="http://schemas.microsoft.com/office/drawing/2014/main" id="{00000000-0008-0000-B400-000005F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24614" name="Picture 6">
          <a:extLst>
            <a:ext uri="{FF2B5EF4-FFF2-40B4-BE49-F238E27FC236}">
              <a16:creationId xmlns:a16="http://schemas.microsoft.com/office/drawing/2014/main" id="{00000000-0008-0000-B400-000006F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24615" name="Picture 7">
          <a:extLst>
            <a:ext uri="{FF2B5EF4-FFF2-40B4-BE49-F238E27FC236}">
              <a16:creationId xmlns:a16="http://schemas.microsoft.com/office/drawing/2014/main" id="{00000000-0008-0000-B400-000007F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324616" name="Picture 8">
          <a:extLst>
            <a:ext uri="{FF2B5EF4-FFF2-40B4-BE49-F238E27FC236}">
              <a16:creationId xmlns:a16="http://schemas.microsoft.com/office/drawing/2014/main" id="{00000000-0008-0000-B400-000008F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324617" name="Picture 9">
          <a:extLst>
            <a:ext uri="{FF2B5EF4-FFF2-40B4-BE49-F238E27FC236}">
              <a16:creationId xmlns:a16="http://schemas.microsoft.com/office/drawing/2014/main" id="{00000000-0008-0000-B400-000009F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324618" name="Object 10" hidden="1">
              <a:extLst>
                <a:ext uri="{63B3BB69-23CF-44E3-9099-C40C66FF867C}">
                  <a14:compatExt spid="_x0000_s324618"/>
                </a:ext>
                <a:ext uri="{FF2B5EF4-FFF2-40B4-BE49-F238E27FC236}">
                  <a16:creationId xmlns:a16="http://schemas.microsoft.com/office/drawing/2014/main" id="{00000000-0008-0000-B400-00000AF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00353" name="Picture 1">
          <a:extLst>
            <a:ext uri="{FF2B5EF4-FFF2-40B4-BE49-F238E27FC236}">
              <a16:creationId xmlns:a16="http://schemas.microsoft.com/office/drawing/2014/main" id="{00000000-0008-0000-B600-0000018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100354" name="Picture 2">
          <a:extLst>
            <a:ext uri="{FF2B5EF4-FFF2-40B4-BE49-F238E27FC236}">
              <a16:creationId xmlns:a16="http://schemas.microsoft.com/office/drawing/2014/main" id="{00000000-0008-0000-B600-0000028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100355" name="Picture 3">
          <a:extLst>
            <a:ext uri="{FF2B5EF4-FFF2-40B4-BE49-F238E27FC236}">
              <a16:creationId xmlns:a16="http://schemas.microsoft.com/office/drawing/2014/main" id="{00000000-0008-0000-B600-0000038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100356" name="Picture 4">
          <a:extLst>
            <a:ext uri="{FF2B5EF4-FFF2-40B4-BE49-F238E27FC236}">
              <a16:creationId xmlns:a16="http://schemas.microsoft.com/office/drawing/2014/main" id="{00000000-0008-0000-B600-0000048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00357" name="Picture 5">
          <a:extLst>
            <a:ext uri="{FF2B5EF4-FFF2-40B4-BE49-F238E27FC236}">
              <a16:creationId xmlns:a16="http://schemas.microsoft.com/office/drawing/2014/main" id="{00000000-0008-0000-B600-0000058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00358" name="Picture 6">
          <a:extLst>
            <a:ext uri="{FF2B5EF4-FFF2-40B4-BE49-F238E27FC236}">
              <a16:creationId xmlns:a16="http://schemas.microsoft.com/office/drawing/2014/main" id="{00000000-0008-0000-B600-0000068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00359" name="Picture 7">
          <a:extLst>
            <a:ext uri="{FF2B5EF4-FFF2-40B4-BE49-F238E27FC236}">
              <a16:creationId xmlns:a16="http://schemas.microsoft.com/office/drawing/2014/main" id="{00000000-0008-0000-B600-0000078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100360" name="Picture 8">
          <a:extLst>
            <a:ext uri="{FF2B5EF4-FFF2-40B4-BE49-F238E27FC236}">
              <a16:creationId xmlns:a16="http://schemas.microsoft.com/office/drawing/2014/main" id="{00000000-0008-0000-B600-0000088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100361" name="Picture 9">
          <a:extLst>
            <a:ext uri="{FF2B5EF4-FFF2-40B4-BE49-F238E27FC236}">
              <a16:creationId xmlns:a16="http://schemas.microsoft.com/office/drawing/2014/main" id="{00000000-0008-0000-B600-0000098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100362" name="Object 10" hidden="1">
              <a:extLst>
                <a:ext uri="{63B3BB69-23CF-44E3-9099-C40C66FF867C}">
                  <a14:compatExt spid="_x0000_s100362"/>
                </a:ext>
                <a:ext uri="{FF2B5EF4-FFF2-40B4-BE49-F238E27FC236}">
                  <a16:creationId xmlns:a16="http://schemas.microsoft.com/office/drawing/2014/main" id="{00000000-0008-0000-B600-00000A8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B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B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B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B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B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B8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B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38100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B8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57150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B8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B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69850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B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79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34925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B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44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53975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B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B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BA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B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88900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BA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88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82550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BA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73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BA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69850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BA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79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34925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BA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44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53975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BA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BA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BA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BA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88900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BA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88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82550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BA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73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BA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69850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BA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79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34925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BA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44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53975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BA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BA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BA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BA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88900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BA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88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82550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BA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73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BA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69850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BA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279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34925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BA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44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53975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BA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BA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BA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BA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88900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BA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288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82550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BA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73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0481" name="Picture 1">
          <a:extLst>
            <a:ext uri="{FF2B5EF4-FFF2-40B4-BE49-F238E27FC236}">
              <a16:creationId xmlns:a16="http://schemas.microsoft.com/office/drawing/2014/main" id="{00000000-0008-0000-BC00-0000015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20482" name="Picture 2">
          <a:extLst>
            <a:ext uri="{FF2B5EF4-FFF2-40B4-BE49-F238E27FC236}">
              <a16:creationId xmlns:a16="http://schemas.microsoft.com/office/drawing/2014/main" id="{00000000-0008-0000-BC00-0000025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20483" name="Picture 3">
          <a:extLst>
            <a:ext uri="{FF2B5EF4-FFF2-40B4-BE49-F238E27FC236}">
              <a16:creationId xmlns:a16="http://schemas.microsoft.com/office/drawing/2014/main" id="{00000000-0008-0000-BC00-0000035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20484" name="Picture 4">
          <a:extLst>
            <a:ext uri="{FF2B5EF4-FFF2-40B4-BE49-F238E27FC236}">
              <a16:creationId xmlns:a16="http://schemas.microsoft.com/office/drawing/2014/main" id="{00000000-0008-0000-BC00-0000045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20485" name="Picture 5">
          <a:extLst>
            <a:ext uri="{FF2B5EF4-FFF2-40B4-BE49-F238E27FC236}">
              <a16:creationId xmlns:a16="http://schemas.microsoft.com/office/drawing/2014/main" id="{00000000-0008-0000-BC00-0000055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20486" name="Picture 6">
          <a:extLst>
            <a:ext uri="{FF2B5EF4-FFF2-40B4-BE49-F238E27FC236}">
              <a16:creationId xmlns:a16="http://schemas.microsoft.com/office/drawing/2014/main" id="{00000000-0008-0000-BC00-0000065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20487" name="Picture 7">
          <a:extLst>
            <a:ext uri="{FF2B5EF4-FFF2-40B4-BE49-F238E27FC236}">
              <a16:creationId xmlns:a16="http://schemas.microsoft.com/office/drawing/2014/main" id="{00000000-0008-0000-BC00-0000075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20488" name="Picture 8">
          <a:extLst>
            <a:ext uri="{FF2B5EF4-FFF2-40B4-BE49-F238E27FC236}">
              <a16:creationId xmlns:a16="http://schemas.microsoft.com/office/drawing/2014/main" id="{00000000-0008-0000-BC00-0000085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20489" name="Picture 9">
          <a:extLst>
            <a:ext uri="{FF2B5EF4-FFF2-40B4-BE49-F238E27FC236}">
              <a16:creationId xmlns:a16="http://schemas.microsoft.com/office/drawing/2014/main" id="{00000000-0008-0000-BC00-0000095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20490" name="Object 10" hidden="1">
              <a:extLst>
                <a:ext uri="{63B3BB69-23CF-44E3-9099-C40C66FF867C}">
                  <a14:compatExt spid="_x0000_s20490"/>
                </a:ext>
                <a:ext uri="{FF2B5EF4-FFF2-40B4-BE49-F238E27FC236}">
                  <a16:creationId xmlns:a16="http://schemas.microsoft.com/office/drawing/2014/main" id="{00000000-0008-0000-BC00-00000A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B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B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6350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B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203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25400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B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B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BE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B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31750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BE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53975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BE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C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C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222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C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31750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C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C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C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C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44450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C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60325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C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244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C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C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222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C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31750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C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C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C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C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44450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C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60325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C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244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C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C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C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C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C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C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C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57150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C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244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C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250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96257" name="Picture 1">
          <a:extLst>
            <a:ext uri="{FF2B5EF4-FFF2-40B4-BE49-F238E27FC236}">
              <a16:creationId xmlns:a16="http://schemas.microsoft.com/office/drawing/2014/main" id="{00000000-0008-0000-C600-0000017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8</xdr:row>
      <xdr:rowOff>190500</xdr:rowOff>
    </xdr:to>
    <xdr:pic>
      <xdr:nvPicPr>
        <xdr:cNvPr id="96258" name="Picture 2">
          <a:extLst>
            <a:ext uri="{FF2B5EF4-FFF2-40B4-BE49-F238E27FC236}">
              <a16:creationId xmlns:a16="http://schemas.microsoft.com/office/drawing/2014/main" id="{00000000-0008-0000-C600-0000027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96259" name="Picture 3">
          <a:extLst>
            <a:ext uri="{FF2B5EF4-FFF2-40B4-BE49-F238E27FC236}">
              <a16:creationId xmlns:a16="http://schemas.microsoft.com/office/drawing/2014/main" id="{00000000-0008-0000-C600-0000037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96260" name="Picture 4">
          <a:extLst>
            <a:ext uri="{FF2B5EF4-FFF2-40B4-BE49-F238E27FC236}">
              <a16:creationId xmlns:a16="http://schemas.microsoft.com/office/drawing/2014/main" id="{00000000-0008-0000-C600-0000047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96261" name="Picture 5">
          <a:extLst>
            <a:ext uri="{FF2B5EF4-FFF2-40B4-BE49-F238E27FC236}">
              <a16:creationId xmlns:a16="http://schemas.microsoft.com/office/drawing/2014/main" id="{00000000-0008-0000-C600-0000057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96262" name="Picture 6">
          <a:extLst>
            <a:ext uri="{FF2B5EF4-FFF2-40B4-BE49-F238E27FC236}">
              <a16:creationId xmlns:a16="http://schemas.microsoft.com/office/drawing/2014/main" id="{00000000-0008-0000-C600-0000067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96263" name="Picture 7">
          <a:extLst>
            <a:ext uri="{FF2B5EF4-FFF2-40B4-BE49-F238E27FC236}">
              <a16:creationId xmlns:a16="http://schemas.microsoft.com/office/drawing/2014/main" id="{00000000-0008-0000-C600-0000077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96264" name="Picture 8">
          <a:extLst>
            <a:ext uri="{FF2B5EF4-FFF2-40B4-BE49-F238E27FC236}">
              <a16:creationId xmlns:a16="http://schemas.microsoft.com/office/drawing/2014/main" id="{00000000-0008-0000-C600-0000087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96265" name="Picture 9">
          <a:extLst>
            <a:ext uri="{FF2B5EF4-FFF2-40B4-BE49-F238E27FC236}">
              <a16:creationId xmlns:a16="http://schemas.microsoft.com/office/drawing/2014/main" id="{00000000-0008-0000-C600-0000097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96266" name="Object 10" hidden="1">
              <a:extLst>
                <a:ext uri="{63B3BB69-23CF-44E3-9099-C40C66FF867C}">
                  <a14:compatExt spid="_x0000_s96266"/>
                </a:ext>
                <a:ext uri="{FF2B5EF4-FFF2-40B4-BE49-F238E27FC236}">
                  <a16:creationId xmlns:a16="http://schemas.microsoft.com/office/drawing/2014/main" id="{00000000-0008-0000-C600-00000A7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66561" name="Picture 1">
          <a:extLst>
            <a:ext uri="{FF2B5EF4-FFF2-40B4-BE49-F238E27FC236}">
              <a16:creationId xmlns:a16="http://schemas.microsoft.com/office/drawing/2014/main" id="{00000000-0008-0000-C800-0000010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66562" name="Picture 2">
          <a:extLst>
            <a:ext uri="{FF2B5EF4-FFF2-40B4-BE49-F238E27FC236}">
              <a16:creationId xmlns:a16="http://schemas.microsoft.com/office/drawing/2014/main" id="{00000000-0008-0000-C800-0000020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66563" name="Picture 3">
          <a:extLst>
            <a:ext uri="{FF2B5EF4-FFF2-40B4-BE49-F238E27FC236}">
              <a16:creationId xmlns:a16="http://schemas.microsoft.com/office/drawing/2014/main" id="{00000000-0008-0000-C800-0000030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66564" name="Picture 4">
          <a:extLst>
            <a:ext uri="{FF2B5EF4-FFF2-40B4-BE49-F238E27FC236}">
              <a16:creationId xmlns:a16="http://schemas.microsoft.com/office/drawing/2014/main" id="{00000000-0008-0000-C800-0000040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6565" name="Picture 5">
          <a:extLst>
            <a:ext uri="{FF2B5EF4-FFF2-40B4-BE49-F238E27FC236}">
              <a16:creationId xmlns:a16="http://schemas.microsoft.com/office/drawing/2014/main" id="{00000000-0008-0000-C800-0000050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66566" name="Picture 6">
          <a:extLst>
            <a:ext uri="{FF2B5EF4-FFF2-40B4-BE49-F238E27FC236}">
              <a16:creationId xmlns:a16="http://schemas.microsoft.com/office/drawing/2014/main" id="{00000000-0008-0000-C800-0000060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66567" name="Picture 7">
          <a:extLst>
            <a:ext uri="{FF2B5EF4-FFF2-40B4-BE49-F238E27FC236}">
              <a16:creationId xmlns:a16="http://schemas.microsoft.com/office/drawing/2014/main" id="{00000000-0008-0000-C800-0000070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66568" name="Picture 8">
          <a:extLst>
            <a:ext uri="{FF2B5EF4-FFF2-40B4-BE49-F238E27FC236}">
              <a16:creationId xmlns:a16="http://schemas.microsoft.com/office/drawing/2014/main" id="{00000000-0008-0000-C800-0000080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66569" name="Picture 9">
          <a:extLst>
            <a:ext uri="{FF2B5EF4-FFF2-40B4-BE49-F238E27FC236}">
              <a16:creationId xmlns:a16="http://schemas.microsoft.com/office/drawing/2014/main" id="{00000000-0008-0000-C800-0000090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66570" name="Object 10" hidden="1">
              <a:extLst>
                <a:ext uri="{63B3BB69-23CF-44E3-9099-C40C66FF867C}">
                  <a14:compatExt spid="_x0000_s66570"/>
                </a:ext>
                <a:ext uri="{FF2B5EF4-FFF2-40B4-BE49-F238E27FC236}">
                  <a16:creationId xmlns:a16="http://schemas.microsoft.com/office/drawing/2014/main" id="{00000000-0008-0000-C800-00000A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48481" name="Picture 1">
          <a:extLst>
            <a:ext uri="{FF2B5EF4-FFF2-40B4-BE49-F238E27FC236}">
              <a16:creationId xmlns:a16="http://schemas.microsoft.com/office/drawing/2014/main" id="{00000000-0008-0000-CA00-00000144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148482" name="Picture 2">
          <a:extLst>
            <a:ext uri="{FF2B5EF4-FFF2-40B4-BE49-F238E27FC236}">
              <a16:creationId xmlns:a16="http://schemas.microsoft.com/office/drawing/2014/main" id="{00000000-0008-0000-CA00-00000244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148483" name="Picture 3">
          <a:extLst>
            <a:ext uri="{FF2B5EF4-FFF2-40B4-BE49-F238E27FC236}">
              <a16:creationId xmlns:a16="http://schemas.microsoft.com/office/drawing/2014/main" id="{00000000-0008-0000-CA00-00000344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148484" name="Picture 4">
          <a:extLst>
            <a:ext uri="{FF2B5EF4-FFF2-40B4-BE49-F238E27FC236}">
              <a16:creationId xmlns:a16="http://schemas.microsoft.com/office/drawing/2014/main" id="{00000000-0008-0000-CA00-00000444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48485" name="Picture 5">
          <a:extLst>
            <a:ext uri="{FF2B5EF4-FFF2-40B4-BE49-F238E27FC236}">
              <a16:creationId xmlns:a16="http://schemas.microsoft.com/office/drawing/2014/main" id="{00000000-0008-0000-CA00-00000544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48486" name="Picture 6">
          <a:extLst>
            <a:ext uri="{FF2B5EF4-FFF2-40B4-BE49-F238E27FC236}">
              <a16:creationId xmlns:a16="http://schemas.microsoft.com/office/drawing/2014/main" id="{00000000-0008-0000-CA00-00000644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48487" name="Picture 7">
          <a:extLst>
            <a:ext uri="{FF2B5EF4-FFF2-40B4-BE49-F238E27FC236}">
              <a16:creationId xmlns:a16="http://schemas.microsoft.com/office/drawing/2014/main" id="{00000000-0008-0000-CA00-00000744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148488" name="Picture 8">
          <a:extLst>
            <a:ext uri="{FF2B5EF4-FFF2-40B4-BE49-F238E27FC236}">
              <a16:creationId xmlns:a16="http://schemas.microsoft.com/office/drawing/2014/main" id="{00000000-0008-0000-CA00-00000844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148489" name="Picture 9">
          <a:extLst>
            <a:ext uri="{FF2B5EF4-FFF2-40B4-BE49-F238E27FC236}">
              <a16:creationId xmlns:a16="http://schemas.microsoft.com/office/drawing/2014/main" id="{00000000-0008-0000-CA00-00000944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148490" name="Object 10" hidden="1">
              <a:extLst>
                <a:ext uri="{63B3BB69-23CF-44E3-9099-C40C66FF867C}">
                  <a14:compatExt spid="_x0000_s148490"/>
                </a:ext>
                <a:ext uri="{FF2B5EF4-FFF2-40B4-BE49-F238E27FC236}">
                  <a16:creationId xmlns:a16="http://schemas.microsoft.com/office/drawing/2014/main" id="{00000000-0008-0000-CA00-00000A4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46081" name="Picture 1">
          <a:extLst>
            <a:ext uri="{FF2B5EF4-FFF2-40B4-BE49-F238E27FC236}">
              <a16:creationId xmlns:a16="http://schemas.microsoft.com/office/drawing/2014/main" id="{00000000-0008-0000-CC00-000001B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46082" name="Picture 2">
          <a:extLst>
            <a:ext uri="{FF2B5EF4-FFF2-40B4-BE49-F238E27FC236}">
              <a16:creationId xmlns:a16="http://schemas.microsoft.com/office/drawing/2014/main" id="{00000000-0008-0000-CC00-000002B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46083" name="Picture 3">
          <a:extLst>
            <a:ext uri="{FF2B5EF4-FFF2-40B4-BE49-F238E27FC236}">
              <a16:creationId xmlns:a16="http://schemas.microsoft.com/office/drawing/2014/main" id="{00000000-0008-0000-CC00-000003B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46084" name="Picture 4">
          <a:extLst>
            <a:ext uri="{FF2B5EF4-FFF2-40B4-BE49-F238E27FC236}">
              <a16:creationId xmlns:a16="http://schemas.microsoft.com/office/drawing/2014/main" id="{00000000-0008-0000-CC00-000004B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46085" name="Picture 5">
          <a:extLst>
            <a:ext uri="{FF2B5EF4-FFF2-40B4-BE49-F238E27FC236}">
              <a16:creationId xmlns:a16="http://schemas.microsoft.com/office/drawing/2014/main" id="{00000000-0008-0000-CC00-000005B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46086" name="Picture 6">
          <a:extLst>
            <a:ext uri="{FF2B5EF4-FFF2-40B4-BE49-F238E27FC236}">
              <a16:creationId xmlns:a16="http://schemas.microsoft.com/office/drawing/2014/main" id="{00000000-0008-0000-CC00-000006B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46087" name="Picture 7">
          <a:extLst>
            <a:ext uri="{FF2B5EF4-FFF2-40B4-BE49-F238E27FC236}">
              <a16:creationId xmlns:a16="http://schemas.microsoft.com/office/drawing/2014/main" id="{00000000-0008-0000-CC00-000007B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46088" name="Picture 8">
          <a:extLst>
            <a:ext uri="{FF2B5EF4-FFF2-40B4-BE49-F238E27FC236}">
              <a16:creationId xmlns:a16="http://schemas.microsoft.com/office/drawing/2014/main" id="{00000000-0008-0000-CC00-000008B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46089" name="Picture 9">
          <a:extLst>
            <a:ext uri="{FF2B5EF4-FFF2-40B4-BE49-F238E27FC236}">
              <a16:creationId xmlns:a16="http://schemas.microsoft.com/office/drawing/2014/main" id="{00000000-0008-0000-CC00-000009B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46090" name="Object 10" hidden="1">
              <a:extLst>
                <a:ext uri="{63B3BB69-23CF-44E3-9099-C40C66FF867C}">
                  <a14:compatExt spid="_x0000_s46090"/>
                </a:ext>
                <a:ext uri="{FF2B5EF4-FFF2-40B4-BE49-F238E27FC236}">
                  <a16:creationId xmlns:a16="http://schemas.microsoft.com/office/drawing/2014/main" id="{00000000-0008-0000-CC00-00000A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C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C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C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C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C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CE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C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38100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CE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CE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D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D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D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D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D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D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D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38100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D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D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D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D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D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D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D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D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D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38100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D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D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D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D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D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D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D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D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D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38100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D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D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D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D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D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D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D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D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D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38100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D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D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D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D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D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D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D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D8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D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38100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D8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D8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D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D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D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D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D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DA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D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38100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DA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DA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D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D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DC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D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D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66675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DC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D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DC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85725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DC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66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D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D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95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D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D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D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DE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D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DE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95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104775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DE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E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E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E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E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E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E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E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38100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E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E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E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E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E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E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E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E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E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38100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E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E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E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E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E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E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E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E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E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38100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E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E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E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E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E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E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E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E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E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38100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E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E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E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E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E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E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E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E8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E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38100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E8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E8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E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E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E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E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E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EA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E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38100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EA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EA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E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E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EC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E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E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EC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E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38100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EC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EC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E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E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E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E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E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19</xdr:row>
      <xdr:rowOff>161925</xdr:rowOff>
    </xdr:from>
    <xdr:to>
      <xdr:col>1</xdr:col>
      <xdr:colOff>542925</xdr:colOff>
      <xdr:row>21</xdr:row>
      <xdr:rowOff>28575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EE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57625"/>
          <a:ext cx="44767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23</xdr:row>
      <xdr:rowOff>161925</xdr:rowOff>
    </xdr:from>
    <xdr:to>
      <xdr:col>1</xdr:col>
      <xdr:colOff>552450</xdr:colOff>
      <xdr:row>25</xdr:row>
      <xdr:rowOff>28575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E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3867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152400</xdr:rowOff>
    </xdr:from>
    <xdr:to>
      <xdr:col>1</xdr:col>
      <xdr:colOff>552450</xdr:colOff>
      <xdr:row>23</xdr:row>
      <xdr:rowOff>9525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EE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29100"/>
          <a:ext cx="46672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EE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F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F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F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F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F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F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F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38100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F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F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F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F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F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F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F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F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F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38100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F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F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F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F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F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F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F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66675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F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F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F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85725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F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66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F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F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95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F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F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F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F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F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F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95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104775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F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F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F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95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F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F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F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F8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F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F8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95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104775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F8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F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F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95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F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F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F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FA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F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FA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95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104775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FA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F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F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95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FC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F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F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FC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F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FC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95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104775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FC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327681" name="Picture 1">
          <a:extLst>
            <a:ext uri="{FF2B5EF4-FFF2-40B4-BE49-F238E27FC236}">
              <a16:creationId xmlns:a16="http://schemas.microsoft.com/office/drawing/2014/main" id="{00000000-0008-0000-FE00-00000100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327682" name="Picture 2">
          <a:extLst>
            <a:ext uri="{FF2B5EF4-FFF2-40B4-BE49-F238E27FC236}">
              <a16:creationId xmlns:a16="http://schemas.microsoft.com/office/drawing/2014/main" id="{00000000-0008-0000-FE00-00000200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327683" name="Picture 3">
          <a:extLst>
            <a:ext uri="{FF2B5EF4-FFF2-40B4-BE49-F238E27FC236}">
              <a16:creationId xmlns:a16="http://schemas.microsoft.com/office/drawing/2014/main" id="{00000000-0008-0000-FE00-00000300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327684" name="Picture 4">
          <a:extLst>
            <a:ext uri="{FF2B5EF4-FFF2-40B4-BE49-F238E27FC236}">
              <a16:creationId xmlns:a16="http://schemas.microsoft.com/office/drawing/2014/main" id="{00000000-0008-0000-FE00-00000400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27685" name="Picture 5">
          <a:extLst>
            <a:ext uri="{FF2B5EF4-FFF2-40B4-BE49-F238E27FC236}">
              <a16:creationId xmlns:a16="http://schemas.microsoft.com/office/drawing/2014/main" id="{00000000-0008-0000-FE00-00000500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27686" name="Picture 6">
          <a:extLst>
            <a:ext uri="{FF2B5EF4-FFF2-40B4-BE49-F238E27FC236}">
              <a16:creationId xmlns:a16="http://schemas.microsoft.com/office/drawing/2014/main" id="{00000000-0008-0000-FE00-00000600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27687" name="Picture 7">
          <a:extLst>
            <a:ext uri="{FF2B5EF4-FFF2-40B4-BE49-F238E27FC236}">
              <a16:creationId xmlns:a16="http://schemas.microsoft.com/office/drawing/2014/main" id="{00000000-0008-0000-FE00-00000700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327688" name="Picture 8">
          <a:extLst>
            <a:ext uri="{FF2B5EF4-FFF2-40B4-BE49-F238E27FC236}">
              <a16:creationId xmlns:a16="http://schemas.microsoft.com/office/drawing/2014/main" id="{00000000-0008-0000-FE00-00000800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327689" name="Picture 9">
          <a:extLst>
            <a:ext uri="{FF2B5EF4-FFF2-40B4-BE49-F238E27FC236}">
              <a16:creationId xmlns:a16="http://schemas.microsoft.com/office/drawing/2014/main" id="{00000000-0008-0000-FE00-00000900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327690" name="Object 10" hidden="1">
              <a:extLst>
                <a:ext uri="{63B3BB69-23CF-44E3-9099-C40C66FF867C}">
                  <a14:compatExt spid="_x0000_s327690"/>
                </a:ext>
                <a:ext uri="{FF2B5EF4-FFF2-40B4-BE49-F238E27FC236}">
                  <a16:creationId xmlns:a16="http://schemas.microsoft.com/office/drawing/2014/main" id="{00000000-0008-0000-FE00-00000A0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74433" name="Picture 1">
          <a:extLst>
            <a:ext uri="{FF2B5EF4-FFF2-40B4-BE49-F238E27FC236}">
              <a16:creationId xmlns:a16="http://schemas.microsoft.com/office/drawing/2014/main" id="{00000000-0008-0000-0001-0000013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274434" name="Picture 2">
          <a:extLst>
            <a:ext uri="{FF2B5EF4-FFF2-40B4-BE49-F238E27FC236}">
              <a16:creationId xmlns:a16="http://schemas.microsoft.com/office/drawing/2014/main" id="{00000000-0008-0000-0001-0000023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274435" name="Picture 3">
          <a:extLst>
            <a:ext uri="{FF2B5EF4-FFF2-40B4-BE49-F238E27FC236}">
              <a16:creationId xmlns:a16="http://schemas.microsoft.com/office/drawing/2014/main" id="{00000000-0008-0000-0001-0000033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274436" name="Picture 4">
          <a:extLst>
            <a:ext uri="{FF2B5EF4-FFF2-40B4-BE49-F238E27FC236}">
              <a16:creationId xmlns:a16="http://schemas.microsoft.com/office/drawing/2014/main" id="{00000000-0008-0000-0001-0000043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274437" name="Picture 5">
          <a:extLst>
            <a:ext uri="{FF2B5EF4-FFF2-40B4-BE49-F238E27FC236}">
              <a16:creationId xmlns:a16="http://schemas.microsoft.com/office/drawing/2014/main" id="{00000000-0008-0000-0001-0000053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274438" name="Picture 6">
          <a:extLst>
            <a:ext uri="{FF2B5EF4-FFF2-40B4-BE49-F238E27FC236}">
              <a16:creationId xmlns:a16="http://schemas.microsoft.com/office/drawing/2014/main" id="{00000000-0008-0000-0001-0000063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274439" name="Picture 7">
          <a:extLst>
            <a:ext uri="{FF2B5EF4-FFF2-40B4-BE49-F238E27FC236}">
              <a16:creationId xmlns:a16="http://schemas.microsoft.com/office/drawing/2014/main" id="{00000000-0008-0000-0001-0000073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274440" name="Picture 8">
          <a:extLst>
            <a:ext uri="{FF2B5EF4-FFF2-40B4-BE49-F238E27FC236}">
              <a16:creationId xmlns:a16="http://schemas.microsoft.com/office/drawing/2014/main" id="{00000000-0008-0000-0001-0000083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274441" name="Picture 9">
          <a:extLst>
            <a:ext uri="{FF2B5EF4-FFF2-40B4-BE49-F238E27FC236}">
              <a16:creationId xmlns:a16="http://schemas.microsoft.com/office/drawing/2014/main" id="{00000000-0008-0000-0001-0000093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274442" name="Object 10" hidden="1">
              <a:extLst>
                <a:ext uri="{63B3BB69-23CF-44E3-9099-C40C66FF867C}">
                  <a14:compatExt spid="_x0000_s274442"/>
                </a:ext>
                <a:ext uri="{FF2B5EF4-FFF2-40B4-BE49-F238E27FC236}">
                  <a16:creationId xmlns:a16="http://schemas.microsoft.com/office/drawing/2014/main" id="{00000000-0008-0000-0001-00000A30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65537" name="Picture 1">
          <a:extLst>
            <a:ext uri="{FF2B5EF4-FFF2-40B4-BE49-F238E27FC236}">
              <a16:creationId xmlns:a16="http://schemas.microsoft.com/office/drawing/2014/main" id="{00000000-0008-0000-0201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65538" name="Picture 2">
          <a:extLst>
            <a:ext uri="{FF2B5EF4-FFF2-40B4-BE49-F238E27FC236}">
              <a16:creationId xmlns:a16="http://schemas.microsoft.com/office/drawing/2014/main" id="{00000000-0008-0000-0201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65539" name="Picture 3">
          <a:extLst>
            <a:ext uri="{FF2B5EF4-FFF2-40B4-BE49-F238E27FC236}">
              <a16:creationId xmlns:a16="http://schemas.microsoft.com/office/drawing/2014/main" id="{00000000-0008-0000-0201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65540" name="Picture 4">
          <a:extLst>
            <a:ext uri="{FF2B5EF4-FFF2-40B4-BE49-F238E27FC236}">
              <a16:creationId xmlns:a16="http://schemas.microsoft.com/office/drawing/2014/main" id="{00000000-0008-0000-0201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5541" name="Picture 5">
          <a:extLst>
            <a:ext uri="{FF2B5EF4-FFF2-40B4-BE49-F238E27FC236}">
              <a16:creationId xmlns:a16="http://schemas.microsoft.com/office/drawing/2014/main" id="{00000000-0008-0000-0201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65542" name="Picture 6">
          <a:extLst>
            <a:ext uri="{FF2B5EF4-FFF2-40B4-BE49-F238E27FC236}">
              <a16:creationId xmlns:a16="http://schemas.microsoft.com/office/drawing/2014/main" id="{00000000-0008-0000-0201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65543" name="Picture 7">
          <a:extLst>
            <a:ext uri="{FF2B5EF4-FFF2-40B4-BE49-F238E27FC236}">
              <a16:creationId xmlns:a16="http://schemas.microsoft.com/office/drawing/2014/main" id="{00000000-0008-0000-0201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65544" name="Picture 8">
          <a:extLst>
            <a:ext uri="{FF2B5EF4-FFF2-40B4-BE49-F238E27FC236}">
              <a16:creationId xmlns:a16="http://schemas.microsoft.com/office/drawing/2014/main" id="{00000000-0008-0000-0201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65545" name="Picture 9">
          <a:extLst>
            <a:ext uri="{FF2B5EF4-FFF2-40B4-BE49-F238E27FC236}">
              <a16:creationId xmlns:a16="http://schemas.microsoft.com/office/drawing/2014/main" id="{00000000-0008-0000-0201-00000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65546" name="Object 10" hidden="1">
              <a:extLst>
                <a:ext uri="{63B3BB69-23CF-44E3-9099-C40C66FF867C}">
                  <a14:compatExt spid="_x0000_s65546"/>
                </a:ext>
                <a:ext uri="{FF2B5EF4-FFF2-40B4-BE49-F238E27FC236}">
                  <a16:creationId xmlns:a16="http://schemas.microsoft.com/office/drawing/2014/main" id="{00000000-0008-0000-0201-00000A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6350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203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25400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31750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4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53975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4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222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31750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44450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60325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244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8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8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8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57150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8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244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8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250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A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222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A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A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A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A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A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A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31750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50800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C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C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C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C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82550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C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79375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C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273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E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E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E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E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E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E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2825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85725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E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88900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44450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241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0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0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0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0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107950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0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295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92075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0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298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50800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2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69850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2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244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2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2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2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120650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2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307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98425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2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2825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3111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4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254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4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250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4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4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4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133350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4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320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104775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4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288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127000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323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63500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6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82550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6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6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6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6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6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333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111125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6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295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8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336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69850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8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266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88900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8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8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8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8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158750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8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346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117475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8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3016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A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349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A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273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A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A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A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A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171450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A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358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123825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A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307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C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82550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C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279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101600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C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C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C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C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24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C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371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130175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C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E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374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88900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E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107950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E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2825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E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E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E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24</xdr:row>
      <xdr:rowOff>12700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E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384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136525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E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320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10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0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387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0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292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0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288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0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0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0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24</xdr:row>
      <xdr:rowOff>25400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0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396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142875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20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327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10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2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406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101600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2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298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120650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2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295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2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2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2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24</xdr:row>
      <xdr:rowOff>38100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2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4095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149225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22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333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10</xdr:row>
      <xdr:rowOff>44450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4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425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107950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4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127000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4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3016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4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4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4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24</xdr:row>
      <xdr:rowOff>50800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4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422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155575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24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339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10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6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444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6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3111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6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307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6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6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6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24</xdr:row>
      <xdr:rowOff>63500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6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434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161925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26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346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8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10</xdr:row>
      <xdr:rowOff>82550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8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463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120650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8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317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139700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8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8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8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8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24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8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447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168275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28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A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10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A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482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127000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A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323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146050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A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320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A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A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A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24</xdr:row>
      <xdr:rowOff>88900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A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460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174625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2A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358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C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10</xdr:row>
      <xdr:rowOff>120650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C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501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C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330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C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327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C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C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C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24</xdr:row>
      <xdr:rowOff>101600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C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473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180975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2C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365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E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10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E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520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139700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E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336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158750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E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333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E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E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E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24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E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485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12</xdr:row>
      <xdr:rowOff>3175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2E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371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0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10</xdr:row>
      <xdr:rowOff>158750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0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539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146050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0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165100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0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339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0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0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30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24</xdr:row>
      <xdr:rowOff>127000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30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498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12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30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377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2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10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2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558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2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349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2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346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2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2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32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24</xdr:row>
      <xdr:rowOff>139700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32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511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12</xdr:row>
      <xdr:rowOff>15875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32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384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4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11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4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577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158750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4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355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177800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4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4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4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34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24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34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523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12</xdr:row>
      <xdr:rowOff>22225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34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6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11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6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603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165100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6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14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6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358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6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6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36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24</xdr:row>
      <xdr:rowOff>165100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36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5365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12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36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396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8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11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8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628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8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368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14</xdr:row>
      <xdr:rowOff>12700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8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371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8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8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38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24</xdr:row>
      <xdr:rowOff>177800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38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549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12</xdr:row>
      <xdr:rowOff>34925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38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403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A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11</xdr:row>
      <xdr:rowOff>88900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A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654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177800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A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374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14</xdr:row>
      <xdr:rowOff>25400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A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384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A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A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3A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25</xdr:row>
      <xdr:rowOff>6350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3A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561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12</xdr:row>
      <xdr:rowOff>41275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3A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4095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C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11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C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679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16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C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381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14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C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396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C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C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3C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25</xdr:row>
      <xdr:rowOff>19050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3C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574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12</xdr:row>
      <xdr:rowOff>47625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3C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415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E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11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E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704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16</xdr:row>
      <xdr:rowOff>6350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E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387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14</xdr:row>
      <xdr:rowOff>50800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E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4095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E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E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3E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25</xdr:row>
      <xdr:rowOff>31750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3E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587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12</xdr:row>
      <xdr:rowOff>53975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3E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422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0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11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0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730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16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40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393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14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40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422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40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40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40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25</xdr:row>
      <xdr:rowOff>44450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40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600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12</xdr:row>
      <xdr:rowOff>60325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40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4286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2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12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2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755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16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42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400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14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42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434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42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42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42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25</xdr:row>
      <xdr:rowOff>57150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42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612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12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42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434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4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12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4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781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16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44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406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14</xdr:row>
      <xdr:rowOff>88900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44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447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44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44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44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25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44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625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12</xdr:row>
      <xdr:rowOff>73025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44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441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6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12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6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850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16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46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434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14</xdr:row>
      <xdr:rowOff>88900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46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479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46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46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46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25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46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669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12</xdr:row>
      <xdr:rowOff>73025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46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463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8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12</xdr:row>
      <xdr:rowOff>69850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8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850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16</xdr:row>
      <xdr:rowOff>34925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48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434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14</xdr:row>
      <xdr:rowOff>107950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48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479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48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48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48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25</xdr:row>
      <xdr:rowOff>88900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48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669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12</xdr:row>
      <xdr:rowOff>82550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48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463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4801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12</xdr:row>
      <xdr:rowOff>31750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4801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850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16</xdr:row>
      <xdr:rowOff>25400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4801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434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14</xdr:row>
      <xdr:rowOff>88900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4801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479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4801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4801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4801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25</xdr:row>
      <xdr:rowOff>69850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4801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669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12</xdr:row>
      <xdr:rowOff>73025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4801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463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A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12</xdr:row>
      <xdr:rowOff>69850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A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850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16</xdr:row>
      <xdr:rowOff>34925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4A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434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14</xdr:row>
      <xdr:rowOff>107950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4A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479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4A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4A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4A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25</xdr:row>
      <xdr:rowOff>88900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4A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669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12</xdr:row>
      <xdr:rowOff>82550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4A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463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C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12</xdr:row>
      <xdr:rowOff>69850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C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850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16</xdr:row>
      <xdr:rowOff>34925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4C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434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14</xdr:row>
      <xdr:rowOff>107950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4C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479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4C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4C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4C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25</xdr:row>
      <xdr:rowOff>88900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4C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669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12</xdr:row>
      <xdr:rowOff>82550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4C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463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E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12</xdr:row>
      <xdr:rowOff>69850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E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850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16</xdr:row>
      <xdr:rowOff>34925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4E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434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14</xdr:row>
      <xdr:rowOff>107950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4E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479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4E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4E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4E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25</xdr:row>
      <xdr:rowOff>88900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4E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669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12</xdr:row>
      <xdr:rowOff>82550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4E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463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0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12</xdr:row>
      <xdr:rowOff>69850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50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850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16</xdr:row>
      <xdr:rowOff>34925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50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434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14</xdr:row>
      <xdr:rowOff>107950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50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479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50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50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50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25</xdr:row>
      <xdr:rowOff>88900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50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669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12</xdr:row>
      <xdr:rowOff>82550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50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463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2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12</xdr:row>
      <xdr:rowOff>69850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52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850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16</xdr:row>
      <xdr:rowOff>34925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52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434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14</xdr:row>
      <xdr:rowOff>107950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52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479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52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52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52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25</xdr:row>
      <xdr:rowOff>88900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52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669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12</xdr:row>
      <xdr:rowOff>82550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52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463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4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12</xdr:row>
      <xdr:rowOff>69850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54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850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16</xdr:row>
      <xdr:rowOff>34925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54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434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14</xdr:row>
      <xdr:rowOff>107950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54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479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54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54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54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25</xdr:row>
      <xdr:rowOff>88900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54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669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12</xdr:row>
      <xdr:rowOff>82550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54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463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6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12</xdr:row>
      <xdr:rowOff>69850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56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850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16</xdr:row>
      <xdr:rowOff>34925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56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434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14</xdr:row>
      <xdr:rowOff>107950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56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479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56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56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56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25</xdr:row>
      <xdr:rowOff>88900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56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669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12</xdr:row>
      <xdr:rowOff>82550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56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463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8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12</xdr:row>
      <xdr:rowOff>107950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58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889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16</xdr:row>
      <xdr:rowOff>44450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58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444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14</xdr:row>
      <xdr:rowOff>127000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58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498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58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58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58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25</xdr:row>
      <xdr:rowOff>107950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58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688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12</xdr:row>
      <xdr:rowOff>92075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58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473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A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12</xdr:row>
      <xdr:rowOff>107950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5A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889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16</xdr:row>
      <xdr:rowOff>44450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5A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444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14</xdr:row>
      <xdr:rowOff>127000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5A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498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5A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5A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5A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25</xdr:row>
      <xdr:rowOff>107950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5A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688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12</xdr:row>
      <xdr:rowOff>92075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5A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473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C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12</xdr:row>
      <xdr:rowOff>107950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5C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889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16</xdr:row>
      <xdr:rowOff>44450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5C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444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14</xdr:row>
      <xdr:rowOff>127000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5C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498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5C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5C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5C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25</xdr:row>
      <xdr:rowOff>107950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5C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688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12</xdr:row>
      <xdr:rowOff>92075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5C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473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9217" name="Picture 1">
          <a:extLst>
            <a:ext uri="{FF2B5EF4-FFF2-40B4-BE49-F238E27FC236}">
              <a16:creationId xmlns:a16="http://schemas.microsoft.com/office/drawing/2014/main" id="{00000000-0008-0000-5E01-00000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9218" name="Picture 2">
          <a:extLst>
            <a:ext uri="{FF2B5EF4-FFF2-40B4-BE49-F238E27FC236}">
              <a16:creationId xmlns:a16="http://schemas.microsoft.com/office/drawing/2014/main" id="{00000000-0008-0000-5E01-00000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9219" name="Picture 3">
          <a:extLst>
            <a:ext uri="{FF2B5EF4-FFF2-40B4-BE49-F238E27FC236}">
              <a16:creationId xmlns:a16="http://schemas.microsoft.com/office/drawing/2014/main" id="{00000000-0008-0000-5E01-00000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9220" name="Picture 4">
          <a:extLst>
            <a:ext uri="{FF2B5EF4-FFF2-40B4-BE49-F238E27FC236}">
              <a16:creationId xmlns:a16="http://schemas.microsoft.com/office/drawing/2014/main" id="{00000000-0008-0000-5E01-00000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9221" name="Picture 5">
          <a:extLst>
            <a:ext uri="{FF2B5EF4-FFF2-40B4-BE49-F238E27FC236}">
              <a16:creationId xmlns:a16="http://schemas.microsoft.com/office/drawing/2014/main" id="{00000000-0008-0000-5E01-00000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9222" name="Picture 6">
          <a:extLst>
            <a:ext uri="{FF2B5EF4-FFF2-40B4-BE49-F238E27FC236}">
              <a16:creationId xmlns:a16="http://schemas.microsoft.com/office/drawing/2014/main" id="{00000000-0008-0000-5E01-00000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9223" name="Picture 7">
          <a:extLst>
            <a:ext uri="{FF2B5EF4-FFF2-40B4-BE49-F238E27FC236}">
              <a16:creationId xmlns:a16="http://schemas.microsoft.com/office/drawing/2014/main" id="{00000000-0008-0000-5E01-00000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9224" name="Picture 8">
          <a:extLst>
            <a:ext uri="{FF2B5EF4-FFF2-40B4-BE49-F238E27FC236}">
              <a16:creationId xmlns:a16="http://schemas.microsoft.com/office/drawing/2014/main" id="{00000000-0008-0000-5E01-00000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9225" name="Picture 9">
          <a:extLst>
            <a:ext uri="{FF2B5EF4-FFF2-40B4-BE49-F238E27FC236}">
              <a16:creationId xmlns:a16="http://schemas.microsoft.com/office/drawing/2014/main" id="{00000000-0008-0000-5E01-00000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9226" name="Object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5E01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67585" name="Picture 1">
          <a:extLst>
            <a:ext uri="{FF2B5EF4-FFF2-40B4-BE49-F238E27FC236}">
              <a16:creationId xmlns:a16="http://schemas.microsoft.com/office/drawing/2014/main" id="{00000000-0008-0000-6001-0000010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67586" name="Picture 2">
          <a:extLst>
            <a:ext uri="{FF2B5EF4-FFF2-40B4-BE49-F238E27FC236}">
              <a16:creationId xmlns:a16="http://schemas.microsoft.com/office/drawing/2014/main" id="{00000000-0008-0000-6001-0000020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67587" name="Picture 3">
          <a:extLst>
            <a:ext uri="{FF2B5EF4-FFF2-40B4-BE49-F238E27FC236}">
              <a16:creationId xmlns:a16="http://schemas.microsoft.com/office/drawing/2014/main" id="{00000000-0008-0000-6001-0000030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67588" name="Picture 4">
          <a:extLst>
            <a:ext uri="{FF2B5EF4-FFF2-40B4-BE49-F238E27FC236}">
              <a16:creationId xmlns:a16="http://schemas.microsoft.com/office/drawing/2014/main" id="{00000000-0008-0000-6001-0000040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7589" name="Picture 5">
          <a:extLst>
            <a:ext uri="{FF2B5EF4-FFF2-40B4-BE49-F238E27FC236}">
              <a16:creationId xmlns:a16="http://schemas.microsoft.com/office/drawing/2014/main" id="{00000000-0008-0000-6001-0000050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67590" name="Picture 6">
          <a:extLst>
            <a:ext uri="{FF2B5EF4-FFF2-40B4-BE49-F238E27FC236}">
              <a16:creationId xmlns:a16="http://schemas.microsoft.com/office/drawing/2014/main" id="{00000000-0008-0000-6001-0000060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67591" name="Picture 7">
          <a:extLst>
            <a:ext uri="{FF2B5EF4-FFF2-40B4-BE49-F238E27FC236}">
              <a16:creationId xmlns:a16="http://schemas.microsoft.com/office/drawing/2014/main" id="{00000000-0008-0000-6001-0000070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67592" name="Picture 8">
          <a:extLst>
            <a:ext uri="{FF2B5EF4-FFF2-40B4-BE49-F238E27FC236}">
              <a16:creationId xmlns:a16="http://schemas.microsoft.com/office/drawing/2014/main" id="{00000000-0008-0000-6001-0000080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67593" name="Picture 9">
          <a:extLst>
            <a:ext uri="{FF2B5EF4-FFF2-40B4-BE49-F238E27FC236}">
              <a16:creationId xmlns:a16="http://schemas.microsoft.com/office/drawing/2014/main" id="{00000000-0008-0000-6001-0000090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67594" name="Object 10" hidden="1">
              <a:extLst>
                <a:ext uri="{63B3BB69-23CF-44E3-9099-C40C66FF867C}">
                  <a14:compatExt spid="_x0000_s67594"/>
                </a:ext>
                <a:ext uri="{FF2B5EF4-FFF2-40B4-BE49-F238E27FC236}">
                  <a16:creationId xmlns:a16="http://schemas.microsoft.com/office/drawing/2014/main" id="{00000000-0008-0000-6001-00000A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2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62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6350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62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203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25400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62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62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62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62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31750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62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53975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62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05473" name="Picture 1">
          <a:extLst>
            <a:ext uri="{FF2B5EF4-FFF2-40B4-BE49-F238E27FC236}">
              <a16:creationId xmlns:a16="http://schemas.microsoft.com/office/drawing/2014/main" id="{00000000-0008-0000-6401-0000019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105474" name="Picture 2">
          <a:extLst>
            <a:ext uri="{FF2B5EF4-FFF2-40B4-BE49-F238E27FC236}">
              <a16:creationId xmlns:a16="http://schemas.microsoft.com/office/drawing/2014/main" id="{00000000-0008-0000-6401-0000029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105475" name="Picture 3">
          <a:extLst>
            <a:ext uri="{FF2B5EF4-FFF2-40B4-BE49-F238E27FC236}">
              <a16:creationId xmlns:a16="http://schemas.microsoft.com/office/drawing/2014/main" id="{00000000-0008-0000-6401-0000039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105476" name="Picture 4">
          <a:extLst>
            <a:ext uri="{FF2B5EF4-FFF2-40B4-BE49-F238E27FC236}">
              <a16:creationId xmlns:a16="http://schemas.microsoft.com/office/drawing/2014/main" id="{00000000-0008-0000-6401-0000049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05477" name="Picture 5">
          <a:extLst>
            <a:ext uri="{FF2B5EF4-FFF2-40B4-BE49-F238E27FC236}">
              <a16:creationId xmlns:a16="http://schemas.microsoft.com/office/drawing/2014/main" id="{00000000-0008-0000-6401-0000059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05478" name="Picture 6">
          <a:extLst>
            <a:ext uri="{FF2B5EF4-FFF2-40B4-BE49-F238E27FC236}">
              <a16:creationId xmlns:a16="http://schemas.microsoft.com/office/drawing/2014/main" id="{00000000-0008-0000-6401-0000069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05479" name="Picture 7">
          <a:extLst>
            <a:ext uri="{FF2B5EF4-FFF2-40B4-BE49-F238E27FC236}">
              <a16:creationId xmlns:a16="http://schemas.microsoft.com/office/drawing/2014/main" id="{00000000-0008-0000-6401-0000079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105480" name="Picture 8">
          <a:extLst>
            <a:ext uri="{FF2B5EF4-FFF2-40B4-BE49-F238E27FC236}">
              <a16:creationId xmlns:a16="http://schemas.microsoft.com/office/drawing/2014/main" id="{00000000-0008-0000-6401-0000089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105481" name="Picture 9">
          <a:extLst>
            <a:ext uri="{FF2B5EF4-FFF2-40B4-BE49-F238E27FC236}">
              <a16:creationId xmlns:a16="http://schemas.microsoft.com/office/drawing/2014/main" id="{00000000-0008-0000-6401-0000099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105482" name="Object 10" hidden="1">
              <a:extLst>
                <a:ext uri="{63B3BB69-23CF-44E3-9099-C40C66FF867C}">
                  <a14:compatExt spid="_x0000_s105482"/>
                </a:ext>
                <a:ext uri="{FF2B5EF4-FFF2-40B4-BE49-F238E27FC236}">
                  <a16:creationId xmlns:a16="http://schemas.microsoft.com/office/drawing/2014/main" id="{00000000-0008-0000-6401-00000A9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71681" name="Picture 1">
          <a:extLst>
            <a:ext uri="{FF2B5EF4-FFF2-40B4-BE49-F238E27FC236}">
              <a16:creationId xmlns:a16="http://schemas.microsoft.com/office/drawing/2014/main" id="{00000000-0008-0000-6601-0000011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71682" name="Picture 2">
          <a:extLst>
            <a:ext uri="{FF2B5EF4-FFF2-40B4-BE49-F238E27FC236}">
              <a16:creationId xmlns:a16="http://schemas.microsoft.com/office/drawing/2014/main" id="{00000000-0008-0000-6601-0000021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71683" name="Picture 3">
          <a:extLst>
            <a:ext uri="{FF2B5EF4-FFF2-40B4-BE49-F238E27FC236}">
              <a16:creationId xmlns:a16="http://schemas.microsoft.com/office/drawing/2014/main" id="{00000000-0008-0000-6601-0000031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71684" name="Picture 4">
          <a:extLst>
            <a:ext uri="{FF2B5EF4-FFF2-40B4-BE49-F238E27FC236}">
              <a16:creationId xmlns:a16="http://schemas.microsoft.com/office/drawing/2014/main" id="{00000000-0008-0000-6601-0000041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71685" name="Picture 5">
          <a:extLst>
            <a:ext uri="{FF2B5EF4-FFF2-40B4-BE49-F238E27FC236}">
              <a16:creationId xmlns:a16="http://schemas.microsoft.com/office/drawing/2014/main" id="{00000000-0008-0000-6601-0000051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1686" name="Picture 6">
          <a:extLst>
            <a:ext uri="{FF2B5EF4-FFF2-40B4-BE49-F238E27FC236}">
              <a16:creationId xmlns:a16="http://schemas.microsoft.com/office/drawing/2014/main" id="{00000000-0008-0000-6601-0000061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71687" name="Picture 7">
          <a:extLst>
            <a:ext uri="{FF2B5EF4-FFF2-40B4-BE49-F238E27FC236}">
              <a16:creationId xmlns:a16="http://schemas.microsoft.com/office/drawing/2014/main" id="{00000000-0008-0000-6601-0000071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71688" name="Picture 8">
          <a:extLst>
            <a:ext uri="{FF2B5EF4-FFF2-40B4-BE49-F238E27FC236}">
              <a16:creationId xmlns:a16="http://schemas.microsoft.com/office/drawing/2014/main" id="{00000000-0008-0000-6601-0000081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71689" name="Picture 9">
          <a:extLst>
            <a:ext uri="{FF2B5EF4-FFF2-40B4-BE49-F238E27FC236}">
              <a16:creationId xmlns:a16="http://schemas.microsoft.com/office/drawing/2014/main" id="{00000000-0008-0000-6601-0000091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71690" name="Object 10" hidden="1">
              <a:extLst>
                <a:ext uri="{63B3BB69-23CF-44E3-9099-C40C66FF867C}">
                  <a14:compatExt spid="_x0000_s71690"/>
                </a:ext>
                <a:ext uri="{FF2B5EF4-FFF2-40B4-BE49-F238E27FC236}">
                  <a16:creationId xmlns:a16="http://schemas.microsoft.com/office/drawing/2014/main" id="{00000000-0008-0000-6601-00000A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38241" name="Picture 1">
          <a:extLst>
            <a:ext uri="{FF2B5EF4-FFF2-40B4-BE49-F238E27FC236}">
              <a16:creationId xmlns:a16="http://schemas.microsoft.com/office/drawing/2014/main" id="{00000000-0008-0000-6801-0000011C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8</xdr:row>
      <xdr:rowOff>190500</xdr:rowOff>
    </xdr:to>
    <xdr:pic>
      <xdr:nvPicPr>
        <xdr:cNvPr id="138242" name="Picture 2">
          <a:extLst>
            <a:ext uri="{FF2B5EF4-FFF2-40B4-BE49-F238E27FC236}">
              <a16:creationId xmlns:a16="http://schemas.microsoft.com/office/drawing/2014/main" id="{00000000-0008-0000-6801-0000021C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138243" name="Picture 3">
          <a:extLst>
            <a:ext uri="{FF2B5EF4-FFF2-40B4-BE49-F238E27FC236}">
              <a16:creationId xmlns:a16="http://schemas.microsoft.com/office/drawing/2014/main" id="{00000000-0008-0000-6801-0000031C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138244" name="Picture 4">
          <a:extLst>
            <a:ext uri="{FF2B5EF4-FFF2-40B4-BE49-F238E27FC236}">
              <a16:creationId xmlns:a16="http://schemas.microsoft.com/office/drawing/2014/main" id="{00000000-0008-0000-6801-0000041C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38245" name="Picture 5">
          <a:extLst>
            <a:ext uri="{FF2B5EF4-FFF2-40B4-BE49-F238E27FC236}">
              <a16:creationId xmlns:a16="http://schemas.microsoft.com/office/drawing/2014/main" id="{00000000-0008-0000-6801-0000051C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38246" name="Picture 6">
          <a:extLst>
            <a:ext uri="{FF2B5EF4-FFF2-40B4-BE49-F238E27FC236}">
              <a16:creationId xmlns:a16="http://schemas.microsoft.com/office/drawing/2014/main" id="{00000000-0008-0000-6801-0000061C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38247" name="Picture 7">
          <a:extLst>
            <a:ext uri="{FF2B5EF4-FFF2-40B4-BE49-F238E27FC236}">
              <a16:creationId xmlns:a16="http://schemas.microsoft.com/office/drawing/2014/main" id="{00000000-0008-0000-6801-0000071C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138248" name="Picture 8">
          <a:extLst>
            <a:ext uri="{FF2B5EF4-FFF2-40B4-BE49-F238E27FC236}">
              <a16:creationId xmlns:a16="http://schemas.microsoft.com/office/drawing/2014/main" id="{00000000-0008-0000-6801-0000081C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138249" name="Picture 9">
          <a:extLst>
            <a:ext uri="{FF2B5EF4-FFF2-40B4-BE49-F238E27FC236}">
              <a16:creationId xmlns:a16="http://schemas.microsoft.com/office/drawing/2014/main" id="{00000000-0008-0000-6801-0000091C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138250" name="Object 10" hidden="1">
              <a:extLst>
                <a:ext uri="{63B3BB69-23CF-44E3-9099-C40C66FF867C}">
                  <a14:compatExt spid="_x0000_s138250"/>
                </a:ext>
                <a:ext uri="{FF2B5EF4-FFF2-40B4-BE49-F238E27FC236}">
                  <a16:creationId xmlns:a16="http://schemas.microsoft.com/office/drawing/2014/main" id="{00000000-0008-0000-6801-00000A1C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329729" name="Picture 1">
          <a:extLst>
            <a:ext uri="{FF2B5EF4-FFF2-40B4-BE49-F238E27FC236}">
              <a16:creationId xmlns:a16="http://schemas.microsoft.com/office/drawing/2014/main" id="{00000000-0008-0000-6A01-00000108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329730" name="Picture 2">
          <a:extLst>
            <a:ext uri="{FF2B5EF4-FFF2-40B4-BE49-F238E27FC236}">
              <a16:creationId xmlns:a16="http://schemas.microsoft.com/office/drawing/2014/main" id="{00000000-0008-0000-6A01-00000208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329731" name="Picture 3">
          <a:extLst>
            <a:ext uri="{FF2B5EF4-FFF2-40B4-BE49-F238E27FC236}">
              <a16:creationId xmlns:a16="http://schemas.microsoft.com/office/drawing/2014/main" id="{00000000-0008-0000-6A01-00000308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329732" name="Picture 4">
          <a:extLst>
            <a:ext uri="{FF2B5EF4-FFF2-40B4-BE49-F238E27FC236}">
              <a16:creationId xmlns:a16="http://schemas.microsoft.com/office/drawing/2014/main" id="{00000000-0008-0000-6A01-00000408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29733" name="Picture 5">
          <a:extLst>
            <a:ext uri="{FF2B5EF4-FFF2-40B4-BE49-F238E27FC236}">
              <a16:creationId xmlns:a16="http://schemas.microsoft.com/office/drawing/2014/main" id="{00000000-0008-0000-6A01-00000508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29734" name="Picture 6">
          <a:extLst>
            <a:ext uri="{FF2B5EF4-FFF2-40B4-BE49-F238E27FC236}">
              <a16:creationId xmlns:a16="http://schemas.microsoft.com/office/drawing/2014/main" id="{00000000-0008-0000-6A01-00000608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29735" name="Picture 7">
          <a:extLst>
            <a:ext uri="{FF2B5EF4-FFF2-40B4-BE49-F238E27FC236}">
              <a16:creationId xmlns:a16="http://schemas.microsoft.com/office/drawing/2014/main" id="{00000000-0008-0000-6A01-00000708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329736" name="Picture 8">
          <a:extLst>
            <a:ext uri="{FF2B5EF4-FFF2-40B4-BE49-F238E27FC236}">
              <a16:creationId xmlns:a16="http://schemas.microsoft.com/office/drawing/2014/main" id="{00000000-0008-0000-6A01-00000808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329737" name="Picture 9">
          <a:extLst>
            <a:ext uri="{FF2B5EF4-FFF2-40B4-BE49-F238E27FC236}">
              <a16:creationId xmlns:a16="http://schemas.microsoft.com/office/drawing/2014/main" id="{00000000-0008-0000-6A01-00000908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329738" name="Object 10" hidden="1">
              <a:extLst>
                <a:ext uri="{63B3BB69-23CF-44E3-9099-C40C66FF867C}">
                  <a14:compatExt spid="_x0000_s329738"/>
                </a:ext>
                <a:ext uri="{FF2B5EF4-FFF2-40B4-BE49-F238E27FC236}">
                  <a16:creationId xmlns:a16="http://schemas.microsoft.com/office/drawing/2014/main" id="{00000000-0008-0000-6A01-00000A08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330753" name="Picture 1">
          <a:extLst>
            <a:ext uri="{FF2B5EF4-FFF2-40B4-BE49-F238E27FC236}">
              <a16:creationId xmlns:a16="http://schemas.microsoft.com/office/drawing/2014/main" id="{00000000-0008-0000-6C01-0000010C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330754" name="Picture 2">
          <a:extLst>
            <a:ext uri="{FF2B5EF4-FFF2-40B4-BE49-F238E27FC236}">
              <a16:creationId xmlns:a16="http://schemas.microsoft.com/office/drawing/2014/main" id="{00000000-0008-0000-6C01-0000020C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330755" name="Picture 3">
          <a:extLst>
            <a:ext uri="{FF2B5EF4-FFF2-40B4-BE49-F238E27FC236}">
              <a16:creationId xmlns:a16="http://schemas.microsoft.com/office/drawing/2014/main" id="{00000000-0008-0000-6C01-0000030C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330756" name="Picture 4">
          <a:extLst>
            <a:ext uri="{FF2B5EF4-FFF2-40B4-BE49-F238E27FC236}">
              <a16:creationId xmlns:a16="http://schemas.microsoft.com/office/drawing/2014/main" id="{00000000-0008-0000-6C01-0000040C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30757" name="Picture 5">
          <a:extLst>
            <a:ext uri="{FF2B5EF4-FFF2-40B4-BE49-F238E27FC236}">
              <a16:creationId xmlns:a16="http://schemas.microsoft.com/office/drawing/2014/main" id="{00000000-0008-0000-6C01-0000050C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30758" name="Picture 6">
          <a:extLst>
            <a:ext uri="{FF2B5EF4-FFF2-40B4-BE49-F238E27FC236}">
              <a16:creationId xmlns:a16="http://schemas.microsoft.com/office/drawing/2014/main" id="{00000000-0008-0000-6C01-0000060C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30759" name="Picture 7">
          <a:extLst>
            <a:ext uri="{FF2B5EF4-FFF2-40B4-BE49-F238E27FC236}">
              <a16:creationId xmlns:a16="http://schemas.microsoft.com/office/drawing/2014/main" id="{00000000-0008-0000-6C01-0000070C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330760" name="Picture 8">
          <a:extLst>
            <a:ext uri="{FF2B5EF4-FFF2-40B4-BE49-F238E27FC236}">
              <a16:creationId xmlns:a16="http://schemas.microsoft.com/office/drawing/2014/main" id="{00000000-0008-0000-6C01-0000080C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330761" name="Picture 9">
          <a:extLst>
            <a:ext uri="{FF2B5EF4-FFF2-40B4-BE49-F238E27FC236}">
              <a16:creationId xmlns:a16="http://schemas.microsoft.com/office/drawing/2014/main" id="{00000000-0008-0000-6C01-0000090C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330762" name="Object 10" hidden="1">
              <a:extLst>
                <a:ext uri="{63B3BB69-23CF-44E3-9099-C40C66FF867C}">
                  <a14:compatExt spid="_x0000_s330762"/>
                </a:ext>
                <a:ext uri="{FF2B5EF4-FFF2-40B4-BE49-F238E27FC236}">
                  <a16:creationId xmlns:a16="http://schemas.microsoft.com/office/drawing/2014/main" id="{00000000-0008-0000-6C01-00000A0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48129" name="Picture 1">
          <a:extLst>
            <a:ext uri="{FF2B5EF4-FFF2-40B4-BE49-F238E27FC236}">
              <a16:creationId xmlns:a16="http://schemas.microsoft.com/office/drawing/2014/main" id="{00000000-0008-0000-6E01-000001B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8</xdr:row>
      <xdr:rowOff>190500</xdr:rowOff>
    </xdr:to>
    <xdr:pic>
      <xdr:nvPicPr>
        <xdr:cNvPr id="48130" name="Picture 2">
          <a:extLst>
            <a:ext uri="{FF2B5EF4-FFF2-40B4-BE49-F238E27FC236}">
              <a16:creationId xmlns:a16="http://schemas.microsoft.com/office/drawing/2014/main" id="{00000000-0008-0000-6E01-000002B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48131" name="Picture 3">
          <a:extLst>
            <a:ext uri="{FF2B5EF4-FFF2-40B4-BE49-F238E27FC236}">
              <a16:creationId xmlns:a16="http://schemas.microsoft.com/office/drawing/2014/main" id="{00000000-0008-0000-6E01-000003B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48132" name="Picture 4">
          <a:extLst>
            <a:ext uri="{FF2B5EF4-FFF2-40B4-BE49-F238E27FC236}">
              <a16:creationId xmlns:a16="http://schemas.microsoft.com/office/drawing/2014/main" id="{00000000-0008-0000-6E01-000004B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48133" name="Picture 5">
          <a:extLst>
            <a:ext uri="{FF2B5EF4-FFF2-40B4-BE49-F238E27FC236}">
              <a16:creationId xmlns:a16="http://schemas.microsoft.com/office/drawing/2014/main" id="{00000000-0008-0000-6E01-000005B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48134" name="Picture 6">
          <a:extLst>
            <a:ext uri="{FF2B5EF4-FFF2-40B4-BE49-F238E27FC236}">
              <a16:creationId xmlns:a16="http://schemas.microsoft.com/office/drawing/2014/main" id="{00000000-0008-0000-6E01-000006B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48135" name="Picture 7">
          <a:extLst>
            <a:ext uri="{FF2B5EF4-FFF2-40B4-BE49-F238E27FC236}">
              <a16:creationId xmlns:a16="http://schemas.microsoft.com/office/drawing/2014/main" id="{00000000-0008-0000-6E01-000007B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48136" name="Picture 8">
          <a:extLst>
            <a:ext uri="{FF2B5EF4-FFF2-40B4-BE49-F238E27FC236}">
              <a16:creationId xmlns:a16="http://schemas.microsoft.com/office/drawing/2014/main" id="{00000000-0008-0000-6E01-000008B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48137" name="Picture 9">
          <a:extLst>
            <a:ext uri="{FF2B5EF4-FFF2-40B4-BE49-F238E27FC236}">
              <a16:creationId xmlns:a16="http://schemas.microsoft.com/office/drawing/2014/main" id="{00000000-0008-0000-6E01-000009B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48138" name="Object 10" hidden="1">
              <a:extLst>
                <a:ext uri="{63B3BB69-23CF-44E3-9099-C40C66FF867C}">
                  <a14:compatExt spid="_x0000_s48138"/>
                </a:ext>
                <a:ext uri="{FF2B5EF4-FFF2-40B4-BE49-F238E27FC236}">
                  <a16:creationId xmlns:a16="http://schemas.microsoft.com/office/drawing/2014/main" id="{00000000-0008-0000-6E01-00000A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379905" name="Picture 1">
          <a:extLst>
            <a:ext uri="{FF2B5EF4-FFF2-40B4-BE49-F238E27FC236}">
              <a16:creationId xmlns:a16="http://schemas.microsoft.com/office/drawing/2014/main" id="{00000000-0008-0000-7001-000001CC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379906" name="Picture 2">
          <a:extLst>
            <a:ext uri="{FF2B5EF4-FFF2-40B4-BE49-F238E27FC236}">
              <a16:creationId xmlns:a16="http://schemas.microsoft.com/office/drawing/2014/main" id="{00000000-0008-0000-7001-000002CC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379907" name="Picture 3">
          <a:extLst>
            <a:ext uri="{FF2B5EF4-FFF2-40B4-BE49-F238E27FC236}">
              <a16:creationId xmlns:a16="http://schemas.microsoft.com/office/drawing/2014/main" id="{00000000-0008-0000-7001-000003CC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379908" name="Picture 4">
          <a:extLst>
            <a:ext uri="{FF2B5EF4-FFF2-40B4-BE49-F238E27FC236}">
              <a16:creationId xmlns:a16="http://schemas.microsoft.com/office/drawing/2014/main" id="{00000000-0008-0000-7001-000004CC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79909" name="Picture 5">
          <a:extLst>
            <a:ext uri="{FF2B5EF4-FFF2-40B4-BE49-F238E27FC236}">
              <a16:creationId xmlns:a16="http://schemas.microsoft.com/office/drawing/2014/main" id="{00000000-0008-0000-7001-000005CC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79910" name="Picture 6">
          <a:extLst>
            <a:ext uri="{FF2B5EF4-FFF2-40B4-BE49-F238E27FC236}">
              <a16:creationId xmlns:a16="http://schemas.microsoft.com/office/drawing/2014/main" id="{00000000-0008-0000-7001-000006CC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79911" name="Picture 7">
          <a:extLst>
            <a:ext uri="{FF2B5EF4-FFF2-40B4-BE49-F238E27FC236}">
              <a16:creationId xmlns:a16="http://schemas.microsoft.com/office/drawing/2014/main" id="{00000000-0008-0000-7001-000007CC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379912" name="Picture 8">
          <a:extLst>
            <a:ext uri="{FF2B5EF4-FFF2-40B4-BE49-F238E27FC236}">
              <a16:creationId xmlns:a16="http://schemas.microsoft.com/office/drawing/2014/main" id="{00000000-0008-0000-7001-000008CC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379913" name="Picture 9">
          <a:extLst>
            <a:ext uri="{FF2B5EF4-FFF2-40B4-BE49-F238E27FC236}">
              <a16:creationId xmlns:a16="http://schemas.microsoft.com/office/drawing/2014/main" id="{00000000-0008-0000-7001-000009CC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379914" name="Object 10" hidden="1">
              <a:extLst>
                <a:ext uri="{63B3BB69-23CF-44E3-9099-C40C66FF867C}">
                  <a14:compatExt spid="_x0000_s379914"/>
                </a:ext>
                <a:ext uri="{FF2B5EF4-FFF2-40B4-BE49-F238E27FC236}">
                  <a16:creationId xmlns:a16="http://schemas.microsoft.com/office/drawing/2014/main" id="{00000000-0008-0000-7001-00000AC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328705" name="Picture 1">
          <a:extLst>
            <a:ext uri="{FF2B5EF4-FFF2-40B4-BE49-F238E27FC236}">
              <a16:creationId xmlns:a16="http://schemas.microsoft.com/office/drawing/2014/main" id="{00000000-0008-0000-7201-00000104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328706" name="Picture 2">
          <a:extLst>
            <a:ext uri="{FF2B5EF4-FFF2-40B4-BE49-F238E27FC236}">
              <a16:creationId xmlns:a16="http://schemas.microsoft.com/office/drawing/2014/main" id="{00000000-0008-0000-7201-00000204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328707" name="Picture 3">
          <a:extLst>
            <a:ext uri="{FF2B5EF4-FFF2-40B4-BE49-F238E27FC236}">
              <a16:creationId xmlns:a16="http://schemas.microsoft.com/office/drawing/2014/main" id="{00000000-0008-0000-7201-00000304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328708" name="Picture 4">
          <a:extLst>
            <a:ext uri="{FF2B5EF4-FFF2-40B4-BE49-F238E27FC236}">
              <a16:creationId xmlns:a16="http://schemas.microsoft.com/office/drawing/2014/main" id="{00000000-0008-0000-7201-00000404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28709" name="Picture 5">
          <a:extLst>
            <a:ext uri="{FF2B5EF4-FFF2-40B4-BE49-F238E27FC236}">
              <a16:creationId xmlns:a16="http://schemas.microsoft.com/office/drawing/2014/main" id="{00000000-0008-0000-7201-00000504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28710" name="Picture 6">
          <a:extLst>
            <a:ext uri="{FF2B5EF4-FFF2-40B4-BE49-F238E27FC236}">
              <a16:creationId xmlns:a16="http://schemas.microsoft.com/office/drawing/2014/main" id="{00000000-0008-0000-7201-00000604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28711" name="Picture 7">
          <a:extLst>
            <a:ext uri="{FF2B5EF4-FFF2-40B4-BE49-F238E27FC236}">
              <a16:creationId xmlns:a16="http://schemas.microsoft.com/office/drawing/2014/main" id="{00000000-0008-0000-7201-00000704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328712" name="Picture 8">
          <a:extLst>
            <a:ext uri="{FF2B5EF4-FFF2-40B4-BE49-F238E27FC236}">
              <a16:creationId xmlns:a16="http://schemas.microsoft.com/office/drawing/2014/main" id="{00000000-0008-0000-7201-00000804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328713" name="Picture 9">
          <a:extLst>
            <a:ext uri="{FF2B5EF4-FFF2-40B4-BE49-F238E27FC236}">
              <a16:creationId xmlns:a16="http://schemas.microsoft.com/office/drawing/2014/main" id="{00000000-0008-0000-7201-00000904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328714" name="Object 10" hidden="1">
              <a:extLst>
                <a:ext uri="{63B3BB69-23CF-44E3-9099-C40C66FF867C}">
                  <a14:compatExt spid="_x0000_s328714"/>
                </a:ext>
                <a:ext uri="{FF2B5EF4-FFF2-40B4-BE49-F238E27FC236}">
                  <a16:creationId xmlns:a16="http://schemas.microsoft.com/office/drawing/2014/main" id="{00000000-0008-0000-7201-00000A04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99329" name="Picture 1">
          <a:extLst>
            <a:ext uri="{FF2B5EF4-FFF2-40B4-BE49-F238E27FC236}">
              <a16:creationId xmlns:a16="http://schemas.microsoft.com/office/drawing/2014/main" id="{00000000-0008-0000-7401-0000018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99330" name="Picture 2">
          <a:extLst>
            <a:ext uri="{FF2B5EF4-FFF2-40B4-BE49-F238E27FC236}">
              <a16:creationId xmlns:a16="http://schemas.microsoft.com/office/drawing/2014/main" id="{00000000-0008-0000-7401-0000028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99331" name="Picture 3">
          <a:extLst>
            <a:ext uri="{FF2B5EF4-FFF2-40B4-BE49-F238E27FC236}">
              <a16:creationId xmlns:a16="http://schemas.microsoft.com/office/drawing/2014/main" id="{00000000-0008-0000-7401-0000038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99332" name="Picture 4">
          <a:extLst>
            <a:ext uri="{FF2B5EF4-FFF2-40B4-BE49-F238E27FC236}">
              <a16:creationId xmlns:a16="http://schemas.microsoft.com/office/drawing/2014/main" id="{00000000-0008-0000-7401-0000048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99333" name="Picture 5">
          <a:extLst>
            <a:ext uri="{FF2B5EF4-FFF2-40B4-BE49-F238E27FC236}">
              <a16:creationId xmlns:a16="http://schemas.microsoft.com/office/drawing/2014/main" id="{00000000-0008-0000-7401-0000058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99334" name="Picture 6">
          <a:extLst>
            <a:ext uri="{FF2B5EF4-FFF2-40B4-BE49-F238E27FC236}">
              <a16:creationId xmlns:a16="http://schemas.microsoft.com/office/drawing/2014/main" id="{00000000-0008-0000-7401-0000068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99335" name="Picture 7">
          <a:extLst>
            <a:ext uri="{FF2B5EF4-FFF2-40B4-BE49-F238E27FC236}">
              <a16:creationId xmlns:a16="http://schemas.microsoft.com/office/drawing/2014/main" id="{00000000-0008-0000-7401-0000078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99336" name="Picture 8">
          <a:extLst>
            <a:ext uri="{FF2B5EF4-FFF2-40B4-BE49-F238E27FC236}">
              <a16:creationId xmlns:a16="http://schemas.microsoft.com/office/drawing/2014/main" id="{00000000-0008-0000-7401-0000088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99337" name="Picture 9">
          <a:extLst>
            <a:ext uri="{FF2B5EF4-FFF2-40B4-BE49-F238E27FC236}">
              <a16:creationId xmlns:a16="http://schemas.microsoft.com/office/drawing/2014/main" id="{00000000-0008-0000-7401-0000098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99338" name="Object 10" hidden="1">
              <a:extLst>
                <a:ext uri="{63B3BB69-23CF-44E3-9099-C40C66FF867C}">
                  <a14:compatExt spid="_x0000_s99338"/>
                </a:ext>
                <a:ext uri="{FF2B5EF4-FFF2-40B4-BE49-F238E27FC236}">
                  <a16:creationId xmlns:a16="http://schemas.microsoft.com/office/drawing/2014/main" id="{00000000-0008-0000-7401-00000A8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49505" name="Picture 1">
          <a:extLst>
            <a:ext uri="{FF2B5EF4-FFF2-40B4-BE49-F238E27FC236}">
              <a16:creationId xmlns:a16="http://schemas.microsoft.com/office/drawing/2014/main" id="{00000000-0008-0000-7601-0000014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149506" name="Picture 2">
          <a:extLst>
            <a:ext uri="{FF2B5EF4-FFF2-40B4-BE49-F238E27FC236}">
              <a16:creationId xmlns:a16="http://schemas.microsoft.com/office/drawing/2014/main" id="{00000000-0008-0000-7601-0000024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149507" name="Picture 3">
          <a:extLst>
            <a:ext uri="{FF2B5EF4-FFF2-40B4-BE49-F238E27FC236}">
              <a16:creationId xmlns:a16="http://schemas.microsoft.com/office/drawing/2014/main" id="{00000000-0008-0000-7601-0000034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149508" name="Picture 4">
          <a:extLst>
            <a:ext uri="{FF2B5EF4-FFF2-40B4-BE49-F238E27FC236}">
              <a16:creationId xmlns:a16="http://schemas.microsoft.com/office/drawing/2014/main" id="{00000000-0008-0000-7601-0000044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49509" name="Picture 5">
          <a:extLst>
            <a:ext uri="{FF2B5EF4-FFF2-40B4-BE49-F238E27FC236}">
              <a16:creationId xmlns:a16="http://schemas.microsoft.com/office/drawing/2014/main" id="{00000000-0008-0000-7601-0000054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49510" name="Picture 6">
          <a:extLst>
            <a:ext uri="{FF2B5EF4-FFF2-40B4-BE49-F238E27FC236}">
              <a16:creationId xmlns:a16="http://schemas.microsoft.com/office/drawing/2014/main" id="{00000000-0008-0000-7601-0000064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49511" name="Picture 7">
          <a:extLst>
            <a:ext uri="{FF2B5EF4-FFF2-40B4-BE49-F238E27FC236}">
              <a16:creationId xmlns:a16="http://schemas.microsoft.com/office/drawing/2014/main" id="{00000000-0008-0000-7601-0000074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149512" name="Picture 8">
          <a:extLst>
            <a:ext uri="{FF2B5EF4-FFF2-40B4-BE49-F238E27FC236}">
              <a16:creationId xmlns:a16="http://schemas.microsoft.com/office/drawing/2014/main" id="{00000000-0008-0000-7601-0000084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149513" name="Picture 9">
          <a:extLst>
            <a:ext uri="{FF2B5EF4-FFF2-40B4-BE49-F238E27FC236}">
              <a16:creationId xmlns:a16="http://schemas.microsoft.com/office/drawing/2014/main" id="{00000000-0008-0000-7601-0000094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149514" name="Object 10" hidden="1">
              <a:extLst>
                <a:ext uri="{63B3BB69-23CF-44E3-9099-C40C66FF867C}">
                  <a14:compatExt spid="_x0000_s149514"/>
                </a:ext>
                <a:ext uri="{FF2B5EF4-FFF2-40B4-BE49-F238E27FC236}">
                  <a16:creationId xmlns:a16="http://schemas.microsoft.com/office/drawing/2014/main" id="{00000000-0008-0000-7601-00000A4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68609" name="Picture 1">
          <a:extLst>
            <a:ext uri="{FF2B5EF4-FFF2-40B4-BE49-F238E27FC236}">
              <a16:creationId xmlns:a16="http://schemas.microsoft.com/office/drawing/2014/main" id="{00000000-0008-0000-7801-0000010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906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68610" name="Picture 2">
          <a:extLst>
            <a:ext uri="{FF2B5EF4-FFF2-40B4-BE49-F238E27FC236}">
              <a16:creationId xmlns:a16="http://schemas.microsoft.com/office/drawing/2014/main" id="{00000000-0008-0000-7801-0000020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6210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68611" name="Picture 3">
          <a:extLst>
            <a:ext uri="{FF2B5EF4-FFF2-40B4-BE49-F238E27FC236}">
              <a16:creationId xmlns:a16="http://schemas.microsoft.com/office/drawing/2014/main" id="{00000000-0008-0000-7801-0000030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098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68612" name="Picture 4">
          <a:extLst>
            <a:ext uri="{FF2B5EF4-FFF2-40B4-BE49-F238E27FC236}">
              <a16:creationId xmlns:a16="http://schemas.microsoft.com/office/drawing/2014/main" id="{00000000-0008-0000-7801-0000040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3840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8613" name="Picture 5">
          <a:extLst>
            <a:ext uri="{FF2B5EF4-FFF2-40B4-BE49-F238E27FC236}">
              <a16:creationId xmlns:a16="http://schemas.microsoft.com/office/drawing/2014/main" id="{00000000-0008-0000-7801-0000050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289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68614" name="Picture 6">
          <a:extLst>
            <a:ext uri="{FF2B5EF4-FFF2-40B4-BE49-F238E27FC236}">
              <a16:creationId xmlns:a16="http://schemas.microsoft.com/office/drawing/2014/main" id="{00000000-0008-0000-7801-0000060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4812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68615" name="Picture 7">
          <a:extLst>
            <a:ext uri="{FF2B5EF4-FFF2-40B4-BE49-F238E27FC236}">
              <a16:creationId xmlns:a16="http://schemas.microsoft.com/office/drawing/2014/main" id="{00000000-0008-0000-7801-0000070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6727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68616" name="Picture 8">
          <a:extLst>
            <a:ext uri="{FF2B5EF4-FFF2-40B4-BE49-F238E27FC236}">
              <a16:creationId xmlns:a16="http://schemas.microsoft.com/office/drawing/2014/main" id="{00000000-0008-0000-7801-0000080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291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68617" name="Picture 9">
          <a:extLst>
            <a:ext uri="{FF2B5EF4-FFF2-40B4-BE49-F238E27FC236}">
              <a16:creationId xmlns:a16="http://schemas.microsoft.com/office/drawing/2014/main" id="{00000000-0008-0000-7801-0000090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1930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165100</xdr:rowOff>
        </xdr:from>
        <xdr:to>
          <xdr:col>1</xdr:col>
          <xdr:colOff>527050</xdr:colOff>
          <xdr:row>19</xdr:row>
          <xdr:rowOff>165100</xdr:rowOff>
        </xdr:to>
        <xdr:sp macro="" textlink="">
          <xdr:nvSpPr>
            <xdr:cNvPr id="68618" name="Object 10" hidden="1">
              <a:extLst>
                <a:ext uri="{63B3BB69-23CF-44E3-9099-C40C66FF867C}">
                  <a14:compatExt spid="_x0000_s68618"/>
                </a:ext>
                <a:ext uri="{FF2B5EF4-FFF2-40B4-BE49-F238E27FC236}">
                  <a16:creationId xmlns:a16="http://schemas.microsoft.com/office/drawing/2014/main" id="{00000000-0008-0000-7801-00000A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331777" name="Picture 1">
          <a:extLst>
            <a:ext uri="{FF2B5EF4-FFF2-40B4-BE49-F238E27FC236}">
              <a16:creationId xmlns:a16="http://schemas.microsoft.com/office/drawing/2014/main" id="{00000000-0008-0000-7A01-00000110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331778" name="Picture 2">
          <a:extLst>
            <a:ext uri="{FF2B5EF4-FFF2-40B4-BE49-F238E27FC236}">
              <a16:creationId xmlns:a16="http://schemas.microsoft.com/office/drawing/2014/main" id="{00000000-0008-0000-7A01-00000210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331779" name="Picture 3">
          <a:extLst>
            <a:ext uri="{FF2B5EF4-FFF2-40B4-BE49-F238E27FC236}">
              <a16:creationId xmlns:a16="http://schemas.microsoft.com/office/drawing/2014/main" id="{00000000-0008-0000-7A01-00000310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331780" name="Picture 4">
          <a:extLst>
            <a:ext uri="{FF2B5EF4-FFF2-40B4-BE49-F238E27FC236}">
              <a16:creationId xmlns:a16="http://schemas.microsoft.com/office/drawing/2014/main" id="{00000000-0008-0000-7A01-00000410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331781" name="Picture 5">
          <a:extLst>
            <a:ext uri="{FF2B5EF4-FFF2-40B4-BE49-F238E27FC236}">
              <a16:creationId xmlns:a16="http://schemas.microsoft.com/office/drawing/2014/main" id="{00000000-0008-0000-7A01-00000510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331782" name="Picture 6">
          <a:extLst>
            <a:ext uri="{FF2B5EF4-FFF2-40B4-BE49-F238E27FC236}">
              <a16:creationId xmlns:a16="http://schemas.microsoft.com/office/drawing/2014/main" id="{00000000-0008-0000-7A01-00000610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331783" name="Picture 7">
          <a:extLst>
            <a:ext uri="{FF2B5EF4-FFF2-40B4-BE49-F238E27FC236}">
              <a16:creationId xmlns:a16="http://schemas.microsoft.com/office/drawing/2014/main" id="{00000000-0008-0000-7A01-00000710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331784" name="Picture 8">
          <a:extLst>
            <a:ext uri="{FF2B5EF4-FFF2-40B4-BE49-F238E27FC236}">
              <a16:creationId xmlns:a16="http://schemas.microsoft.com/office/drawing/2014/main" id="{00000000-0008-0000-7A01-00000810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331785" name="Picture 9">
          <a:extLst>
            <a:ext uri="{FF2B5EF4-FFF2-40B4-BE49-F238E27FC236}">
              <a16:creationId xmlns:a16="http://schemas.microsoft.com/office/drawing/2014/main" id="{00000000-0008-0000-7A01-00000910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146050</xdr:rowOff>
        </xdr:from>
        <xdr:to>
          <xdr:col>1</xdr:col>
          <xdr:colOff>527050</xdr:colOff>
          <xdr:row>19</xdr:row>
          <xdr:rowOff>146050</xdr:rowOff>
        </xdr:to>
        <xdr:sp macro="" textlink="">
          <xdr:nvSpPr>
            <xdr:cNvPr id="331786" name="Object 10" hidden="1">
              <a:extLst>
                <a:ext uri="{63B3BB69-23CF-44E3-9099-C40C66FF867C}">
                  <a14:compatExt spid="_x0000_s331786"/>
                </a:ext>
                <a:ext uri="{FF2B5EF4-FFF2-40B4-BE49-F238E27FC236}">
                  <a16:creationId xmlns:a16="http://schemas.microsoft.com/office/drawing/2014/main" id="{00000000-0008-0000-7A01-00000A1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147457" name="Picture 1">
          <a:extLst>
            <a:ext uri="{FF2B5EF4-FFF2-40B4-BE49-F238E27FC236}">
              <a16:creationId xmlns:a16="http://schemas.microsoft.com/office/drawing/2014/main" id="{00000000-0008-0000-7C01-00000140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0967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0</xdr:rowOff>
    </xdr:to>
    <xdr:pic>
      <xdr:nvPicPr>
        <xdr:cNvPr id="147458" name="Picture 2">
          <a:extLst>
            <a:ext uri="{FF2B5EF4-FFF2-40B4-BE49-F238E27FC236}">
              <a16:creationId xmlns:a16="http://schemas.microsoft.com/office/drawing/2014/main" id="{00000000-0008-0000-7C01-00000240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8115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0</xdr:rowOff>
    </xdr:to>
    <xdr:pic>
      <xdr:nvPicPr>
        <xdr:cNvPr id="147459" name="Picture 3">
          <a:extLst>
            <a:ext uri="{FF2B5EF4-FFF2-40B4-BE49-F238E27FC236}">
              <a16:creationId xmlns:a16="http://schemas.microsoft.com/office/drawing/2014/main" id="{00000000-0008-0000-7C01-00000340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828925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19050</xdr:rowOff>
    </xdr:to>
    <xdr:pic>
      <xdr:nvPicPr>
        <xdr:cNvPr id="147460" name="Picture 4">
          <a:extLst>
            <a:ext uri="{FF2B5EF4-FFF2-40B4-BE49-F238E27FC236}">
              <a16:creationId xmlns:a16="http://schemas.microsoft.com/office/drawing/2014/main" id="{00000000-0008-0000-7C01-00000440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57450"/>
          <a:ext cx="476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147461" name="Picture 5">
          <a:extLst>
            <a:ext uri="{FF2B5EF4-FFF2-40B4-BE49-F238E27FC236}">
              <a16:creationId xmlns:a16="http://schemas.microsoft.com/office/drawing/2014/main" id="{00000000-0008-0000-7C01-00000540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2480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147462" name="Picture 6">
          <a:extLst>
            <a:ext uri="{FF2B5EF4-FFF2-40B4-BE49-F238E27FC236}">
              <a16:creationId xmlns:a16="http://schemas.microsoft.com/office/drawing/2014/main" id="{00000000-0008-0000-7C01-00000640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067175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147463" name="Picture 7">
          <a:extLst>
            <a:ext uri="{FF2B5EF4-FFF2-40B4-BE49-F238E27FC236}">
              <a16:creationId xmlns:a16="http://schemas.microsoft.com/office/drawing/2014/main" id="{00000000-0008-0000-7C01-00000740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886325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19050</xdr:rowOff>
    </xdr:to>
    <xdr:pic>
      <xdr:nvPicPr>
        <xdr:cNvPr id="147464" name="Picture 8">
          <a:extLst>
            <a:ext uri="{FF2B5EF4-FFF2-40B4-BE49-F238E27FC236}">
              <a16:creationId xmlns:a16="http://schemas.microsoft.com/office/drawing/2014/main" id="{00000000-0008-0000-7C01-00000840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47625</xdr:rowOff>
    </xdr:to>
    <xdr:pic>
      <xdr:nvPicPr>
        <xdr:cNvPr id="147465" name="Picture 9">
          <a:extLst>
            <a:ext uri="{FF2B5EF4-FFF2-40B4-BE49-F238E27FC236}">
              <a16:creationId xmlns:a16="http://schemas.microsoft.com/office/drawing/2014/main" id="{00000000-0008-0000-7C01-00000940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38350"/>
          <a:ext cx="466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57150</xdr:colOff>
          <xdr:row>18</xdr:row>
          <xdr:rowOff>0</xdr:rowOff>
        </xdr:from>
        <xdr:to>
          <xdr:col>1</xdr:col>
          <xdr:colOff>527050</xdr:colOff>
          <xdr:row>19</xdr:row>
          <xdr:rowOff>0</xdr:rowOff>
        </xdr:to>
        <xdr:sp macro="" textlink="">
          <xdr:nvSpPr>
            <xdr:cNvPr id="147466" name="Object 10" hidden="1">
              <a:extLst>
                <a:ext uri="{63B3BB69-23CF-44E3-9099-C40C66FF867C}">
                  <a14:compatExt spid="_x0000_s147466"/>
                </a:ext>
                <a:ext uri="{FF2B5EF4-FFF2-40B4-BE49-F238E27FC236}">
                  <a16:creationId xmlns:a16="http://schemas.microsoft.com/office/drawing/2014/main" id="{00000000-0008-0000-7C01-00000A4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E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7E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6350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7E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203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25400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7E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7E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7E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7E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31750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7E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53975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7E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0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80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222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80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31750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80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80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80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80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44450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80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60325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80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244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2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82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82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82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82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82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82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57150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82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244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82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250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4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84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84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222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84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84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84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84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84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84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6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86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86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222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86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86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86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86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86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73025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86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8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88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260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31750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88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50800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88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225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88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88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88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82550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88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79375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88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26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A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1117600"/>
          <a:ext cx="45720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8A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975" y="1473200"/>
          <a:ext cx="447675" cy="273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8A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609850"/>
          <a:ext cx="45720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8A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57425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8A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" y="2994025"/>
          <a:ext cx="466725" cy="20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8A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733800"/>
          <a:ext cx="447675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8A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4483100"/>
          <a:ext cx="476250" cy="23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8A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4098925"/>
          <a:ext cx="466725" cy="2825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85725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8A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1873250"/>
          <a:ext cx="466725" cy="269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C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8C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8C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8C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8C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8C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8C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8C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8C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E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8E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8E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8E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8E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8E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8E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8E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8E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90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90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90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90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90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90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90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90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90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92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92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92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92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92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92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92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92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92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94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94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94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94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94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94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94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94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94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96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96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96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96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96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96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96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96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96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2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98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98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98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98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98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98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98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98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98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2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9A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9A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9A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9A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9A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9A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9A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9A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9A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2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9C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9C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9C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9C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9C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9C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9C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9C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9C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2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9E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9E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9E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9E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9E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9E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9E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9E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9E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2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A0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A0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A0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A0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A0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A0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A0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A0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A0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2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A2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A2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A2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A2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A2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A2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A2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A2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A2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2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A4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A4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A4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A4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A4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A4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A4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A4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A4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2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A6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A6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A6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A6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A6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A6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A6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A6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A6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2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A8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A8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A8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A8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A8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A8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A8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A8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A8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2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AA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AA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AA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AA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AA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AA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AA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AA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AA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2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AC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AC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AC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AC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AC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AC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AC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AC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AC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2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AE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AE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AE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AE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AE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AE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AE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AE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AE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2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B0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B0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B0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B0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B0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B0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B0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B0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B0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2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B2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B2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B2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B2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B2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B2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B2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B2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B2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2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B4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B4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B4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B4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B4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B4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B4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B4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B4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2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B6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B6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B6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B6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B6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B6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B6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B6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B6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2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B8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B8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B8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B8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B8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B8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B8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B8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B8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2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BA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BA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BA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BA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BA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BA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BA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BA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BA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2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BC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BC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BC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BC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BC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BC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BC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BC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BC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2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BE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BE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BE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BE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BE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BE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BE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BE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BE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2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C0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C0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C0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C0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C0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C0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C0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C0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C0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2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C2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C2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C2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C2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C2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C2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C2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C2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C2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2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C4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C4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C4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C4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C4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C4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C4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C4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C4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2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C6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C6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C6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C6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C6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C6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C6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C6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C6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2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0</xdr:rowOff>
    </xdr:from>
    <xdr:to>
      <xdr:col>1</xdr:col>
      <xdr:colOff>495300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C801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62050"/>
          <a:ext cx="457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7</xdr:row>
      <xdr:rowOff>171450</xdr:rowOff>
    </xdr:from>
    <xdr:to>
      <xdr:col>1</xdr:col>
      <xdr:colOff>495300</xdr:colOff>
      <xdr:row>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C801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524000"/>
          <a:ext cx="4476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13</xdr:row>
      <xdr:rowOff>171450</xdr:rowOff>
    </xdr:from>
    <xdr:to>
      <xdr:col>1</xdr:col>
      <xdr:colOff>514350</xdr:colOff>
      <xdr:row>15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C801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14625"/>
          <a:ext cx="45720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533400</xdr:colOff>
      <xdr:row>13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C801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35267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15</xdr:row>
      <xdr:rowOff>180975</xdr:rowOff>
    </xdr:from>
    <xdr:to>
      <xdr:col>1</xdr:col>
      <xdr:colOff>533400</xdr:colOff>
      <xdr:row>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C801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114675"/>
          <a:ext cx="4667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20</xdr:row>
      <xdr:rowOff>0</xdr:rowOff>
    </xdr:from>
    <xdr:to>
      <xdr:col>1</xdr:col>
      <xdr:colOff>542925</xdr:colOff>
      <xdr:row>21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C801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86200"/>
          <a:ext cx="4476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552450</xdr:colOff>
      <xdr:row>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C801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67250"/>
          <a:ext cx="4762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21</xdr:row>
      <xdr:rowOff>180975</xdr:rowOff>
    </xdr:from>
    <xdr:to>
      <xdr:col>1</xdr:col>
      <xdr:colOff>552450</xdr:colOff>
      <xdr:row>23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C801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"/>
          <a:ext cx="46672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10</xdr:row>
      <xdr:rowOff>0</xdr:rowOff>
    </xdr:from>
    <xdr:to>
      <xdr:col>1</xdr:col>
      <xdr:colOff>542925</xdr:colOff>
      <xdr:row>11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C801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52625"/>
          <a:ext cx="4667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22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127000</xdr:colOff>
          <xdr:row>0</xdr:row>
          <xdr:rowOff>0</xdr:rowOff>
        </xdr:to>
        <xdr:sp macro="" textlink="">
          <xdr:nvSpPr>
            <xdr:cNvPr id="2055" name="Object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CA01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190500</xdr:colOff>
          <xdr:row>0</xdr:row>
          <xdr:rowOff>0</xdr:rowOff>
        </xdr:to>
        <xdr:sp macro="" textlink="">
          <xdr:nvSpPr>
            <xdr:cNvPr id="2056" name="Object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CA01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152400</xdr:colOff>
          <xdr:row>0</xdr:row>
          <xdr:rowOff>0</xdr:rowOff>
        </xdr:from>
        <xdr:to>
          <xdr:col>3</xdr:col>
          <xdr:colOff>381000</xdr:colOff>
          <xdr:row>0</xdr:row>
          <xdr:rowOff>0</xdr:rowOff>
        </xdr:to>
        <xdr:sp macro="" textlink="">
          <xdr:nvSpPr>
            <xdr:cNvPr id="2057" name="Object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CA01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2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127000</xdr:colOff>
          <xdr:row>0</xdr:row>
          <xdr:rowOff>0</xdr:rowOff>
        </xdr:to>
        <xdr:sp macro="" textlink="">
          <xdr:nvSpPr>
            <xdr:cNvPr id="435201" name="Object 1" hidden="1">
              <a:extLst>
                <a:ext uri="{63B3BB69-23CF-44E3-9099-C40C66FF867C}">
                  <a14:compatExt spid="_x0000_s435201"/>
                </a:ext>
                <a:ext uri="{FF2B5EF4-FFF2-40B4-BE49-F238E27FC236}">
                  <a16:creationId xmlns:a16="http://schemas.microsoft.com/office/drawing/2014/main" id="{00000000-0008-0000-CC01-000001A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190500</xdr:colOff>
          <xdr:row>0</xdr:row>
          <xdr:rowOff>0</xdr:rowOff>
        </xdr:to>
        <xdr:sp macro="" textlink="">
          <xdr:nvSpPr>
            <xdr:cNvPr id="435202" name="Object 2" hidden="1">
              <a:extLst>
                <a:ext uri="{63B3BB69-23CF-44E3-9099-C40C66FF867C}">
                  <a14:compatExt spid="_x0000_s435202"/>
                </a:ext>
                <a:ext uri="{FF2B5EF4-FFF2-40B4-BE49-F238E27FC236}">
                  <a16:creationId xmlns:a16="http://schemas.microsoft.com/office/drawing/2014/main" id="{00000000-0008-0000-CC01-000002A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152400</xdr:colOff>
          <xdr:row>0</xdr:row>
          <xdr:rowOff>0</xdr:rowOff>
        </xdr:from>
        <xdr:to>
          <xdr:col>3</xdr:col>
          <xdr:colOff>381000</xdr:colOff>
          <xdr:row>0</xdr:row>
          <xdr:rowOff>0</xdr:rowOff>
        </xdr:to>
        <xdr:sp macro="" textlink="">
          <xdr:nvSpPr>
            <xdr:cNvPr id="435203" name="Object 3" hidden="1">
              <a:extLst>
                <a:ext uri="{63B3BB69-23CF-44E3-9099-C40C66FF867C}">
                  <a14:compatExt spid="_x0000_s435203"/>
                </a:ext>
                <a:ext uri="{FF2B5EF4-FFF2-40B4-BE49-F238E27FC236}">
                  <a16:creationId xmlns:a16="http://schemas.microsoft.com/office/drawing/2014/main" id="{00000000-0008-0000-CC01-000003A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pcopdc1\Mng%20Acounts\Vijay\2004\01%20Jan%2004\Management%20Report\GAPCO%20Deferred%20Tax%202003%20Version%2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AG%20and%20MED%20GRAPH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ulfserver1\supply%20and%20trading\Mwangii\SORC-SUP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ulfserver1\supply%20and%20trading\SERVICES\COSTING\FUELS\Sorc-su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jay\d$\Vijay\Budget%202003\GUL%20Budget%202003%20Version%2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upply%20Department\PRODUCT%20RECEIPTS\Sorc-sup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pcopdc1\Mng%20Acounts\Vijay\Projections\SCB\Financials%20YTD%20Sep0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upply%20Department\Industry%20Tender\AGO-0701finalNSD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pcopdc1\Mng%20Acounts\Vijay\Budget%202003\GUL%20Budget%202003%20Version%20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Industry%20Tender\AGO-0701finalNSD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pcopdc1\Mng%20Acounts\Vijay\Cash%20Flow\Group\Detail%20Sent%20to%20Simon%20on%202th%20Sep'04\Sensitivity%20Analysis\Consolidated%20Group%20Cash%20Flow%20Projection%20-%2010%25%20Increase%20in%20Volume.xl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upply%20Department\SOURCE%20SUPPLY\SORC-SUP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xchange%20Rates%2015%20March%20-%2014%20April%202023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Petroleum/PETROLEUM%20PRICES/PRICES/MONTHLY%20PRICES/2016/March%202016/Pump%20Prices%2015%20Jan%20-%2014%20Feb%202016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dward.Kinyua/AppData/Local/Microsoft/Windows/Temporary%20Internet%20Files/Content.Outlook/CXV22PP0/Transport%20Rates%20September%202013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Petroleum/PETROLEUM%20PRICES/PRICES/MONTHLY%20PRICES/2011/APR%202011/PUMP%20PRICES%20APRIL%202011%20-Hybrid%20(revised%20taxes)29.04.201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Petroleum/PETROLEUM%20PRICES/PRICES/MONTHLY%20PRICES/2011/MAY%202011/PUMP%20PRICES%20MAY%202011-%20SCENARIO%202%20(published)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Petroleum/PETROLEUM%20PRICES/PRICES/MONTHLY%20PRICES/2011/JUNE%202011/JUNE%202011(Rev%2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Client Data"/>
      <sheetName val="Tax Clearance"/>
      <sheetName val="Fixed Assets"/>
      <sheetName val="Capital Allowances"/>
      <sheetName val="Deferred Tax"/>
      <sheetName val="Summ'y Tax Comp"/>
      <sheetName val="Tax Accounts"/>
      <sheetName val="Proof of Tax"/>
      <sheetName val="Tax Disclosure"/>
      <sheetName val="Supplement 1"/>
      <sheetName val="Client_Data"/>
      <sheetName val="Tax_Clearance"/>
      <sheetName val="Fixed_Assets"/>
      <sheetName val="Capital_Allowances"/>
      <sheetName val="Deferred_Tax"/>
      <sheetName val="Summ'y_Tax_Comp"/>
      <sheetName val="Tax_Accounts"/>
      <sheetName val="Proof_of_Tax"/>
      <sheetName val="Tax_Disclosure"/>
      <sheetName val="Supplement_1"/>
      <sheetName val="Client_Data1"/>
      <sheetName val="Tax_Clearance1"/>
      <sheetName val="Fixed_Assets1"/>
      <sheetName val="Capital_Allowances1"/>
      <sheetName val="Deferred_Tax1"/>
      <sheetName val="Summ'y_Tax_Comp1"/>
      <sheetName val="Tax_Accounts1"/>
      <sheetName val="Proof_of_Tax1"/>
      <sheetName val="Tax_Disclosure1"/>
      <sheetName val="Supplement_11"/>
      <sheetName val="Client_Data2"/>
      <sheetName val="Tax_Clearance2"/>
      <sheetName val="Fixed_Assets2"/>
      <sheetName val="Capital_Allowances2"/>
      <sheetName val="Deferred_Tax2"/>
      <sheetName val="Summ'y_Tax_Comp2"/>
      <sheetName val="Tax_Accounts2"/>
      <sheetName val="Proof_of_Tax2"/>
      <sheetName val="Tax_Disclosure2"/>
      <sheetName val="Supplement_12"/>
      <sheetName val="Client_Data3"/>
      <sheetName val="Tax_Clearance3"/>
      <sheetName val="Fixed_Assets3"/>
      <sheetName val="Capital_Allowances3"/>
      <sheetName val="Deferred_Tax3"/>
      <sheetName val="Summ'y_Tax_Comp3"/>
      <sheetName val="Tax_Accounts3"/>
      <sheetName val="Proof_of_Tax3"/>
      <sheetName val="Tax_Disclosure3"/>
      <sheetName val="Supplement_13"/>
      <sheetName val="Client_Data4"/>
      <sheetName val="Tax_Clearance4"/>
      <sheetName val="Fixed_Assets4"/>
      <sheetName val="Capital_Allowances4"/>
      <sheetName val="Deferred_Tax4"/>
      <sheetName val="Summ'y_Tax_Comp4"/>
      <sheetName val="Tax_Accounts4"/>
      <sheetName val="Proof_of_Tax4"/>
      <sheetName val="Tax_Disclosure4"/>
      <sheetName val="Supplement_14"/>
      <sheetName val="Client_Data5"/>
      <sheetName val="Tax_Clearance5"/>
      <sheetName val="Fixed_Assets5"/>
      <sheetName val="Capital_Allowances5"/>
      <sheetName val="Deferred_Tax5"/>
      <sheetName val="Summ'y_Tax_Comp5"/>
      <sheetName val="Tax_Accounts5"/>
      <sheetName val="Proof_of_Tax5"/>
      <sheetName val="Tax_Disclosure5"/>
      <sheetName val="Supplement_15"/>
      <sheetName val="Client_Data6"/>
      <sheetName val="Tax_Clearance6"/>
      <sheetName val="Fixed_Assets6"/>
      <sheetName val="Capital_Allowances6"/>
      <sheetName val="Deferred_Tax6"/>
      <sheetName val="Summ'y_Tax_Comp6"/>
      <sheetName val="Tax_Accounts6"/>
      <sheetName val="Proof_of_Tax6"/>
      <sheetName val="Tax_Disclosure6"/>
      <sheetName val="Supplement_16"/>
      <sheetName val="Client_Data7"/>
      <sheetName val="Tax_Clearance7"/>
      <sheetName val="Fixed_Assets7"/>
      <sheetName val="Capital_Allowances7"/>
      <sheetName val="Deferred_Tax7"/>
      <sheetName val="Summ'y_Tax_Comp7"/>
      <sheetName val="Tax_Accounts7"/>
      <sheetName val="Proof_of_Tax7"/>
      <sheetName val="Tax_Disclosure7"/>
      <sheetName val="Supplement_17"/>
      <sheetName val="K19ALPINE CONFIDENCE LINEFILL  "/>
      <sheetName val="ORYX K01-22 ALPINE CONFIDENCE-G"/>
    </sheetNames>
    <sheetDataSet>
      <sheetData sheetId="0" refreshError="1"/>
      <sheetData sheetId="1" refreshError="1">
        <row r="6">
          <cell r="D6">
            <v>37986</v>
          </cell>
        </row>
      </sheetData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6">
          <cell r="D6">
            <v>37986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6">
          <cell r="D6">
            <v>37986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6">
          <cell r="D6">
            <v>37986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6">
          <cell r="D6">
            <v>37986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>
        <row r="6">
          <cell r="D6">
            <v>37986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6">
          <cell r="D6">
            <v>37986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6">
          <cell r="D6">
            <v>37986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ily Analysis"/>
      <sheetName val="Data"/>
      <sheetName val="Lookup Tables"/>
      <sheetName val="Daily_Analysis1"/>
      <sheetName val="Lookup_Tables1"/>
      <sheetName val="Daily_Analysis"/>
      <sheetName val="Lookup_Tables"/>
      <sheetName val="Daily_Analysis2"/>
      <sheetName val="Lookup_Tables2"/>
    </sheetNames>
    <sheetDataSet>
      <sheetData sheetId="0" refreshError="1">
        <row r="5">
          <cell r="C5" t="str">
            <v/>
          </cell>
          <cell r="D5" t="str">
            <v>01-01-01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C6">
            <v>36893</v>
          </cell>
          <cell r="D6" t="str">
            <v>01-01-02</v>
          </cell>
          <cell r="E6">
            <v>23.85</v>
          </cell>
          <cell r="F6">
            <v>23.75</v>
          </cell>
          <cell r="G6">
            <v>23.8</v>
          </cell>
          <cell r="H6">
            <v>26.05</v>
          </cell>
          <cell r="I6">
            <v>26</v>
          </cell>
          <cell r="J6">
            <v>26.024999999999999</v>
          </cell>
          <cell r="K6">
            <v>226.5</v>
          </cell>
          <cell r="L6">
            <v>231.5</v>
          </cell>
          <cell r="M6">
            <v>229</v>
          </cell>
          <cell r="N6">
            <v>216.75</v>
          </cell>
          <cell r="O6">
            <v>218.75</v>
          </cell>
          <cell r="P6">
            <v>217.75</v>
          </cell>
          <cell r="Q6">
            <v>228.75</v>
          </cell>
          <cell r="R6">
            <v>229.75</v>
          </cell>
          <cell r="S6">
            <v>229.25</v>
          </cell>
          <cell r="T6">
            <v>107</v>
          </cell>
          <cell r="U6">
            <v>106.75</v>
          </cell>
          <cell r="V6">
            <v>106.875</v>
          </cell>
        </row>
        <row r="7">
          <cell r="C7">
            <v>36894</v>
          </cell>
          <cell r="D7" t="str">
            <v>01-01-03</v>
          </cell>
          <cell r="E7">
            <v>23.65</v>
          </cell>
          <cell r="F7">
            <v>23.6</v>
          </cell>
          <cell r="G7">
            <v>23.625</v>
          </cell>
          <cell r="H7">
            <v>25.35</v>
          </cell>
          <cell r="I7">
            <v>25.3</v>
          </cell>
          <cell r="J7">
            <v>25.324999999999999</v>
          </cell>
          <cell r="K7">
            <v>231.5</v>
          </cell>
          <cell r="L7">
            <v>236.5</v>
          </cell>
          <cell r="M7">
            <v>234</v>
          </cell>
          <cell r="N7">
            <v>209</v>
          </cell>
          <cell r="O7">
            <v>211</v>
          </cell>
          <cell r="P7">
            <v>210</v>
          </cell>
          <cell r="Q7">
            <v>219.5</v>
          </cell>
          <cell r="R7">
            <v>220.5</v>
          </cell>
          <cell r="S7">
            <v>220</v>
          </cell>
          <cell r="T7">
            <v>110.5</v>
          </cell>
          <cell r="U7">
            <v>109.5</v>
          </cell>
          <cell r="V7">
            <v>110</v>
          </cell>
        </row>
        <row r="8">
          <cell r="C8">
            <v>36895</v>
          </cell>
          <cell r="D8" t="str">
            <v>01-01-04</v>
          </cell>
          <cell r="E8">
            <v>24.1</v>
          </cell>
          <cell r="F8">
            <v>24.05</v>
          </cell>
          <cell r="G8">
            <v>24.074999999999999</v>
          </cell>
          <cell r="H8">
            <v>25.5</v>
          </cell>
          <cell r="I8">
            <v>25.4</v>
          </cell>
          <cell r="J8">
            <v>25.45</v>
          </cell>
          <cell r="K8">
            <v>243.5</v>
          </cell>
          <cell r="L8">
            <v>248.5</v>
          </cell>
          <cell r="M8">
            <v>246</v>
          </cell>
          <cell r="N8">
            <v>202.25</v>
          </cell>
          <cell r="O8">
            <v>204.25</v>
          </cell>
          <cell r="P8">
            <v>203.25</v>
          </cell>
          <cell r="Q8">
            <v>213.5</v>
          </cell>
          <cell r="R8">
            <v>214.5</v>
          </cell>
          <cell r="S8">
            <v>214</v>
          </cell>
          <cell r="T8">
            <v>114</v>
          </cell>
          <cell r="U8">
            <v>113</v>
          </cell>
          <cell r="V8">
            <v>113.5</v>
          </cell>
        </row>
        <row r="9">
          <cell r="C9">
            <v>36896</v>
          </cell>
          <cell r="D9" t="str">
            <v>01-01-05</v>
          </cell>
          <cell r="E9">
            <v>25.45</v>
          </cell>
          <cell r="F9">
            <v>25.4</v>
          </cell>
          <cell r="G9">
            <v>25.425000000000001</v>
          </cell>
          <cell r="H9">
            <v>25.75</v>
          </cell>
          <cell r="I9">
            <v>25.7</v>
          </cell>
          <cell r="J9">
            <v>25.725000000000001</v>
          </cell>
          <cell r="K9">
            <v>250</v>
          </cell>
          <cell r="L9">
            <v>255</v>
          </cell>
          <cell r="M9">
            <v>252.5</v>
          </cell>
          <cell r="N9">
            <v>211</v>
          </cell>
          <cell r="O9">
            <v>215</v>
          </cell>
          <cell r="P9">
            <v>213</v>
          </cell>
          <cell r="Q9">
            <v>222.25</v>
          </cell>
          <cell r="R9">
            <v>223.25</v>
          </cell>
          <cell r="S9">
            <v>222.75</v>
          </cell>
          <cell r="T9">
            <v>112</v>
          </cell>
          <cell r="U9">
            <v>111</v>
          </cell>
          <cell r="V9">
            <v>111.5</v>
          </cell>
        </row>
        <row r="10">
          <cell r="C10" t="str">
            <v/>
          </cell>
          <cell r="D10" t="str">
            <v>01-01-06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C11" t="str">
            <v/>
          </cell>
          <cell r="D11" t="str">
            <v>01-01-07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12">
          <cell r="C12">
            <v>36899</v>
          </cell>
          <cell r="D12" t="str">
            <v>01-01-08</v>
          </cell>
          <cell r="E12">
            <v>25.85</v>
          </cell>
          <cell r="F12">
            <v>25.8</v>
          </cell>
          <cell r="G12">
            <v>25.824999999999999</v>
          </cell>
          <cell r="H12">
            <v>26.15</v>
          </cell>
          <cell r="I12">
            <v>26.05</v>
          </cell>
          <cell r="J12">
            <v>26.1</v>
          </cell>
          <cell r="K12">
            <v>254</v>
          </cell>
          <cell r="L12">
            <v>259</v>
          </cell>
          <cell r="M12">
            <v>256.5</v>
          </cell>
          <cell r="N12">
            <v>207.75</v>
          </cell>
          <cell r="O12">
            <v>212.75</v>
          </cell>
          <cell r="P12">
            <v>210.25</v>
          </cell>
          <cell r="Q12">
            <v>218.5</v>
          </cell>
          <cell r="R12">
            <v>219.5</v>
          </cell>
          <cell r="S12">
            <v>219</v>
          </cell>
          <cell r="T12">
            <v>107.5</v>
          </cell>
          <cell r="U12">
            <v>106.5</v>
          </cell>
          <cell r="V12">
            <v>107</v>
          </cell>
        </row>
        <row r="13">
          <cell r="C13">
            <v>36900</v>
          </cell>
          <cell r="D13" t="str">
            <v>01-01-09</v>
          </cell>
          <cell r="E13">
            <v>25.3</v>
          </cell>
          <cell r="F13">
            <v>25.2</v>
          </cell>
          <cell r="G13">
            <v>25.25</v>
          </cell>
          <cell r="H13">
            <v>25.65</v>
          </cell>
          <cell r="I13">
            <v>25.55</v>
          </cell>
          <cell r="J13">
            <v>25.6</v>
          </cell>
          <cell r="K13">
            <v>256.5</v>
          </cell>
          <cell r="L13">
            <v>261.5</v>
          </cell>
          <cell r="M13">
            <v>259</v>
          </cell>
          <cell r="N13">
            <v>194.5</v>
          </cell>
          <cell r="O13">
            <v>199.5</v>
          </cell>
          <cell r="P13">
            <v>197</v>
          </cell>
          <cell r="Q13">
            <v>209.5</v>
          </cell>
          <cell r="R13">
            <v>210.5</v>
          </cell>
          <cell r="S13">
            <v>210</v>
          </cell>
          <cell r="T13">
            <v>103.5</v>
          </cell>
          <cell r="U13">
            <v>102.5</v>
          </cell>
          <cell r="V13">
            <v>103</v>
          </cell>
        </row>
        <row r="14">
          <cell r="C14">
            <v>36901</v>
          </cell>
          <cell r="D14" t="str">
            <v>01-01-10</v>
          </cell>
          <cell r="E14">
            <v>24.9</v>
          </cell>
          <cell r="F14">
            <v>24.85</v>
          </cell>
          <cell r="G14">
            <v>24.875</v>
          </cell>
          <cell r="H14">
            <v>24.9</v>
          </cell>
          <cell r="I14">
            <v>24.8</v>
          </cell>
          <cell r="J14">
            <v>24.85</v>
          </cell>
          <cell r="K14">
            <v>256</v>
          </cell>
          <cell r="L14">
            <v>261</v>
          </cell>
          <cell r="M14">
            <v>258.5</v>
          </cell>
          <cell r="N14">
            <v>192.5</v>
          </cell>
          <cell r="O14">
            <v>195.5</v>
          </cell>
          <cell r="P14">
            <v>194</v>
          </cell>
          <cell r="Q14">
            <v>213.75</v>
          </cell>
          <cell r="R14">
            <v>214.75</v>
          </cell>
          <cell r="S14">
            <v>214.25</v>
          </cell>
          <cell r="T14">
            <v>100</v>
          </cell>
          <cell r="U14">
            <v>99</v>
          </cell>
          <cell r="V14">
            <v>99.5</v>
          </cell>
        </row>
        <row r="15">
          <cell r="C15">
            <v>36902</v>
          </cell>
          <cell r="D15" t="str">
            <v>01-01-11</v>
          </cell>
          <cell r="E15">
            <v>25.1</v>
          </cell>
          <cell r="F15">
            <v>25</v>
          </cell>
          <cell r="G15">
            <v>25.05</v>
          </cell>
          <cell r="H15">
            <v>24.95</v>
          </cell>
          <cell r="I15">
            <v>24.85</v>
          </cell>
          <cell r="J15">
            <v>24.9</v>
          </cell>
          <cell r="K15">
            <v>267.5</v>
          </cell>
          <cell r="L15">
            <v>272.5</v>
          </cell>
          <cell r="M15">
            <v>270</v>
          </cell>
          <cell r="N15">
            <v>200.25</v>
          </cell>
          <cell r="O15">
            <v>200.75</v>
          </cell>
          <cell r="P15">
            <v>200.5</v>
          </cell>
          <cell r="Q15">
            <v>218.5</v>
          </cell>
          <cell r="R15">
            <v>219.5</v>
          </cell>
          <cell r="S15">
            <v>219</v>
          </cell>
          <cell r="T15">
            <v>104.5</v>
          </cell>
          <cell r="U15">
            <v>103.5</v>
          </cell>
          <cell r="V15">
            <v>104</v>
          </cell>
        </row>
        <row r="16">
          <cell r="C16">
            <v>36903</v>
          </cell>
          <cell r="D16" t="str">
            <v>01-01-12</v>
          </cell>
          <cell r="E16">
            <v>24.8</v>
          </cell>
          <cell r="F16">
            <v>24.75</v>
          </cell>
          <cell r="G16">
            <v>24.774999999999999</v>
          </cell>
          <cell r="H16">
            <v>24.75</v>
          </cell>
          <cell r="I16">
            <v>24.7</v>
          </cell>
          <cell r="J16">
            <v>24.725000000000001</v>
          </cell>
          <cell r="K16">
            <v>269</v>
          </cell>
          <cell r="L16">
            <v>274</v>
          </cell>
          <cell r="M16">
            <v>271.5</v>
          </cell>
          <cell r="N16">
            <v>198.25</v>
          </cell>
          <cell r="O16">
            <v>198.75</v>
          </cell>
          <cell r="P16">
            <v>198.5</v>
          </cell>
          <cell r="Q16">
            <v>217.5</v>
          </cell>
          <cell r="R16">
            <v>218.5</v>
          </cell>
          <cell r="S16">
            <v>218</v>
          </cell>
          <cell r="T16">
            <v>107</v>
          </cell>
          <cell r="U16">
            <v>106.75</v>
          </cell>
          <cell r="V16">
            <v>106.875</v>
          </cell>
        </row>
        <row r="17">
          <cell r="C17" t="str">
            <v/>
          </cell>
          <cell r="D17" t="str">
            <v>01-01-13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C18" t="str">
            <v/>
          </cell>
          <cell r="D18" t="str">
            <v>01-01-14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</row>
        <row r="19">
          <cell r="C19">
            <v>36906</v>
          </cell>
          <cell r="D19" t="str">
            <v>01-01-15</v>
          </cell>
          <cell r="E19">
            <v>24.25</v>
          </cell>
          <cell r="F19">
            <v>24.2</v>
          </cell>
          <cell r="G19">
            <v>24.225000000000001</v>
          </cell>
          <cell r="H19">
            <v>24.45</v>
          </cell>
          <cell r="I19">
            <v>24.4</v>
          </cell>
          <cell r="J19">
            <v>24.425000000000001</v>
          </cell>
          <cell r="K19">
            <v>271</v>
          </cell>
          <cell r="L19">
            <v>276</v>
          </cell>
          <cell r="M19">
            <v>273.5</v>
          </cell>
          <cell r="N19">
            <v>199</v>
          </cell>
          <cell r="O19">
            <v>199.5</v>
          </cell>
          <cell r="P19">
            <v>199.25</v>
          </cell>
          <cell r="Q19">
            <v>218.25</v>
          </cell>
          <cell r="R19">
            <v>219.25</v>
          </cell>
          <cell r="S19">
            <v>218.75</v>
          </cell>
          <cell r="T19">
            <v>104</v>
          </cell>
          <cell r="U19">
            <v>103</v>
          </cell>
          <cell r="V19">
            <v>103.5</v>
          </cell>
        </row>
        <row r="20">
          <cell r="C20">
            <v>36907</v>
          </cell>
          <cell r="D20" t="str">
            <v>01-01-16</v>
          </cell>
          <cell r="E20">
            <v>24.5</v>
          </cell>
          <cell r="F20">
            <v>24.4</v>
          </cell>
          <cell r="G20">
            <v>24.45</v>
          </cell>
          <cell r="H20">
            <v>25.5</v>
          </cell>
          <cell r="I20">
            <v>25.4</v>
          </cell>
          <cell r="J20">
            <v>25.45</v>
          </cell>
          <cell r="K20">
            <v>271</v>
          </cell>
          <cell r="L20">
            <v>276</v>
          </cell>
          <cell r="M20">
            <v>273.5</v>
          </cell>
          <cell r="N20">
            <v>202.25</v>
          </cell>
          <cell r="O20">
            <v>202.75</v>
          </cell>
          <cell r="P20">
            <v>202.5</v>
          </cell>
          <cell r="Q20">
            <v>221.5</v>
          </cell>
          <cell r="R20">
            <v>222.5</v>
          </cell>
          <cell r="S20">
            <v>222</v>
          </cell>
          <cell r="T20">
            <v>106</v>
          </cell>
          <cell r="U20">
            <v>105</v>
          </cell>
          <cell r="V20">
            <v>105.5</v>
          </cell>
        </row>
        <row r="21">
          <cell r="C21">
            <v>36908</v>
          </cell>
          <cell r="D21" t="str">
            <v>01-01-17</v>
          </cell>
          <cell r="E21">
            <v>24.2</v>
          </cell>
          <cell r="F21">
            <v>24.15</v>
          </cell>
          <cell r="G21">
            <v>24.175000000000001</v>
          </cell>
          <cell r="H21">
            <v>25.2</v>
          </cell>
          <cell r="I21">
            <v>25.1</v>
          </cell>
          <cell r="J21">
            <v>25.15</v>
          </cell>
          <cell r="K21">
            <v>262.5</v>
          </cell>
          <cell r="L21">
            <v>267.5</v>
          </cell>
          <cell r="M21">
            <v>265</v>
          </cell>
          <cell r="N21">
            <v>194.75</v>
          </cell>
          <cell r="O21">
            <v>195.25</v>
          </cell>
          <cell r="P21">
            <v>195</v>
          </cell>
          <cell r="Q21">
            <v>214</v>
          </cell>
          <cell r="R21">
            <v>215</v>
          </cell>
          <cell r="S21">
            <v>214.5</v>
          </cell>
          <cell r="T21">
            <v>103.5</v>
          </cell>
          <cell r="U21">
            <v>102.5</v>
          </cell>
          <cell r="V21">
            <v>103</v>
          </cell>
        </row>
        <row r="22">
          <cell r="C22">
            <v>36909</v>
          </cell>
          <cell r="D22" t="str">
            <v>01-01-18</v>
          </cell>
          <cell r="E22">
            <v>23.7</v>
          </cell>
          <cell r="F22">
            <v>23.6</v>
          </cell>
          <cell r="G22">
            <v>23.65</v>
          </cell>
          <cell r="H22">
            <v>24.7</v>
          </cell>
          <cell r="I22">
            <v>24.6</v>
          </cell>
          <cell r="J22">
            <v>24.65</v>
          </cell>
          <cell r="K22">
            <v>259</v>
          </cell>
          <cell r="L22">
            <v>264</v>
          </cell>
          <cell r="M22">
            <v>261.5</v>
          </cell>
          <cell r="N22">
            <v>195.75</v>
          </cell>
          <cell r="O22">
            <v>198.75</v>
          </cell>
          <cell r="P22">
            <v>197.25</v>
          </cell>
          <cell r="Q22">
            <v>212</v>
          </cell>
          <cell r="R22">
            <v>213</v>
          </cell>
          <cell r="S22">
            <v>212.5</v>
          </cell>
          <cell r="T22">
            <v>102.5</v>
          </cell>
          <cell r="U22">
            <v>102</v>
          </cell>
          <cell r="V22">
            <v>102.25</v>
          </cell>
        </row>
        <row r="23">
          <cell r="C23">
            <v>36910</v>
          </cell>
          <cell r="D23" t="str">
            <v>01-01-19</v>
          </cell>
          <cell r="E23">
            <v>23.5</v>
          </cell>
          <cell r="F23">
            <v>23.45</v>
          </cell>
          <cell r="G23">
            <v>23.475000000000001</v>
          </cell>
          <cell r="H23">
            <v>24.35</v>
          </cell>
          <cell r="I23">
            <v>24.3</v>
          </cell>
          <cell r="J23">
            <v>24.324999999999999</v>
          </cell>
          <cell r="K23">
            <v>261</v>
          </cell>
          <cell r="L23">
            <v>266</v>
          </cell>
          <cell r="M23">
            <v>263.5</v>
          </cell>
          <cell r="N23">
            <v>200</v>
          </cell>
          <cell r="O23">
            <v>202</v>
          </cell>
          <cell r="P23">
            <v>201</v>
          </cell>
          <cell r="Q23">
            <v>215.25</v>
          </cell>
          <cell r="R23">
            <v>216.25</v>
          </cell>
          <cell r="S23">
            <v>215.75</v>
          </cell>
          <cell r="T23">
            <v>102</v>
          </cell>
          <cell r="U23">
            <v>101</v>
          </cell>
          <cell r="V23">
            <v>101.5</v>
          </cell>
        </row>
        <row r="24">
          <cell r="C24" t="str">
            <v/>
          </cell>
          <cell r="D24" t="str">
            <v>01-01-20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C25" t="str">
            <v/>
          </cell>
          <cell r="D25" t="str">
            <v>01-01-21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</row>
        <row r="26">
          <cell r="C26">
            <v>36913</v>
          </cell>
          <cell r="D26" t="str">
            <v>01-01-22</v>
          </cell>
          <cell r="E26">
            <v>24.05</v>
          </cell>
          <cell r="F26">
            <v>24</v>
          </cell>
          <cell r="G26">
            <v>24.024999999999999</v>
          </cell>
          <cell r="H26">
            <v>24.8</v>
          </cell>
          <cell r="I26">
            <v>24.7</v>
          </cell>
          <cell r="J26">
            <v>24.75</v>
          </cell>
          <cell r="K26">
            <v>268</v>
          </cell>
          <cell r="L26">
            <v>273</v>
          </cell>
          <cell r="M26">
            <v>270.5</v>
          </cell>
          <cell r="N26">
            <v>207</v>
          </cell>
          <cell r="O26">
            <v>209</v>
          </cell>
          <cell r="P26">
            <v>208</v>
          </cell>
          <cell r="Q26">
            <v>221.25</v>
          </cell>
          <cell r="R26">
            <v>222.25</v>
          </cell>
          <cell r="S26">
            <v>221.75</v>
          </cell>
          <cell r="T26">
            <v>104.5</v>
          </cell>
          <cell r="U26">
            <v>104</v>
          </cell>
          <cell r="V26">
            <v>104.25</v>
          </cell>
        </row>
        <row r="27">
          <cell r="C27">
            <v>36914</v>
          </cell>
          <cell r="D27" t="str">
            <v>01-01-23</v>
          </cell>
          <cell r="E27">
            <v>23.9</v>
          </cell>
          <cell r="F27">
            <v>23.8</v>
          </cell>
          <cell r="G27">
            <v>23.85</v>
          </cell>
          <cell r="H27">
            <v>24.55</v>
          </cell>
          <cell r="I27">
            <v>24.45</v>
          </cell>
          <cell r="J27">
            <v>24.5</v>
          </cell>
          <cell r="K27">
            <v>264.5</v>
          </cell>
          <cell r="L27">
            <v>269.5</v>
          </cell>
          <cell r="M27">
            <v>267</v>
          </cell>
          <cell r="N27">
            <v>204.75</v>
          </cell>
          <cell r="O27">
            <v>205.75</v>
          </cell>
          <cell r="P27">
            <v>205.25</v>
          </cell>
          <cell r="Q27">
            <v>219</v>
          </cell>
          <cell r="R27">
            <v>220</v>
          </cell>
          <cell r="S27">
            <v>219.5</v>
          </cell>
          <cell r="T27">
            <v>106</v>
          </cell>
          <cell r="U27">
            <v>105.5</v>
          </cell>
          <cell r="V27">
            <v>105.75</v>
          </cell>
        </row>
        <row r="28">
          <cell r="C28">
            <v>36915</v>
          </cell>
          <cell r="D28" t="str">
            <v>01-01-24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264</v>
          </cell>
          <cell r="L28">
            <v>269</v>
          </cell>
          <cell r="M28">
            <v>266.5</v>
          </cell>
          <cell r="N28">
            <v>202</v>
          </cell>
          <cell r="O28">
            <v>203</v>
          </cell>
          <cell r="P28">
            <v>202.5</v>
          </cell>
          <cell r="Q28">
            <v>217.25</v>
          </cell>
          <cell r="R28">
            <v>218.25</v>
          </cell>
          <cell r="S28">
            <v>217.75</v>
          </cell>
          <cell r="T28">
            <v>0</v>
          </cell>
          <cell r="U28">
            <v>0</v>
          </cell>
          <cell r="V28">
            <v>0</v>
          </cell>
        </row>
        <row r="29">
          <cell r="C29">
            <v>36916</v>
          </cell>
          <cell r="D29" t="str">
            <v>01-01-25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263</v>
          </cell>
          <cell r="L29">
            <v>268</v>
          </cell>
          <cell r="M29">
            <v>265.5</v>
          </cell>
          <cell r="N29">
            <v>202</v>
          </cell>
          <cell r="O29">
            <v>204</v>
          </cell>
          <cell r="P29">
            <v>203</v>
          </cell>
          <cell r="Q29">
            <v>217.25</v>
          </cell>
          <cell r="R29">
            <v>218.25</v>
          </cell>
          <cell r="S29">
            <v>217.75</v>
          </cell>
          <cell r="T29">
            <v>0</v>
          </cell>
          <cell r="U29">
            <v>0</v>
          </cell>
          <cell r="V29">
            <v>0</v>
          </cell>
        </row>
        <row r="30">
          <cell r="C30">
            <v>36917</v>
          </cell>
          <cell r="D30" t="str">
            <v>01-01-26</v>
          </cell>
          <cell r="E30">
            <v>23.75</v>
          </cell>
          <cell r="F30">
            <v>23.7</v>
          </cell>
          <cell r="G30">
            <v>23.725000000000001</v>
          </cell>
          <cell r="H30">
            <v>24.4</v>
          </cell>
          <cell r="I30">
            <v>24.3</v>
          </cell>
          <cell r="J30">
            <v>24.35</v>
          </cell>
          <cell r="K30">
            <v>265.5</v>
          </cell>
          <cell r="L30">
            <v>270.5</v>
          </cell>
          <cell r="M30">
            <v>268</v>
          </cell>
          <cell r="N30">
            <v>204.5</v>
          </cell>
          <cell r="O30">
            <v>206.5</v>
          </cell>
          <cell r="P30">
            <v>205.5</v>
          </cell>
          <cell r="Q30">
            <v>218.75</v>
          </cell>
          <cell r="R30">
            <v>219.75</v>
          </cell>
          <cell r="S30">
            <v>219.25</v>
          </cell>
          <cell r="T30">
            <v>106.75</v>
          </cell>
          <cell r="U30">
            <v>106.5</v>
          </cell>
          <cell r="V30">
            <v>106.625</v>
          </cell>
        </row>
        <row r="31">
          <cell r="C31" t="str">
            <v/>
          </cell>
          <cell r="D31" t="str">
            <v>01-01-27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C32" t="str">
            <v/>
          </cell>
          <cell r="D32" t="str">
            <v>01-01-28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C33">
            <v>36920</v>
          </cell>
          <cell r="D33" t="str">
            <v>01-01-29</v>
          </cell>
          <cell r="E33">
            <v>23.75</v>
          </cell>
          <cell r="F33">
            <v>23.7</v>
          </cell>
          <cell r="G33">
            <v>23.725000000000001</v>
          </cell>
          <cell r="H33">
            <v>25.05</v>
          </cell>
          <cell r="I33">
            <v>25</v>
          </cell>
          <cell r="J33">
            <v>25.024999999999999</v>
          </cell>
          <cell r="K33">
            <v>273</v>
          </cell>
          <cell r="L33">
            <v>278</v>
          </cell>
          <cell r="M33">
            <v>275.5</v>
          </cell>
          <cell r="N33">
            <v>209</v>
          </cell>
          <cell r="O33">
            <v>211</v>
          </cell>
          <cell r="P33">
            <v>210</v>
          </cell>
          <cell r="Q33">
            <v>221.25</v>
          </cell>
          <cell r="R33">
            <v>222.25</v>
          </cell>
          <cell r="S33">
            <v>221.75</v>
          </cell>
          <cell r="T33">
            <v>108.75</v>
          </cell>
          <cell r="U33">
            <v>108.5</v>
          </cell>
          <cell r="V33">
            <v>108.625</v>
          </cell>
        </row>
        <row r="34">
          <cell r="C34">
            <v>36921</v>
          </cell>
          <cell r="D34" t="str">
            <v>01-01-30</v>
          </cell>
          <cell r="E34">
            <v>22.15</v>
          </cell>
          <cell r="F34">
            <v>22.1</v>
          </cell>
          <cell r="G34">
            <v>22.125</v>
          </cell>
          <cell r="H34">
            <v>23.95</v>
          </cell>
          <cell r="I34">
            <v>23.85</v>
          </cell>
          <cell r="J34">
            <v>23.9</v>
          </cell>
          <cell r="K34">
            <v>268.5</v>
          </cell>
          <cell r="L34">
            <v>273.5</v>
          </cell>
          <cell r="M34">
            <v>271</v>
          </cell>
          <cell r="N34">
            <v>201.5</v>
          </cell>
          <cell r="O34">
            <v>203</v>
          </cell>
          <cell r="P34">
            <v>202.25</v>
          </cell>
          <cell r="Q34">
            <v>212.25</v>
          </cell>
          <cell r="R34">
            <v>213.25</v>
          </cell>
          <cell r="S34">
            <v>212.75</v>
          </cell>
          <cell r="T34">
            <v>108.75</v>
          </cell>
          <cell r="U34">
            <v>108.5</v>
          </cell>
          <cell r="V34">
            <v>108.625</v>
          </cell>
        </row>
        <row r="35">
          <cell r="C35">
            <v>36922</v>
          </cell>
          <cell r="D35" t="str">
            <v>01-01-31</v>
          </cell>
          <cell r="E35">
            <v>22.2</v>
          </cell>
          <cell r="F35">
            <v>22.1</v>
          </cell>
          <cell r="G35">
            <v>22.15</v>
          </cell>
          <cell r="H35">
            <v>24.9</v>
          </cell>
          <cell r="I35">
            <v>24.85</v>
          </cell>
          <cell r="J35">
            <v>24.875</v>
          </cell>
          <cell r="K35">
            <v>265.5</v>
          </cell>
          <cell r="L35">
            <v>270.5</v>
          </cell>
          <cell r="M35">
            <v>268</v>
          </cell>
          <cell r="N35">
            <v>201.75</v>
          </cell>
          <cell r="O35">
            <v>203.75</v>
          </cell>
          <cell r="P35">
            <v>202.75</v>
          </cell>
          <cell r="Q35">
            <v>210.75</v>
          </cell>
          <cell r="R35">
            <v>211.75</v>
          </cell>
          <cell r="S35">
            <v>211.25</v>
          </cell>
          <cell r="T35">
            <v>110</v>
          </cell>
          <cell r="U35">
            <v>109.25</v>
          </cell>
          <cell r="V35">
            <v>109.625</v>
          </cell>
        </row>
        <row r="36">
          <cell r="C36">
            <v>36923</v>
          </cell>
          <cell r="D36" t="str">
            <v>01-02-01</v>
          </cell>
          <cell r="E36">
            <v>21.35</v>
          </cell>
          <cell r="F36">
            <v>21.25</v>
          </cell>
          <cell r="G36">
            <v>21.3</v>
          </cell>
          <cell r="H36">
            <v>24.45</v>
          </cell>
          <cell r="I36">
            <v>24.4</v>
          </cell>
          <cell r="J36">
            <v>24.425000000000001</v>
          </cell>
          <cell r="K36">
            <v>268.5</v>
          </cell>
          <cell r="L36">
            <v>273.5</v>
          </cell>
          <cell r="M36">
            <v>271</v>
          </cell>
          <cell r="N36">
            <v>202.5</v>
          </cell>
          <cell r="O36">
            <v>204.5</v>
          </cell>
          <cell r="P36">
            <v>203.5</v>
          </cell>
          <cell r="Q36">
            <v>209.5</v>
          </cell>
          <cell r="R36">
            <v>210.5</v>
          </cell>
          <cell r="S36">
            <v>210</v>
          </cell>
          <cell r="T36">
            <v>106</v>
          </cell>
          <cell r="U36">
            <v>105.5</v>
          </cell>
          <cell r="V36">
            <v>105.75</v>
          </cell>
        </row>
        <row r="37">
          <cell r="C37">
            <v>36924</v>
          </cell>
          <cell r="D37" t="str">
            <v>01-02-02</v>
          </cell>
          <cell r="E37">
            <v>23</v>
          </cell>
          <cell r="F37">
            <v>22.9</v>
          </cell>
          <cell r="G37">
            <v>22.95</v>
          </cell>
          <cell r="H37">
            <v>25.95</v>
          </cell>
          <cell r="I37">
            <v>25.85</v>
          </cell>
          <cell r="J37">
            <v>25.9</v>
          </cell>
          <cell r="K37">
            <v>280.5</v>
          </cell>
          <cell r="L37">
            <v>285.5</v>
          </cell>
          <cell r="M37">
            <v>283</v>
          </cell>
          <cell r="N37">
            <v>214.5</v>
          </cell>
          <cell r="O37">
            <v>215.5</v>
          </cell>
          <cell r="P37">
            <v>215</v>
          </cell>
          <cell r="Q37">
            <v>218.5</v>
          </cell>
          <cell r="R37">
            <v>219.5</v>
          </cell>
          <cell r="S37">
            <v>219</v>
          </cell>
          <cell r="T37">
            <v>108.25</v>
          </cell>
          <cell r="U37">
            <v>108</v>
          </cell>
          <cell r="V37">
            <v>108.125</v>
          </cell>
        </row>
        <row r="38">
          <cell r="C38" t="str">
            <v/>
          </cell>
          <cell r="D38" t="str">
            <v>01-02-03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C39" t="str">
            <v/>
          </cell>
          <cell r="D39" t="str">
            <v>01-02-04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C40">
            <v>36927</v>
          </cell>
          <cell r="D40" t="str">
            <v>01-02-05</v>
          </cell>
          <cell r="E40">
            <v>24.15</v>
          </cell>
          <cell r="F40">
            <v>24.1</v>
          </cell>
          <cell r="G40">
            <v>24.125</v>
          </cell>
          <cell r="H40">
            <v>26.8</v>
          </cell>
          <cell r="I40">
            <v>26.75</v>
          </cell>
          <cell r="J40">
            <v>26.774999999999999</v>
          </cell>
          <cell r="K40">
            <v>294</v>
          </cell>
          <cell r="L40">
            <v>299</v>
          </cell>
          <cell r="M40">
            <v>296.5</v>
          </cell>
          <cell r="N40">
            <v>220</v>
          </cell>
          <cell r="O40">
            <v>223</v>
          </cell>
          <cell r="P40">
            <v>221.5</v>
          </cell>
          <cell r="Q40">
            <v>223</v>
          </cell>
          <cell r="R40">
            <v>224</v>
          </cell>
          <cell r="S40">
            <v>223.5</v>
          </cell>
          <cell r="T40">
            <v>115.25</v>
          </cell>
          <cell r="U40">
            <v>115</v>
          </cell>
          <cell r="V40">
            <v>115.125</v>
          </cell>
        </row>
        <row r="41">
          <cell r="C41">
            <v>36928</v>
          </cell>
          <cell r="D41" t="str">
            <v>01-02-06</v>
          </cell>
          <cell r="E41">
            <v>23.85</v>
          </cell>
          <cell r="F41">
            <v>23.75</v>
          </cell>
          <cell r="G41">
            <v>23.8</v>
          </cell>
          <cell r="H41">
            <v>26.55</v>
          </cell>
          <cell r="I41">
            <v>26.5</v>
          </cell>
          <cell r="J41">
            <v>26.524999999999999</v>
          </cell>
          <cell r="K41">
            <v>284</v>
          </cell>
          <cell r="L41">
            <v>289</v>
          </cell>
          <cell r="M41">
            <v>286.5</v>
          </cell>
          <cell r="N41">
            <v>223</v>
          </cell>
          <cell r="O41">
            <v>227</v>
          </cell>
          <cell r="P41">
            <v>225</v>
          </cell>
          <cell r="Q41">
            <v>227</v>
          </cell>
          <cell r="R41">
            <v>228</v>
          </cell>
          <cell r="S41">
            <v>227.5</v>
          </cell>
          <cell r="T41">
            <v>116.75</v>
          </cell>
          <cell r="U41">
            <v>116</v>
          </cell>
          <cell r="V41">
            <v>116.375</v>
          </cell>
        </row>
        <row r="42">
          <cell r="C42">
            <v>36929</v>
          </cell>
          <cell r="D42" t="str">
            <v>01-02-07</v>
          </cell>
          <cell r="E42">
            <v>24.45</v>
          </cell>
          <cell r="F42">
            <v>24.4</v>
          </cell>
          <cell r="G42">
            <v>24.425000000000001</v>
          </cell>
          <cell r="H42">
            <v>27.1</v>
          </cell>
          <cell r="I42">
            <v>27.05</v>
          </cell>
          <cell r="J42">
            <v>27.074999999999999</v>
          </cell>
          <cell r="K42">
            <v>279.5</v>
          </cell>
          <cell r="L42">
            <v>284.5</v>
          </cell>
          <cell r="M42">
            <v>282</v>
          </cell>
          <cell r="N42">
            <v>227.75</v>
          </cell>
          <cell r="O42">
            <v>229.75</v>
          </cell>
          <cell r="P42">
            <v>228.75</v>
          </cell>
          <cell r="Q42">
            <v>229</v>
          </cell>
          <cell r="R42">
            <v>230</v>
          </cell>
          <cell r="S42">
            <v>229.5</v>
          </cell>
          <cell r="T42">
            <v>119</v>
          </cell>
          <cell r="U42">
            <v>118.5</v>
          </cell>
          <cell r="V42">
            <v>118.75</v>
          </cell>
        </row>
        <row r="43">
          <cell r="C43">
            <v>36930</v>
          </cell>
          <cell r="D43" t="str">
            <v>01-02-08</v>
          </cell>
          <cell r="E43">
            <v>24.85</v>
          </cell>
          <cell r="F43">
            <v>24.75</v>
          </cell>
          <cell r="G43">
            <v>24.8</v>
          </cell>
          <cell r="H43">
            <v>27.7</v>
          </cell>
          <cell r="I43">
            <v>27.6</v>
          </cell>
          <cell r="J43">
            <v>27.65</v>
          </cell>
          <cell r="K43">
            <v>289.5</v>
          </cell>
          <cell r="L43">
            <v>294.5</v>
          </cell>
          <cell r="M43">
            <v>292</v>
          </cell>
          <cell r="N43">
            <v>237.25</v>
          </cell>
          <cell r="O43">
            <v>240.25</v>
          </cell>
          <cell r="P43">
            <v>238.75</v>
          </cell>
          <cell r="Q43">
            <v>235.75</v>
          </cell>
          <cell r="R43">
            <v>236.75</v>
          </cell>
          <cell r="S43">
            <v>236.25</v>
          </cell>
          <cell r="T43">
            <v>123.5</v>
          </cell>
          <cell r="U43">
            <v>123</v>
          </cell>
          <cell r="V43">
            <v>123.25</v>
          </cell>
        </row>
        <row r="44">
          <cell r="C44">
            <v>36931</v>
          </cell>
          <cell r="D44" t="str">
            <v>01-02-09</v>
          </cell>
          <cell r="E44">
            <v>24.55</v>
          </cell>
          <cell r="F44">
            <v>24.5</v>
          </cell>
          <cell r="G44">
            <v>24.524999999999999</v>
          </cell>
          <cell r="H44">
            <v>27.75</v>
          </cell>
          <cell r="I44">
            <v>27.7</v>
          </cell>
          <cell r="J44">
            <v>27.725000000000001</v>
          </cell>
          <cell r="K44">
            <v>293.5</v>
          </cell>
          <cell r="L44">
            <v>297.5</v>
          </cell>
          <cell r="M44">
            <v>295.5</v>
          </cell>
          <cell r="N44">
            <v>239.5</v>
          </cell>
          <cell r="O44">
            <v>240.5</v>
          </cell>
          <cell r="P44">
            <v>240</v>
          </cell>
          <cell r="Q44">
            <v>233.5</v>
          </cell>
          <cell r="R44">
            <v>234.5</v>
          </cell>
          <cell r="S44">
            <v>234</v>
          </cell>
          <cell r="T44">
            <v>125.5</v>
          </cell>
          <cell r="U44">
            <v>125</v>
          </cell>
          <cell r="V44">
            <v>125.25</v>
          </cell>
        </row>
        <row r="45">
          <cell r="C45" t="str">
            <v/>
          </cell>
          <cell r="D45" t="str">
            <v>01-02-10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C46" t="str">
            <v/>
          </cell>
          <cell r="D46" t="str">
            <v>01-02-11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C47">
            <v>36934</v>
          </cell>
          <cell r="D47" t="str">
            <v>01-02-12</v>
          </cell>
          <cell r="E47">
            <v>24.35</v>
          </cell>
          <cell r="F47">
            <v>24.25</v>
          </cell>
          <cell r="G47">
            <v>24.3</v>
          </cell>
          <cell r="H47">
            <v>28.85</v>
          </cell>
          <cell r="I47">
            <v>28.8</v>
          </cell>
          <cell r="J47">
            <v>28.824999999999999</v>
          </cell>
          <cell r="K47">
            <v>284.5</v>
          </cell>
          <cell r="L47">
            <v>288.5</v>
          </cell>
          <cell r="M47">
            <v>286.5</v>
          </cell>
          <cell r="N47">
            <v>237.5</v>
          </cell>
          <cell r="O47">
            <v>241.5</v>
          </cell>
          <cell r="P47">
            <v>239.5</v>
          </cell>
          <cell r="Q47">
            <v>232.5</v>
          </cell>
          <cell r="R47">
            <v>233.5</v>
          </cell>
          <cell r="S47">
            <v>233</v>
          </cell>
          <cell r="T47">
            <v>125.5</v>
          </cell>
          <cell r="U47">
            <v>125</v>
          </cell>
          <cell r="V47">
            <v>125.25</v>
          </cell>
        </row>
        <row r="48">
          <cell r="C48">
            <v>36935</v>
          </cell>
          <cell r="D48" t="str">
            <v>01-02-13</v>
          </cell>
          <cell r="E48">
            <v>23.7</v>
          </cell>
          <cell r="F48">
            <v>23.6</v>
          </cell>
          <cell r="G48">
            <v>23.65</v>
          </cell>
          <cell r="H48">
            <v>27.95</v>
          </cell>
          <cell r="I48">
            <v>27.85</v>
          </cell>
          <cell r="J48">
            <v>27.9</v>
          </cell>
          <cell r="K48">
            <v>280.5</v>
          </cell>
          <cell r="L48">
            <v>284.5</v>
          </cell>
          <cell r="M48">
            <v>282.5</v>
          </cell>
          <cell r="N48">
            <v>233.75</v>
          </cell>
          <cell r="O48">
            <v>239.75</v>
          </cell>
          <cell r="P48">
            <v>236.75</v>
          </cell>
          <cell r="Q48">
            <v>229.75</v>
          </cell>
          <cell r="R48">
            <v>230.75</v>
          </cell>
          <cell r="S48">
            <v>230.25</v>
          </cell>
          <cell r="T48">
            <v>121</v>
          </cell>
          <cell r="U48">
            <v>120</v>
          </cell>
          <cell r="V48">
            <v>120.5</v>
          </cell>
        </row>
        <row r="49">
          <cell r="C49">
            <v>36936</v>
          </cell>
          <cell r="D49" t="str">
            <v>01-02-14</v>
          </cell>
          <cell r="E49">
            <v>23.6</v>
          </cell>
          <cell r="F49">
            <v>23.55</v>
          </cell>
          <cell r="G49">
            <v>23.574999999999999</v>
          </cell>
          <cell r="H49">
            <v>26.9</v>
          </cell>
          <cell r="I49">
            <v>26.85</v>
          </cell>
          <cell r="J49">
            <v>26.875</v>
          </cell>
          <cell r="K49">
            <v>278.5</v>
          </cell>
          <cell r="L49">
            <v>282.5</v>
          </cell>
          <cell r="M49">
            <v>280.5</v>
          </cell>
          <cell r="N49">
            <v>234.75</v>
          </cell>
          <cell r="O49">
            <v>240.75</v>
          </cell>
          <cell r="P49">
            <v>237.75</v>
          </cell>
          <cell r="Q49">
            <v>232.25</v>
          </cell>
          <cell r="R49">
            <v>233.25</v>
          </cell>
          <cell r="S49">
            <v>232.75</v>
          </cell>
          <cell r="T49">
            <v>117.5</v>
          </cell>
          <cell r="U49">
            <v>117</v>
          </cell>
          <cell r="V49">
            <v>117.25</v>
          </cell>
        </row>
        <row r="50">
          <cell r="C50">
            <v>36937</v>
          </cell>
          <cell r="D50" t="str">
            <v>01-02-15</v>
          </cell>
          <cell r="E50">
            <v>23.35</v>
          </cell>
          <cell r="F50">
            <v>23.3</v>
          </cell>
          <cell r="G50">
            <v>23.324999999999999</v>
          </cell>
          <cell r="H50">
            <v>27.05</v>
          </cell>
          <cell r="I50">
            <v>27</v>
          </cell>
          <cell r="J50">
            <v>27.024999999999999</v>
          </cell>
          <cell r="K50">
            <v>268</v>
          </cell>
          <cell r="L50">
            <v>272</v>
          </cell>
          <cell r="M50">
            <v>270</v>
          </cell>
          <cell r="N50">
            <v>229</v>
          </cell>
          <cell r="O50">
            <v>235</v>
          </cell>
          <cell r="P50">
            <v>232</v>
          </cell>
          <cell r="Q50">
            <v>226.5</v>
          </cell>
          <cell r="R50">
            <v>227.5</v>
          </cell>
          <cell r="S50">
            <v>227</v>
          </cell>
          <cell r="T50">
            <v>116</v>
          </cell>
          <cell r="U50">
            <v>115</v>
          </cell>
          <cell r="V50">
            <v>115.5</v>
          </cell>
        </row>
        <row r="51">
          <cell r="C51">
            <v>36938</v>
          </cell>
          <cell r="D51" t="str">
            <v>01-02-16</v>
          </cell>
          <cell r="E51">
            <v>23.25</v>
          </cell>
          <cell r="F51">
            <v>23.2</v>
          </cell>
          <cell r="G51">
            <v>23.225000000000001</v>
          </cell>
          <cell r="H51">
            <v>26.35</v>
          </cell>
          <cell r="I51">
            <v>26.3</v>
          </cell>
          <cell r="J51">
            <v>26.324999999999999</v>
          </cell>
          <cell r="K51">
            <v>271</v>
          </cell>
          <cell r="L51">
            <v>275</v>
          </cell>
          <cell r="M51">
            <v>273</v>
          </cell>
          <cell r="N51">
            <v>233</v>
          </cell>
          <cell r="O51">
            <v>238</v>
          </cell>
          <cell r="P51">
            <v>235.5</v>
          </cell>
          <cell r="Q51">
            <v>227</v>
          </cell>
          <cell r="R51">
            <v>228</v>
          </cell>
          <cell r="S51">
            <v>227.5</v>
          </cell>
          <cell r="T51">
            <v>121</v>
          </cell>
          <cell r="U51">
            <v>120</v>
          </cell>
          <cell r="V51">
            <v>120.5</v>
          </cell>
        </row>
        <row r="52">
          <cell r="C52" t="str">
            <v/>
          </cell>
          <cell r="D52" t="str">
            <v>01-02-17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C53" t="str">
            <v/>
          </cell>
          <cell r="D53" t="str">
            <v>01-02-18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</row>
        <row r="54">
          <cell r="C54">
            <v>36941</v>
          </cell>
          <cell r="D54" t="str">
            <v>01-02-19</v>
          </cell>
          <cell r="E54">
            <v>23.85</v>
          </cell>
          <cell r="F54">
            <v>23.8</v>
          </cell>
          <cell r="G54">
            <v>23.824999999999999</v>
          </cell>
          <cell r="H54">
            <v>27.15</v>
          </cell>
          <cell r="I54">
            <v>27.05</v>
          </cell>
          <cell r="J54">
            <v>27.1</v>
          </cell>
          <cell r="K54">
            <v>274</v>
          </cell>
          <cell r="L54">
            <v>278</v>
          </cell>
          <cell r="M54">
            <v>276</v>
          </cell>
          <cell r="N54">
            <v>237.5</v>
          </cell>
          <cell r="O54">
            <v>242.5</v>
          </cell>
          <cell r="P54">
            <v>240</v>
          </cell>
          <cell r="Q54">
            <v>232.5</v>
          </cell>
          <cell r="R54">
            <v>233.5</v>
          </cell>
          <cell r="S54">
            <v>233</v>
          </cell>
          <cell r="T54">
            <v>124.75</v>
          </cell>
          <cell r="U54">
            <v>124.5</v>
          </cell>
          <cell r="V54">
            <v>124.625</v>
          </cell>
        </row>
        <row r="55">
          <cell r="C55">
            <v>36942</v>
          </cell>
          <cell r="D55" t="str">
            <v>01-02-20</v>
          </cell>
          <cell r="E55">
            <v>23.45</v>
          </cell>
          <cell r="F55">
            <v>23.35</v>
          </cell>
          <cell r="G55">
            <v>23.4</v>
          </cell>
          <cell r="H55">
            <v>26.3</v>
          </cell>
          <cell r="I55">
            <v>26.2</v>
          </cell>
          <cell r="J55">
            <v>26.25</v>
          </cell>
          <cell r="K55">
            <v>275.5</v>
          </cell>
          <cell r="L55">
            <v>279.5</v>
          </cell>
          <cell r="M55">
            <v>277.5</v>
          </cell>
          <cell r="N55">
            <v>238.25</v>
          </cell>
          <cell r="O55">
            <v>243.25</v>
          </cell>
          <cell r="P55">
            <v>240.75</v>
          </cell>
          <cell r="Q55">
            <v>233.25</v>
          </cell>
          <cell r="R55">
            <v>234.25</v>
          </cell>
          <cell r="S55">
            <v>233.75</v>
          </cell>
          <cell r="T55">
            <v>124</v>
          </cell>
          <cell r="U55">
            <v>123</v>
          </cell>
          <cell r="V55">
            <v>123.5</v>
          </cell>
        </row>
        <row r="56">
          <cell r="C56">
            <v>36943</v>
          </cell>
          <cell r="D56" t="str">
            <v>01-02-21</v>
          </cell>
          <cell r="E56">
            <v>22.8</v>
          </cell>
          <cell r="F56">
            <v>22.75</v>
          </cell>
          <cell r="G56">
            <v>22.774999999999999</v>
          </cell>
          <cell r="H56">
            <v>25.35</v>
          </cell>
          <cell r="I56">
            <v>25.3</v>
          </cell>
          <cell r="J56">
            <v>25.324999999999999</v>
          </cell>
          <cell r="K56">
            <v>271.5</v>
          </cell>
          <cell r="L56">
            <v>275.5</v>
          </cell>
          <cell r="M56">
            <v>273.5</v>
          </cell>
          <cell r="N56">
            <v>233.25</v>
          </cell>
          <cell r="O56">
            <v>240.25</v>
          </cell>
          <cell r="P56">
            <v>236.75</v>
          </cell>
          <cell r="Q56">
            <v>230.25</v>
          </cell>
          <cell r="R56">
            <v>231.25</v>
          </cell>
          <cell r="S56">
            <v>230.75</v>
          </cell>
          <cell r="T56">
            <v>122</v>
          </cell>
          <cell r="U56">
            <v>121.5</v>
          </cell>
          <cell r="V56">
            <v>121.75</v>
          </cell>
        </row>
        <row r="57">
          <cell r="C57">
            <v>36944</v>
          </cell>
          <cell r="D57" t="str">
            <v>01-02-22</v>
          </cell>
          <cell r="E57">
            <v>22.85</v>
          </cell>
          <cell r="F57">
            <v>22.75</v>
          </cell>
          <cell r="G57">
            <v>22.8</v>
          </cell>
          <cell r="H57">
            <v>25.9</v>
          </cell>
          <cell r="I57">
            <v>25.8</v>
          </cell>
          <cell r="J57">
            <v>25.85</v>
          </cell>
          <cell r="K57">
            <v>272.5</v>
          </cell>
          <cell r="L57">
            <v>277.5</v>
          </cell>
          <cell r="M57">
            <v>275</v>
          </cell>
          <cell r="N57">
            <v>231.75</v>
          </cell>
          <cell r="O57">
            <v>233.75</v>
          </cell>
          <cell r="P57">
            <v>232.75</v>
          </cell>
          <cell r="Q57">
            <v>228.25</v>
          </cell>
          <cell r="R57">
            <v>229.25</v>
          </cell>
          <cell r="S57">
            <v>228.75</v>
          </cell>
          <cell r="T57">
            <v>123</v>
          </cell>
          <cell r="U57">
            <v>122</v>
          </cell>
          <cell r="V57">
            <v>122.5</v>
          </cell>
        </row>
        <row r="58">
          <cell r="C58">
            <v>36945</v>
          </cell>
          <cell r="D58" t="str">
            <v>01-02-23</v>
          </cell>
          <cell r="E58">
            <v>22.15</v>
          </cell>
          <cell r="F58">
            <v>22.05</v>
          </cell>
          <cell r="G58">
            <v>22.1</v>
          </cell>
          <cell r="H58">
            <v>25.8</v>
          </cell>
          <cell r="I58">
            <v>25.7</v>
          </cell>
          <cell r="J58">
            <v>25.75</v>
          </cell>
          <cell r="K58">
            <v>270.5</v>
          </cell>
          <cell r="L58">
            <v>275.5</v>
          </cell>
          <cell r="M58">
            <v>273</v>
          </cell>
          <cell r="N58">
            <v>229.75</v>
          </cell>
          <cell r="O58">
            <v>232.75</v>
          </cell>
          <cell r="P58">
            <v>231.25</v>
          </cell>
          <cell r="Q58">
            <v>226</v>
          </cell>
          <cell r="R58">
            <v>227</v>
          </cell>
          <cell r="S58">
            <v>226.5</v>
          </cell>
          <cell r="T58">
            <v>122.75</v>
          </cell>
          <cell r="U58">
            <v>122</v>
          </cell>
          <cell r="V58">
            <v>122.375</v>
          </cell>
        </row>
        <row r="59">
          <cell r="C59" t="str">
            <v/>
          </cell>
          <cell r="D59" t="str">
            <v>01-02-24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C60" t="str">
            <v/>
          </cell>
          <cell r="D60" t="str">
            <v>01-02-25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C61">
            <v>36948</v>
          </cell>
          <cell r="D61" t="str">
            <v>01-02-26</v>
          </cell>
          <cell r="E61">
            <v>22.5</v>
          </cell>
          <cell r="F61">
            <v>22.4</v>
          </cell>
          <cell r="G61">
            <v>22.45</v>
          </cell>
          <cell r="H61">
            <v>26.1</v>
          </cell>
          <cell r="I61">
            <v>26</v>
          </cell>
          <cell r="J61">
            <v>26.05</v>
          </cell>
          <cell r="K61">
            <v>269.5</v>
          </cell>
          <cell r="L61">
            <v>274.5</v>
          </cell>
          <cell r="M61">
            <v>272</v>
          </cell>
          <cell r="N61">
            <v>230.25</v>
          </cell>
          <cell r="O61">
            <v>234.25</v>
          </cell>
          <cell r="P61">
            <v>232.25</v>
          </cell>
          <cell r="Q61">
            <v>227.75</v>
          </cell>
          <cell r="R61">
            <v>228.75</v>
          </cell>
          <cell r="S61">
            <v>228.25</v>
          </cell>
          <cell r="T61">
            <v>123.5</v>
          </cell>
          <cell r="U61">
            <v>123</v>
          </cell>
          <cell r="V61">
            <v>123.25</v>
          </cell>
        </row>
        <row r="62">
          <cell r="C62">
            <v>36949</v>
          </cell>
          <cell r="D62" t="str">
            <v>01-02-27</v>
          </cell>
          <cell r="E62">
            <v>22.1</v>
          </cell>
          <cell r="F62">
            <v>22</v>
          </cell>
          <cell r="G62">
            <v>22.05</v>
          </cell>
          <cell r="H62">
            <v>26</v>
          </cell>
          <cell r="I62">
            <v>25.9</v>
          </cell>
          <cell r="J62">
            <v>25.95</v>
          </cell>
          <cell r="K62">
            <v>265.5</v>
          </cell>
          <cell r="L62">
            <v>270.5</v>
          </cell>
          <cell r="M62">
            <v>268</v>
          </cell>
          <cell r="N62">
            <v>225.5</v>
          </cell>
          <cell r="O62">
            <v>229.5</v>
          </cell>
          <cell r="P62">
            <v>227.5</v>
          </cell>
          <cell r="Q62">
            <v>228.25</v>
          </cell>
          <cell r="R62">
            <v>229.25</v>
          </cell>
          <cell r="S62">
            <v>228.75</v>
          </cell>
          <cell r="T62">
            <v>122</v>
          </cell>
          <cell r="U62">
            <v>121.75</v>
          </cell>
          <cell r="V62">
            <v>121.875</v>
          </cell>
        </row>
        <row r="63">
          <cell r="C63">
            <v>36950</v>
          </cell>
          <cell r="D63" t="str">
            <v>01-02-28</v>
          </cell>
          <cell r="E63">
            <v>22.15</v>
          </cell>
          <cell r="F63">
            <v>22.1</v>
          </cell>
          <cell r="G63">
            <v>22.125</v>
          </cell>
          <cell r="H63">
            <v>26.65</v>
          </cell>
          <cell r="I63">
            <v>26.6</v>
          </cell>
          <cell r="J63">
            <v>26.625</v>
          </cell>
          <cell r="K63">
            <v>264.5</v>
          </cell>
          <cell r="L63">
            <v>269.5</v>
          </cell>
          <cell r="M63">
            <v>267</v>
          </cell>
          <cell r="N63">
            <v>225.25</v>
          </cell>
          <cell r="O63">
            <v>230.25</v>
          </cell>
          <cell r="P63">
            <v>227.75</v>
          </cell>
          <cell r="Q63">
            <v>229</v>
          </cell>
          <cell r="R63">
            <v>230</v>
          </cell>
          <cell r="S63">
            <v>229.5</v>
          </cell>
          <cell r="T63">
            <v>123</v>
          </cell>
          <cell r="U63">
            <v>122.5</v>
          </cell>
          <cell r="V63">
            <v>122.75</v>
          </cell>
        </row>
        <row r="64">
          <cell r="C64">
            <v>36951</v>
          </cell>
          <cell r="D64" t="str">
            <v>01-03-01</v>
          </cell>
          <cell r="E64">
            <v>22.1</v>
          </cell>
          <cell r="F64">
            <v>22</v>
          </cell>
          <cell r="G64">
            <v>22.05</v>
          </cell>
          <cell r="H64">
            <v>26.35</v>
          </cell>
          <cell r="I64">
            <v>26.25</v>
          </cell>
          <cell r="J64">
            <v>26.3</v>
          </cell>
          <cell r="K64">
            <v>262</v>
          </cell>
          <cell r="L64">
            <v>267</v>
          </cell>
          <cell r="M64">
            <v>264.5</v>
          </cell>
          <cell r="N64">
            <v>221.5</v>
          </cell>
          <cell r="O64">
            <v>225.5</v>
          </cell>
          <cell r="P64">
            <v>223.5</v>
          </cell>
          <cell r="Q64">
            <v>224.25</v>
          </cell>
          <cell r="R64">
            <v>225.25</v>
          </cell>
          <cell r="S64">
            <v>224.75</v>
          </cell>
          <cell r="T64">
            <v>117.5</v>
          </cell>
          <cell r="U64">
            <v>117</v>
          </cell>
          <cell r="V64">
            <v>117.25</v>
          </cell>
        </row>
        <row r="65">
          <cell r="C65">
            <v>36952</v>
          </cell>
          <cell r="D65" t="str">
            <v>01-03-02</v>
          </cell>
          <cell r="E65">
            <v>22.55</v>
          </cell>
          <cell r="F65">
            <v>22.5</v>
          </cell>
          <cell r="G65">
            <v>22.524999999999999</v>
          </cell>
          <cell r="H65">
            <v>26.75</v>
          </cell>
          <cell r="I65">
            <v>26.65</v>
          </cell>
          <cell r="J65">
            <v>26.7</v>
          </cell>
          <cell r="K65">
            <v>260.5</v>
          </cell>
          <cell r="L65">
            <v>265.5</v>
          </cell>
          <cell r="M65">
            <v>263</v>
          </cell>
          <cell r="N65">
            <v>223.75</v>
          </cell>
          <cell r="O65">
            <v>228.75</v>
          </cell>
          <cell r="P65">
            <v>226.25</v>
          </cell>
          <cell r="Q65">
            <v>227.25</v>
          </cell>
          <cell r="R65">
            <v>228.25</v>
          </cell>
          <cell r="S65">
            <v>227.75</v>
          </cell>
          <cell r="T65">
            <v>122.25</v>
          </cell>
          <cell r="U65">
            <v>122</v>
          </cell>
          <cell r="V65">
            <v>122.125</v>
          </cell>
        </row>
        <row r="66">
          <cell r="C66" t="str">
            <v/>
          </cell>
          <cell r="D66" t="str">
            <v>01-03-03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C67" t="str">
            <v/>
          </cell>
          <cell r="D67" t="str">
            <v>01-03-04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C68">
            <v>36955</v>
          </cell>
          <cell r="D68" t="str">
            <v>01-03-05</v>
          </cell>
          <cell r="E68">
            <v>23</v>
          </cell>
          <cell r="F68">
            <v>22.9</v>
          </cell>
          <cell r="G68">
            <v>22.95</v>
          </cell>
          <cell r="H68">
            <v>26.85</v>
          </cell>
          <cell r="I68">
            <v>26.75</v>
          </cell>
          <cell r="J68">
            <v>26.8</v>
          </cell>
          <cell r="K68">
            <v>263.5</v>
          </cell>
          <cell r="L68">
            <v>268.5</v>
          </cell>
          <cell r="M68">
            <v>266</v>
          </cell>
          <cell r="N68">
            <v>226.25</v>
          </cell>
          <cell r="O68">
            <v>231.25</v>
          </cell>
          <cell r="P68">
            <v>228.75</v>
          </cell>
          <cell r="Q68">
            <v>230.75</v>
          </cell>
          <cell r="R68">
            <v>231.75</v>
          </cell>
          <cell r="S68">
            <v>231.25</v>
          </cell>
          <cell r="T68">
            <v>124.5</v>
          </cell>
          <cell r="U68">
            <v>124</v>
          </cell>
          <cell r="V68">
            <v>124.25</v>
          </cell>
        </row>
        <row r="69">
          <cell r="C69">
            <v>36956</v>
          </cell>
          <cell r="D69" t="str">
            <v>01-03-06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266.5</v>
          </cell>
          <cell r="L69">
            <v>271.5</v>
          </cell>
          <cell r="M69">
            <v>269</v>
          </cell>
          <cell r="N69">
            <v>213.75</v>
          </cell>
          <cell r="O69">
            <v>218.75</v>
          </cell>
          <cell r="P69">
            <v>216.25</v>
          </cell>
          <cell r="Q69">
            <v>227.25</v>
          </cell>
          <cell r="R69">
            <v>228.25</v>
          </cell>
          <cell r="S69">
            <v>227.75</v>
          </cell>
          <cell r="T69">
            <v>0</v>
          </cell>
          <cell r="U69">
            <v>0</v>
          </cell>
          <cell r="V69">
            <v>0</v>
          </cell>
        </row>
        <row r="70">
          <cell r="C70">
            <v>36957</v>
          </cell>
          <cell r="D70" t="str">
            <v>01-03-07</v>
          </cell>
          <cell r="E70">
            <v>23.9</v>
          </cell>
          <cell r="F70">
            <v>23.85</v>
          </cell>
          <cell r="G70">
            <v>23.875</v>
          </cell>
          <cell r="H70">
            <v>27.1</v>
          </cell>
          <cell r="I70">
            <v>27.05</v>
          </cell>
          <cell r="J70">
            <v>27.074999999999999</v>
          </cell>
          <cell r="K70">
            <v>266.5</v>
          </cell>
          <cell r="L70">
            <v>271.5</v>
          </cell>
          <cell r="M70">
            <v>269</v>
          </cell>
          <cell r="N70">
            <v>210.25</v>
          </cell>
          <cell r="O70">
            <v>213.25</v>
          </cell>
          <cell r="P70">
            <v>211.75</v>
          </cell>
          <cell r="Q70">
            <v>225.75</v>
          </cell>
          <cell r="R70">
            <v>226.75</v>
          </cell>
          <cell r="S70">
            <v>226.25</v>
          </cell>
          <cell r="T70">
            <v>128</v>
          </cell>
          <cell r="U70">
            <v>127.75</v>
          </cell>
          <cell r="V70">
            <v>127.875</v>
          </cell>
        </row>
        <row r="71">
          <cell r="C71">
            <v>36958</v>
          </cell>
          <cell r="D71" t="str">
            <v>01-03-08</v>
          </cell>
          <cell r="E71">
            <v>24.35</v>
          </cell>
          <cell r="F71">
            <v>24.25</v>
          </cell>
          <cell r="G71">
            <v>24.3</v>
          </cell>
          <cell r="H71">
            <v>27.25</v>
          </cell>
          <cell r="I71">
            <v>27.15</v>
          </cell>
          <cell r="J71">
            <v>27.2</v>
          </cell>
          <cell r="K71">
            <v>271.5</v>
          </cell>
          <cell r="L71">
            <v>276.5</v>
          </cell>
          <cell r="M71">
            <v>274</v>
          </cell>
          <cell r="N71">
            <v>207.25</v>
          </cell>
          <cell r="O71">
            <v>212.25</v>
          </cell>
          <cell r="P71">
            <v>209.75</v>
          </cell>
          <cell r="Q71">
            <v>228.75</v>
          </cell>
          <cell r="R71">
            <v>229.75</v>
          </cell>
          <cell r="S71">
            <v>229.25</v>
          </cell>
          <cell r="T71">
            <v>130</v>
          </cell>
          <cell r="U71">
            <v>129</v>
          </cell>
          <cell r="V71">
            <v>129.5</v>
          </cell>
        </row>
        <row r="72">
          <cell r="C72">
            <v>36959</v>
          </cell>
          <cell r="D72" t="str">
            <v>01-03-09</v>
          </cell>
          <cell r="E72">
            <v>23.9</v>
          </cell>
          <cell r="F72">
            <v>23.8</v>
          </cell>
          <cell r="G72">
            <v>23.85</v>
          </cell>
          <cell r="H72">
            <v>26.1</v>
          </cell>
          <cell r="I72">
            <v>26.05</v>
          </cell>
          <cell r="J72">
            <v>26.074999999999999</v>
          </cell>
          <cell r="K72">
            <v>268.5</v>
          </cell>
          <cell r="L72">
            <v>273.5</v>
          </cell>
          <cell r="M72">
            <v>271</v>
          </cell>
          <cell r="N72">
            <v>206.25</v>
          </cell>
          <cell r="O72">
            <v>208.25</v>
          </cell>
          <cell r="P72">
            <v>207.25</v>
          </cell>
          <cell r="Q72">
            <v>227.75</v>
          </cell>
          <cell r="R72">
            <v>228.75</v>
          </cell>
          <cell r="S72">
            <v>228.25</v>
          </cell>
          <cell r="T72">
            <v>127</v>
          </cell>
          <cell r="U72">
            <v>126.5</v>
          </cell>
          <cell r="V72">
            <v>126.75</v>
          </cell>
        </row>
        <row r="73">
          <cell r="C73" t="str">
            <v/>
          </cell>
          <cell r="D73" t="str">
            <v>01-03-10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C74" t="str">
            <v/>
          </cell>
          <cell r="D74" t="str">
            <v>01-03-11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C75">
            <v>36962</v>
          </cell>
          <cell r="D75" t="str">
            <v>01-03-12</v>
          </cell>
          <cell r="E75">
            <v>23.35</v>
          </cell>
          <cell r="F75">
            <v>23.25</v>
          </cell>
          <cell r="G75">
            <v>23.3</v>
          </cell>
          <cell r="H75">
            <v>25.35</v>
          </cell>
          <cell r="I75">
            <v>25.3</v>
          </cell>
          <cell r="J75">
            <v>25.324999999999999</v>
          </cell>
          <cell r="K75">
            <v>264.5</v>
          </cell>
          <cell r="L75">
            <v>269.5</v>
          </cell>
          <cell r="M75">
            <v>267</v>
          </cell>
          <cell r="N75">
            <v>202.5</v>
          </cell>
          <cell r="O75">
            <v>203.5</v>
          </cell>
          <cell r="P75">
            <v>203</v>
          </cell>
          <cell r="Q75">
            <v>222</v>
          </cell>
          <cell r="R75">
            <v>223</v>
          </cell>
          <cell r="S75">
            <v>222.5</v>
          </cell>
          <cell r="T75">
            <v>125.75</v>
          </cell>
          <cell r="U75">
            <v>125</v>
          </cell>
          <cell r="V75">
            <v>125.375</v>
          </cell>
        </row>
        <row r="76">
          <cell r="C76">
            <v>36963</v>
          </cell>
          <cell r="D76" t="str">
            <v>01-03-13</v>
          </cell>
          <cell r="E76">
            <v>22.95</v>
          </cell>
          <cell r="F76">
            <v>22.9</v>
          </cell>
          <cell r="G76">
            <v>22.925000000000001</v>
          </cell>
          <cell r="H76">
            <v>25.15</v>
          </cell>
          <cell r="I76">
            <v>25.1</v>
          </cell>
          <cell r="J76">
            <v>25.125</v>
          </cell>
          <cell r="K76">
            <v>261</v>
          </cell>
          <cell r="L76">
            <v>266</v>
          </cell>
          <cell r="M76">
            <v>263.5</v>
          </cell>
          <cell r="N76">
            <v>195.75</v>
          </cell>
          <cell r="O76">
            <v>199.75</v>
          </cell>
          <cell r="P76">
            <v>197.75</v>
          </cell>
          <cell r="Q76">
            <v>219.25</v>
          </cell>
          <cell r="R76">
            <v>220.25</v>
          </cell>
          <cell r="S76">
            <v>219.75</v>
          </cell>
          <cell r="T76">
            <v>124</v>
          </cell>
          <cell r="U76">
            <v>123</v>
          </cell>
          <cell r="V76">
            <v>123.5</v>
          </cell>
        </row>
        <row r="77">
          <cell r="C77">
            <v>36964</v>
          </cell>
          <cell r="D77" t="str">
            <v>01-03-14</v>
          </cell>
          <cell r="E77">
            <v>22.9</v>
          </cell>
          <cell r="F77">
            <v>22.85</v>
          </cell>
          <cell r="G77">
            <v>22.875</v>
          </cell>
          <cell r="H77">
            <v>25.55</v>
          </cell>
          <cell r="I77">
            <v>25.45</v>
          </cell>
          <cell r="J77">
            <v>25.5</v>
          </cell>
          <cell r="K77">
            <v>261</v>
          </cell>
          <cell r="L77">
            <v>266</v>
          </cell>
          <cell r="M77">
            <v>263.5</v>
          </cell>
          <cell r="N77">
            <v>196</v>
          </cell>
          <cell r="O77">
            <v>198</v>
          </cell>
          <cell r="P77">
            <v>197</v>
          </cell>
          <cell r="Q77">
            <v>220.5</v>
          </cell>
          <cell r="R77">
            <v>221.5</v>
          </cell>
          <cell r="S77">
            <v>221</v>
          </cell>
          <cell r="T77">
            <v>122.25</v>
          </cell>
          <cell r="U77">
            <v>122</v>
          </cell>
          <cell r="V77">
            <v>122.125</v>
          </cell>
        </row>
        <row r="78">
          <cell r="C78">
            <v>36965</v>
          </cell>
          <cell r="D78" t="str">
            <v>01-03-15</v>
          </cell>
          <cell r="E78">
            <v>22.8</v>
          </cell>
          <cell r="F78">
            <v>22.75</v>
          </cell>
          <cell r="G78">
            <v>22.774999999999999</v>
          </cell>
          <cell r="H78">
            <v>25.75</v>
          </cell>
          <cell r="I78">
            <v>25.65</v>
          </cell>
          <cell r="J78">
            <v>25.7</v>
          </cell>
          <cell r="K78">
            <v>257.5</v>
          </cell>
          <cell r="L78">
            <v>262.5</v>
          </cell>
          <cell r="M78">
            <v>260</v>
          </cell>
          <cell r="N78">
            <v>188.5</v>
          </cell>
          <cell r="O78">
            <v>191.25</v>
          </cell>
          <cell r="P78">
            <v>189.875</v>
          </cell>
          <cell r="Q78">
            <v>216.75</v>
          </cell>
          <cell r="R78">
            <v>217.75</v>
          </cell>
          <cell r="S78">
            <v>217.25</v>
          </cell>
          <cell r="T78">
            <v>120.5</v>
          </cell>
          <cell r="U78">
            <v>119.5</v>
          </cell>
          <cell r="V78">
            <v>120</v>
          </cell>
        </row>
        <row r="79">
          <cell r="C79">
            <v>36966</v>
          </cell>
          <cell r="D79" t="str">
            <v>01-03-16</v>
          </cell>
          <cell r="E79">
            <v>22.6</v>
          </cell>
          <cell r="F79">
            <v>22.55</v>
          </cell>
          <cell r="G79">
            <v>22.574999999999999</v>
          </cell>
          <cell r="H79">
            <v>25.8</v>
          </cell>
          <cell r="I79">
            <v>25.7</v>
          </cell>
          <cell r="J79">
            <v>25.75</v>
          </cell>
          <cell r="K79">
            <v>260.5</v>
          </cell>
          <cell r="L79">
            <v>265.5</v>
          </cell>
          <cell r="M79">
            <v>263</v>
          </cell>
          <cell r="N79">
            <v>190.5</v>
          </cell>
          <cell r="O79">
            <v>191.5</v>
          </cell>
          <cell r="P79">
            <v>191</v>
          </cell>
          <cell r="Q79">
            <v>222.25</v>
          </cell>
          <cell r="R79">
            <v>223.25</v>
          </cell>
          <cell r="S79">
            <v>222.75</v>
          </cell>
          <cell r="T79">
            <v>121.5</v>
          </cell>
          <cell r="U79">
            <v>120.5</v>
          </cell>
          <cell r="V79">
            <v>121</v>
          </cell>
        </row>
        <row r="80">
          <cell r="C80" t="str">
            <v/>
          </cell>
          <cell r="D80" t="str">
            <v>01-03-17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</row>
        <row r="81">
          <cell r="C81" t="str">
            <v/>
          </cell>
          <cell r="D81" t="str">
            <v>01-03-18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C82">
            <v>36969</v>
          </cell>
          <cell r="D82" t="str">
            <v>01-03-19</v>
          </cell>
          <cell r="E82">
            <v>22.85</v>
          </cell>
          <cell r="F82">
            <v>22.8</v>
          </cell>
          <cell r="G82">
            <v>22.824999999999999</v>
          </cell>
          <cell r="H82">
            <v>25.35</v>
          </cell>
          <cell r="I82">
            <v>25.3</v>
          </cell>
          <cell r="J82">
            <v>25.324999999999999</v>
          </cell>
          <cell r="K82">
            <v>259</v>
          </cell>
          <cell r="L82">
            <v>264</v>
          </cell>
          <cell r="M82">
            <v>261.5</v>
          </cell>
          <cell r="N82">
            <v>186</v>
          </cell>
          <cell r="O82">
            <v>187</v>
          </cell>
          <cell r="P82">
            <v>186.5</v>
          </cell>
          <cell r="Q82">
            <v>218.75</v>
          </cell>
          <cell r="R82">
            <v>219.75</v>
          </cell>
          <cell r="S82">
            <v>219.25</v>
          </cell>
          <cell r="T82">
            <v>122</v>
          </cell>
          <cell r="U82">
            <v>121</v>
          </cell>
          <cell r="V82">
            <v>121.5</v>
          </cell>
        </row>
        <row r="83">
          <cell r="C83">
            <v>36970</v>
          </cell>
          <cell r="D83" t="str">
            <v>01-03-20</v>
          </cell>
          <cell r="E83">
            <v>22.55</v>
          </cell>
          <cell r="F83">
            <v>22.5</v>
          </cell>
          <cell r="G83">
            <v>22.524999999999999</v>
          </cell>
          <cell r="H83">
            <v>24.65</v>
          </cell>
          <cell r="I83">
            <v>24.6</v>
          </cell>
          <cell r="J83">
            <v>24.625</v>
          </cell>
          <cell r="K83">
            <v>256</v>
          </cell>
          <cell r="L83">
            <v>261</v>
          </cell>
          <cell r="M83">
            <v>258.5</v>
          </cell>
          <cell r="N83">
            <v>184.5</v>
          </cell>
          <cell r="O83">
            <v>185.5</v>
          </cell>
          <cell r="P83">
            <v>185</v>
          </cell>
          <cell r="Q83">
            <v>217.5</v>
          </cell>
          <cell r="R83">
            <v>218.5</v>
          </cell>
          <cell r="S83">
            <v>218</v>
          </cell>
          <cell r="T83">
            <v>119</v>
          </cell>
          <cell r="U83">
            <v>118.5</v>
          </cell>
          <cell r="V83">
            <v>118.75</v>
          </cell>
        </row>
        <row r="84">
          <cell r="C84">
            <v>36971</v>
          </cell>
          <cell r="D84" t="str">
            <v>01-03-21</v>
          </cell>
          <cell r="E84">
            <v>22.5</v>
          </cell>
          <cell r="F84">
            <v>22.45</v>
          </cell>
          <cell r="G84">
            <v>22.475000000000001</v>
          </cell>
          <cell r="H84">
            <v>23.95</v>
          </cell>
          <cell r="I84">
            <v>23.85</v>
          </cell>
          <cell r="J84">
            <v>23.9</v>
          </cell>
          <cell r="K84">
            <v>258</v>
          </cell>
          <cell r="L84">
            <v>263</v>
          </cell>
          <cell r="M84">
            <v>260.5</v>
          </cell>
          <cell r="N84">
            <v>184.5</v>
          </cell>
          <cell r="O84">
            <v>185.5</v>
          </cell>
          <cell r="P84">
            <v>185</v>
          </cell>
          <cell r="Q84">
            <v>221.25</v>
          </cell>
          <cell r="R84">
            <v>222.25</v>
          </cell>
          <cell r="S84">
            <v>221.75</v>
          </cell>
          <cell r="T84">
            <v>118</v>
          </cell>
          <cell r="U84">
            <v>117.75</v>
          </cell>
          <cell r="V84">
            <v>117.875</v>
          </cell>
        </row>
        <row r="85">
          <cell r="C85">
            <v>36972</v>
          </cell>
          <cell r="D85" t="str">
            <v>01-03-22</v>
          </cell>
          <cell r="E85">
            <v>24</v>
          </cell>
          <cell r="F85">
            <v>23.9</v>
          </cell>
          <cell r="G85">
            <v>23.95</v>
          </cell>
          <cell r="H85">
            <v>25.05</v>
          </cell>
          <cell r="I85">
            <v>25</v>
          </cell>
          <cell r="J85">
            <v>25.024999999999999</v>
          </cell>
          <cell r="K85">
            <v>263</v>
          </cell>
          <cell r="L85">
            <v>268</v>
          </cell>
          <cell r="M85">
            <v>265.5</v>
          </cell>
          <cell r="N85">
            <v>186.5</v>
          </cell>
          <cell r="O85">
            <v>189</v>
          </cell>
          <cell r="P85">
            <v>187.75</v>
          </cell>
          <cell r="Q85">
            <v>224.75</v>
          </cell>
          <cell r="R85">
            <v>225.75</v>
          </cell>
          <cell r="S85">
            <v>225.25</v>
          </cell>
          <cell r="T85">
            <v>120</v>
          </cell>
          <cell r="U85">
            <v>119</v>
          </cell>
          <cell r="V85">
            <v>119.5</v>
          </cell>
        </row>
        <row r="86">
          <cell r="C86">
            <v>36973</v>
          </cell>
          <cell r="D86" t="str">
            <v>01-03-23</v>
          </cell>
          <cell r="E86">
            <v>24.6</v>
          </cell>
          <cell r="F86">
            <v>24.5</v>
          </cell>
          <cell r="G86">
            <v>24.55</v>
          </cell>
          <cell r="H86">
            <v>25.15</v>
          </cell>
          <cell r="I86">
            <v>25.1</v>
          </cell>
          <cell r="J86">
            <v>25.125</v>
          </cell>
          <cell r="K86">
            <v>265</v>
          </cell>
          <cell r="L86">
            <v>270</v>
          </cell>
          <cell r="M86">
            <v>267.5</v>
          </cell>
          <cell r="N86">
            <v>187.75</v>
          </cell>
          <cell r="O86">
            <v>190.25</v>
          </cell>
          <cell r="P86">
            <v>189</v>
          </cell>
          <cell r="Q86">
            <v>228.5</v>
          </cell>
          <cell r="R86">
            <v>229.5</v>
          </cell>
          <cell r="S86">
            <v>229</v>
          </cell>
          <cell r="T86">
            <v>120</v>
          </cell>
          <cell r="U86">
            <v>119.5</v>
          </cell>
          <cell r="V86">
            <v>119.75</v>
          </cell>
        </row>
        <row r="87">
          <cell r="C87" t="str">
            <v/>
          </cell>
          <cell r="D87" t="str">
            <v>01-03-24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C88" t="str">
            <v/>
          </cell>
          <cell r="D88" t="str">
            <v>01-03-25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</row>
        <row r="89">
          <cell r="C89">
            <v>36976</v>
          </cell>
          <cell r="D89" t="str">
            <v>01-03-26</v>
          </cell>
          <cell r="E89">
            <v>25.75</v>
          </cell>
          <cell r="F89">
            <v>25.7</v>
          </cell>
          <cell r="G89">
            <v>25.725000000000001</v>
          </cell>
          <cell r="H89">
            <v>26.05</v>
          </cell>
          <cell r="I89">
            <v>25.95</v>
          </cell>
          <cell r="J89">
            <v>26</v>
          </cell>
          <cell r="K89">
            <v>278</v>
          </cell>
          <cell r="L89">
            <v>283</v>
          </cell>
          <cell r="M89">
            <v>280.5</v>
          </cell>
          <cell r="N89">
            <v>195</v>
          </cell>
          <cell r="O89">
            <v>196.5</v>
          </cell>
          <cell r="P89">
            <v>195.75</v>
          </cell>
          <cell r="Q89">
            <v>233.75</v>
          </cell>
          <cell r="R89">
            <v>234.75</v>
          </cell>
          <cell r="S89">
            <v>234.25</v>
          </cell>
          <cell r="T89">
            <v>125</v>
          </cell>
          <cell r="U89">
            <v>124</v>
          </cell>
          <cell r="V89">
            <v>124.5</v>
          </cell>
        </row>
        <row r="90">
          <cell r="C90">
            <v>36977</v>
          </cell>
          <cell r="D90" t="str">
            <v>01-03-27</v>
          </cell>
          <cell r="E90">
            <v>25.05</v>
          </cell>
          <cell r="F90">
            <v>24.95</v>
          </cell>
          <cell r="G90">
            <v>25</v>
          </cell>
          <cell r="H90">
            <v>25.95</v>
          </cell>
          <cell r="I90">
            <v>25.85</v>
          </cell>
          <cell r="J90">
            <v>25.9</v>
          </cell>
          <cell r="K90">
            <v>280.5</v>
          </cell>
          <cell r="L90">
            <v>285.5</v>
          </cell>
          <cell r="M90">
            <v>283</v>
          </cell>
          <cell r="N90">
            <v>193.75</v>
          </cell>
          <cell r="O90">
            <v>195.25</v>
          </cell>
          <cell r="P90">
            <v>194.5</v>
          </cell>
          <cell r="Q90">
            <v>229.75</v>
          </cell>
          <cell r="R90">
            <v>230.75</v>
          </cell>
          <cell r="S90">
            <v>230.25</v>
          </cell>
          <cell r="T90">
            <v>125</v>
          </cell>
          <cell r="U90">
            <v>124</v>
          </cell>
          <cell r="V90">
            <v>124.5</v>
          </cell>
        </row>
        <row r="91">
          <cell r="C91">
            <v>36978</v>
          </cell>
          <cell r="D91" t="str">
            <v>01-03-28</v>
          </cell>
          <cell r="E91">
            <v>25.05</v>
          </cell>
          <cell r="F91">
            <v>24.95</v>
          </cell>
          <cell r="G91">
            <v>25</v>
          </cell>
          <cell r="H91">
            <v>25.95</v>
          </cell>
          <cell r="I91">
            <v>25.85</v>
          </cell>
          <cell r="J91">
            <v>25.9</v>
          </cell>
          <cell r="K91">
            <v>285.5</v>
          </cell>
          <cell r="L91">
            <v>290.5</v>
          </cell>
          <cell r="M91">
            <v>288</v>
          </cell>
          <cell r="N91">
            <v>195</v>
          </cell>
          <cell r="O91">
            <v>200</v>
          </cell>
          <cell r="P91">
            <v>197.5</v>
          </cell>
          <cell r="Q91">
            <v>231</v>
          </cell>
          <cell r="R91">
            <v>232</v>
          </cell>
          <cell r="S91">
            <v>231.5</v>
          </cell>
          <cell r="T91">
            <v>123.5</v>
          </cell>
          <cell r="U91">
            <v>123</v>
          </cell>
          <cell r="V91">
            <v>123.25</v>
          </cell>
        </row>
        <row r="92">
          <cell r="C92">
            <v>36979</v>
          </cell>
          <cell r="D92" t="str">
            <v>01-03-29</v>
          </cell>
          <cell r="E92">
            <v>24.75</v>
          </cell>
          <cell r="F92">
            <v>24.65</v>
          </cell>
          <cell r="G92">
            <v>24.7</v>
          </cell>
          <cell r="H92">
            <v>25.55</v>
          </cell>
          <cell r="I92">
            <v>25.45</v>
          </cell>
          <cell r="J92">
            <v>25.5</v>
          </cell>
          <cell r="K92">
            <v>285</v>
          </cell>
          <cell r="L92">
            <v>290</v>
          </cell>
          <cell r="M92">
            <v>287.5</v>
          </cell>
          <cell r="N92">
            <v>189.5</v>
          </cell>
          <cell r="O92">
            <v>190.5</v>
          </cell>
          <cell r="P92">
            <v>190</v>
          </cell>
          <cell r="Q92">
            <v>225.5</v>
          </cell>
          <cell r="R92">
            <v>226.5</v>
          </cell>
          <cell r="S92">
            <v>226</v>
          </cell>
          <cell r="T92">
            <v>122.5</v>
          </cell>
          <cell r="U92">
            <v>121.5</v>
          </cell>
          <cell r="V92">
            <v>122</v>
          </cell>
        </row>
        <row r="93">
          <cell r="C93">
            <v>36980</v>
          </cell>
          <cell r="D93" t="str">
            <v>01-03-30</v>
          </cell>
          <cell r="E93">
            <v>24.95</v>
          </cell>
          <cell r="F93">
            <v>24.85</v>
          </cell>
          <cell r="G93">
            <v>24.9</v>
          </cell>
          <cell r="H93">
            <v>25.65</v>
          </cell>
          <cell r="I93">
            <v>25.6</v>
          </cell>
          <cell r="J93">
            <v>25.625</v>
          </cell>
          <cell r="K93">
            <v>289</v>
          </cell>
          <cell r="L93">
            <v>294</v>
          </cell>
          <cell r="M93">
            <v>291.5</v>
          </cell>
          <cell r="N93">
            <v>189.5</v>
          </cell>
          <cell r="O93">
            <v>190.5</v>
          </cell>
          <cell r="P93">
            <v>190</v>
          </cell>
          <cell r="Q93">
            <v>223.75</v>
          </cell>
          <cell r="R93">
            <v>224.75</v>
          </cell>
          <cell r="S93">
            <v>224.25</v>
          </cell>
          <cell r="T93">
            <v>121.75</v>
          </cell>
          <cell r="U93">
            <v>121.5</v>
          </cell>
          <cell r="V93">
            <v>121.625</v>
          </cell>
        </row>
        <row r="94">
          <cell r="C94" t="str">
            <v/>
          </cell>
          <cell r="D94" t="str">
            <v>01-03-31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</row>
        <row r="95">
          <cell r="C95" t="str">
            <v/>
          </cell>
          <cell r="D95" t="str">
            <v>01-04-01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C96">
            <v>36983</v>
          </cell>
          <cell r="D96" t="str">
            <v>01-04-02</v>
          </cell>
          <cell r="E96">
            <v>25.05</v>
          </cell>
          <cell r="F96">
            <v>24.95</v>
          </cell>
          <cell r="G96">
            <v>25</v>
          </cell>
          <cell r="H96">
            <v>25.7</v>
          </cell>
          <cell r="I96">
            <v>25.6</v>
          </cell>
          <cell r="J96">
            <v>25.65</v>
          </cell>
          <cell r="K96">
            <v>286.5</v>
          </cell>
          <cell r="L96">
            <v>291.5</v>
          </cell>
          <cell r="M96">
            <v>289</v>
          </cell>
          <cell r="N96">
            <v>186.5</v>
          </cell>
          <cell r="O96">
            <v>187.5</v>
          </cell>
          <cell r="P96">
            <v>187</v>
          </cell>
          <cell r="Q96">
            <v>217.75</v>
          </cell>
          <cell r="R96">
            <v>218.75</v>
          </cell>
          <cell r="S96">
            <v>218.25</v>
          </cell>
          <cell r="T96">
            <v>121.5</v>
          </cell>
          <cell r="U96">
            <v>120.5</v>
          </cell>
          <cell r="V96">
            <v>121</v>
          </cell>
        </row>
        <row r="97">
          <cell r="C97">
            <v>36984</v>
          </cell>
          <cell r="D97" t="str">
            <v>01-04-03</v>
          </cell>
          <cell r="E97">
            <v>24.7</v>
          </cell>
          <cell r="F97">
            <v>24.6</v>
          </cell>
          <cell r="G97">
            <v>24.65</v>
          </cell>
          <cell r="H97">
            <v>25.05</v>
          </cell>
          <cell r="I97">
            <v>25</v>
          </cell>
          <cell r="J97">
            <v>25.024999999999999</v>
          </cell>
          <cell r="K97">
            <v>289</v>
          </cell>
          <cell r="L97">
            <v>294</v>
          </cell>
          <cell r="M97">
            <v>291.5</v>
          </cell>
          <cell r="N97">
            <v>182.5</v>
          </cell>
          <cell r="O97">
            <v>183.5</v>
          </cell>
          <cell r="P97">
            <v>183</v>
          </cell>
          <cell r="Q97">
            <v>211.25</v>
          </cell>
          <cell r="R97">
            <v>212.25</v>
          </cell>
          <cell r="S97">
            <v>211.75</v>
          </cell>
          <cell r="T97">
            <v>120</v>
          </cell>
          <cell r="U97">
            <v>119</v>
          </cell>
          <cell r="V97">
            <v>119.5</v>
          </cell>
        </row>
        <row r="98">
          <cell r="C98">
            <v>36985</v>
          </cell>
          <cell r="D98" t="str">
            <v>01-04-04</v>
          </cell>
          <cell r="E98">
            <v>25.65</v>
          </cell>
          <cell r="F98">
            <v>25.6</v>
          </cell>
          <cell r="G98">
            <v>25.625</v>
          </cell>
          <cell r="H98">
            <v>26.05</v>
          </cell>
          <cell r="I98">
            <v>26</v>
          </cell>
          <cell r="J98">
            <v>26.024999999999999</v>
          </cell>
          <cell r="K98">
            <v>306</v>
          </cell>
          <cell r="L98">
            <v>311</v>
          </cell>
          <cell r="M98">
            <v>308.5</v>
          </cell>
          <cell r="N98">
            <v>193</v>
          </cell>
          <cell r="O98">
            <v>194</v>
          </cell>
          <cell r="P98">
            <v>193.5</v>
          </cell>
          <cell r="Q98">
            <v>214.5</v>
          </cell>
          <cell r="R98">
            <v>215.5</v>
          </cell>
          <cell r="S98">
            <v>215</v>
          </cell>
          <cell r="T98">
            <v>123.5</v>
          </cell>
          <cell r="U98">
            <v>123</v>
          </cell>
          <cell r="V98">
            <v>123.25</v>
          </cell>
        </row>
        <row r="99">
          <cell r="C99">
            <v>36986</v>
          </cell>
          <cell r="D99" t="str">
            <v>01-04-05</v>
          </cell>
          <cell r="E99">
            <v>25.7</v>
          </cell>
          <cell r="F99">
            <v>25.6</v>
          </cell>
          <cell r="G99">
            <v>25.65</v>
          </cell>
          <cell r="H99">
            <v>26.1</v>
          </cell>
          <cell r="I99">
            <v>26.05</v>
          </cell>
          <cell r="J99">
            <v>26.074999999999999</v>
          </cell>
          <cell r="K99">
            <v>308</v>
          </cell>
          <cell r="L99">
            <v>313</v>
          </cell>
          <cell r="M99">
            <v>310.5</v>
          </cell>
          <cell r="N99">
            <v>198.75</v>
          </cell>
          <cell r="O99">
            <v>202.25</v>
          </cell>
          <cell r="P99">
            <v>200.5</v>
          </cell>
          <cell r="Q99">
            <v>218</v>
          </cell>
          <cell r="R99">
            <v>219</v>
          </cell>
          <cell r="S99">
            <v>218.5</v>
          </cell>
          <cell r="T99">
            <v>122.5</v>
          </cell>
          <cell r="U99">
            <v>121.5</v>
          </cell>
          <cell r="V99">
            <v>122</v>
          </cell>
        </row>
        <row r="100">
          <cell r="C100">
            <v>36987</v>
          </cell>
          <cell r="D100" t="str">
            <v>01-04-06</v>
          </cell>
          <cell r="E100">
            <v>25.7</v>
          </cell>
          <cell r="F100">
            <v>25.6</v>
          </cell>
          <cell r="G100">
            <v>25.65</v>
          </cell>
          <cell r="H100">
            <v>26</v>
          </cell>
          <cell r="I100">
            <v>25.9</v>
          </cell>
          <cell r="J100">
            <v>25.95</v>
          </cell>
          <cell r="K100">
            <v>305.5</v>
          </cell>
          <cell r="L100">
            <v>310.5</v>
          </cell>
          <cell r="M100">
            <v>308</v>
          </cell>
          <cell r="N100">
            <v>200.75</v>
          </cell>
          <cell r="O100">
            <v>203.75</v>
          </cell>
          <cell r="P100">
            <v>202.25</v>
          </cell>
          <cell r="Q100">
            <v>217.25</v>
          </cell>
          <cell r="R100">
            <v>218.25</v>
          </cell>
          <cell r="S100">
            <v>217.75</v>
          </cell>
          <cell r="T100">
            <v>123</v>
          </cell>
          <cell r="U100">
            <v>122.5</v>
          </cell>
          <cell r="V100">
            <v>122.75</v>
          </cell>
        </row>
        <row r="101">
          <cell r="C101" t="str">
            <v/>
          </cell>
          <cell r="D101" t="str">
            <v>01-04-07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2">
          <cell r="C102" t="str">
            <v/>
          </cell>
          <cell r="D102" t="str">
            <v>01-04-08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</row>
        <row r="103">
          <cell r="C103">
            <v>36990</v>
          </cell>
          <cell r="D103" t="str">
            <v>01-04-09</v>
          </cell>
          <cell r="E103">
            <v>25.8</v>
          </cell>
          <cell r="F103">
            <v>25.7</v>
          </cell>
          <cell r="G103">
            <v>25.75</v>
          </cell>
          <cell r="H103">
            <v>26.3</v>
          </cell>
          <cell r="I103">
            <v>26.2</v>
          </cell>
          <cell r="J103">
            <v>26.25</v>
          </cell>
          <cell r="K103">
            <v>308</v>
          </cell>
          <cell r="L103">
            <v>313</v>
          </cell>
          <cell r="M103">
            <v>310.5</v>
          </cell>
          <cell r="N103">
            <v>200.75</v>
          </cell>
          <cell r="O103">
            <v>201.75</v>
          </cell>
          <cell r="P103">
            <v>201.25</v>
          </cell>
          <cell r="Q103">
            <v>216.75</v>
          </cell>
          <cell r="R103">
            <v>217.75</v>
          </cell>
          <cell r="S103">
            <v>217.25</v>
          </cell>
          <cell r="T103">
            <v>122.5</v>
          </cell>
          <cell r="U103">
            <v>121.5</v>
          </cell>
          <cell r="V103">
            <v>122</v>
          </cell>
        </row>
        <row r="104">
          <cell r="C104">
            <v>36991</v>
          </cell>
          <cell r="D104" t="str">
            <v>01-04-10</v>
          </cell>
          <cell r="E104">
            <v>26.6</v>
          </cell>
          <cell r="F104">
            <v>26.5</v>
          </cell>
          <cell r="G104">
            <v>26.55</v>
          </cell>
          <cell r="H104">
            <v>27.25</v>
          </cell>
          <cell r="I104">
            <v>27.15</v>
          </cell>
          <cell r="J104">
            <v>27.2</v>
          </cell>
          <cell r="K104">
            <v>317.5</v>
          </cell>
          <cell r="L104">
            <v>322.5</v>
          </cell>
          <cell r="M104">
            <v>320</v>
          </cell>
          <cell r="N104">
            <v>206.75</v>
          </cell>
          <cell r="O104">
            <v>207.75</v>
          </cell>
          <cell r="P104">
            <v>207.25</v>
          </cell>
          <cell r="Q104">
            <v>223.5</v>
          </cell>
          <cell r="R104">
            <v>224.5</v>
          </cell>
          <cell r="S104">
            <v>224</v>
          </cell>
          <cell r="T104">
            <v>125</v>
          </cell>
          <cell r="U104">
            <v>124.75</v>
          </cell>
          <cell r="V104">
            <v>124.875</v>
          </cell>
        </row>
        <row r="105">
          <cell r="C105">
            <v>36992</v>
          </cell>
          <cell r="D105" t="str">
            <v>01-04-11</v>
          </cell>
          <cell r="E105">
            <v>27.75</v>
          </cell>
          <cell r="F105">
            <v>27.65</v>
          </cell>
          <cell r="G105">
            <v>27.7</v>
          </cell>
          <cell r="H105">
            <v>28.3</v>
          </cell>
          <cell r="I105">
            <v>28.25</v>
          </cell>
          <cell r="J105">
            <v>28.274999999999999</v>
          </cell>
          <cell r="K105">
            <v>324.5</v>
          </cell>
          <cell r="L105">
            <v>329.5</v>
          </cell>
          <cell r="M105">
            <v>327</v>
          </cell>
          <cell r="N105">
            <v>213</v>
          </cell>
          <cell r="O105">
            <v>214</v>
          </cell>
          <cell r="P105">
            <v>213.5</v>
          </cell>
          <cell r="Q105">
            <v>227.75</v>
          </cell>
          <cell r="R105">
            <v>228.75</v>
          </cell>
          <cell r="S105">
            <v>228.25</v>
          </cell>
          <cell r="T105">
            <v>127</v>
          </cell>
          <cell r="U105">
            <v>126</v>
          </cell>
          <cell r="V105">
            <v>126.5</v>
          </cell>
        </row>
        <row r="106">
          <cell r="C106">
            <v>36993</v>
          </cell>
          <cell r="D106" t="str">
            <v>01-04-12</v>
          </cell>
          <cell r="E106">
            <v>29</v>
          </cell>
          <cell r="F106">
            <v>28.9</v>
          </cell>
          <cell r="G106">
            <v>28.95</v>
          </cell>
          <cell r="H106">
            <v>29.2</v>
          </cell>
          <cell r="I106">
            <v>29.15</v>
          </cell>
          <cell r="J106">
            <v>29.175000000000001</v>
          </cell>
          <cell r="K106">
            <v>328.5</v>
          </cell>
          <cell r="L106">
            <v>333.5</v>
          </cell>
          <cell r="M106">
            <v>331</v>
          </cell>
          <cell r="N106">
            <v>214.5</v>
          </cell>
          <cell r="O106">
            <v>215.5</v>
          </cell>
          <cell r="P106">
            <v>215</v>
          </cell>
          <cell r="Q106">
            <v>233.5</v>
          </cell>
          <cell r="R106">
            <v>234.5</v>
          </cell>
          <cell r="S106">
            <v>234</v>
          </cell>
          <cell r="T106">
            <v>126.75</v>
          </cell>
          <cell r="U106">
            <v>126.5</v>
          </cell>
          <cell r="V106">
            <v>126.625</v>
          </cell>
        </row>
        <row r="107">
          <cell r="C107" t="str">
            <v/>
          </cell>
          <cell r="D107" t="str">
            <v>01-04-13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C108" t="str">
            <v/>
          </cell>
          <cell r="D108" t="str">
            <v>01-04-14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</row>
        <row r="109">
          <cell r="C109" t="str">
            <v/>
          </cell>
          <cell r="D109" t="str">
            <v>01-04-15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</row>
        <row r="110">
          <cell r="C110">
            <v>36997</v>
          </cell>
          <cell r="D110" t="str">
            <v>01-04-16</v>
          </cell>
          <cell r="E110">
            <v>29.15</v>
          </cell>
          <cell r="F110">
            <v>29.05</v>
          </cell>
          <cell r="G110">
            <v>29.1</v>
          </cell>
          <cell r="H110">
            <v>29.45</v>
          </cell>
          <cell r="I110">
            <v>29.4</v>
          </cell>
          <cell r="J110">
            <v>29.425000000000001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127</v>
          </cell>
          <cell r="U110">
            <v>126</v>
          </cell>
          <cell r="V110">
            <v>126.5</v>
          </cell>
        </row>
        <row r="111">
          <cell r="C111">
            <v>36998</v>
          </cell>
          <cell r="D111" t="str">
            <v>01-04-17</v>
          </cell>
          <cell r="E111">
            <v>30.35</v>
          </cell>
          <cell r="F111">
            <v>30.3</v>
          </cell>
          <cell r="G111">
            <v>30.324999999999999</v>
          </cell>
          <cell r="H111">
            <v>30.6</v>
          </cell>
          <cell r="I111">
            <v>30.5</v>
          </cell>
          <cell r="J111">
            <v>30.55</v>
          </cell>
          <cell r="K111">
            <v>332.5</v>
          </cell>
          <cell r="L111">
            <v>337.5</v>
          </cell>
          <cell r="M111">
            <v>335</v>
          </cell>
          <cell r="N111">
            <v>220</v>
          </cell>
          <cell r="O111">
            <v>221</v>
          </cell>
          <cell r="P111">
            <v>220.5</v>
          </cell>
          <cell r="Q111">
            <v>240</v>
          </cell>
          <cell r="R111">
            <v>241</v>
          </cell>
          <cell r="S111">
            <v>240.5</v>
          </cell>
          <cell r="T111">
            <v>130.5</v>
          </cell>
          <cell r="U111">
            <v>129.5</v>
          </cell>
          <cell r="V111">
            <v>130</v>
          </cell>
        </row>
        <row r="112">
          <cell r="C112">
            <v>36999</v>
          </cell>
          <cell r="D112" t="str">
            <v>01-04-18</v>
          </cell>
          <cell r="E112">
            <v>28.75</v>
          </cell>
          <cell r="F112">
            <v>28.65</v>
          </cell>
          <cell r="G112">
            <v>28.7</v>
          </cell>
          <cell r="H112">
            <v>29.35</v>
          </cell>
          <cell r="I112">
            <v>29.25</v>
          </cell>
          <cell r="J112">
            <v>29.3</v>
          </cell>
          <cell r="K112">
            <v>330</v>
          </cell>
          <cell r="L112">
            <v>335</v>
          </cell>
          <cell r="M112">
            <v>332.5</v>
          </cell>
          <cell r="N112">
            <v>215</v>
          </cell>
          <cell r="O112">
            <v>216</v>
          </cell>
          <cell r="P112">
            <v>215.5</v>
          </cell>
          <cell r="Q112">
            <v>231.75</v>
          </cell>
          <cell r="R112">
            <v>232.75</v>
          </cell>
          <cell r="S112">
            <v>232.25</v>
          </cell>
          <cell r="T112">
            <v>129.5</v>
          </cell>
          <cell r="U112">
            <v>128.5</v>
          </cell>
          <cell r="V112">
            <v>129</v>
          </cell>
        </row>
        <row r="113">
          <cell r="C113">
            <v>37000</v>
          </cell>
          <cell r="D113" t="str">
            <v>01-04-19</v>
          </cell>
          <cell r="E113">
            <v>28.3</v>
          </cell>
          <cell r="F113">
            <v>28.2</v>
          </cell>
          <cell r="G113">
            <v>28.25</v>
          </cell>
          <cell r="H113">
            <v>29.25</v>
          </cell>
          <cell r="I113">
            <v>29.2</v>
          </cell>
          <cell r="J113">
            <v>29.225000000000001</v>
          </cell>
          <cell r="K113">
            <v>332</v>
          </cell>
          <cell r="L113">
            <v>337</v>
          </cell>
          <cell r="M113">
            <v>334.5</v>
          </cell>
          <cell r="N113">
            <v>215.75</v>
          </cell>
          <cell r="O113">
            <v>216.75</v>
          </cell>
          <cell r="P113">
            <v>216.25</v>
          </cell>
          <cell r="Q113">
            <v>233.75</v>
          </cell>
          <cell r="R113">
            <v>234.75</v>
          </cell>
          <cell r="S113">
            <v>234.25</v>
          </cell>
          <cell r="T113">
            <v>133</v>
          </cell>
          <cell r="U113">
            <v>132.5</v>
          </cell>
          <cell r="V113">
            <v>132.75</v>
          </cell>
        </row>
        <row r="114">
          <cell r="C114">
            <v>37001</v>
          </cell>
          <cell r="D114" t="str">
            <v>01-04-20</v>
          </cell>
          <cell r="E114">
            <v>28.45</v>
          </cell>
          <cell r="F114">
            <v>28.4</v>
          </cell>
          <cell r="G114">
            <v>28.425000000000001</v>
          </cell>
          <cell r="H114">
            <v>29</v>
          </cell>
          <cell r="I114">
            <v>28.9</v>
          </cell>
          <cell r="J114">
            <v>28.95</v>
          </cell>
          <cell r="K114">
            <v>334.5</v>
          </cell>
          <cell r="L114">
            <v>339.5</v>
          </cell>
          <cell r="M114">
            <v>337</v>
          </cell>
          <cell r="N114">
            <v>215.25</v>
          </cell>
          <cell r="O114">
            <v>216.25</v>
          </cell>
          <cell r="P114">
            <v>215.75</v>
          </cell>
          <cell r="Q114">
            <v>233.25</v>
          </cell>
          <cell r="R114">
            <v>234.25</v>
          </cell>
          <cell r="S114">
            <v>233.75</v>
          </cell>
          <cell r="T114">
            <v>136</v>
          </cell>
          <cell r="U114">
            <v>135</v>
          </cell>
          <cell r="V114">
            <v>135.5</v>
          </cell>
        </row>
        <row r="115">
          <cell r="C115" t="str">
            <v/>
          </cell>
          <cell r="D115" t="str">
            <v>01-04-21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</row>
        <row r="116">
          <cell r="C116" t="str">
            <v/>
          </cell>
          <cell r="D116" t="str">
            <v>01-04-22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</row>
        <row r="117">
          <cell r="C117">
            <v>37004</v>
          </cell>
          <cell r="D117" t="str">
            <v>01-04-23</v>
          </cell>
          <cell r="E117">
            <v>27.95</v>
          </cell>
          <cell r="F117">
            <v>27.9</v>
          </cell>
          <cell r="G117">
            <v>27.925000000000001</v>
          </cell>
          <cell r="H117">
            <v>28.4</v>
          </cell>
          <cell r="I117">
            <v>28.3</v>
          </cell>
          <cell r="J117">
            <v>28.35</v>
          </cell>
          <cell r="K117">
            <v>337</v>
          </cell>
          <cell r="L117">
            <v>342</v>
          </cell>
          <cell r="M117">
            <v>339.5</v>
          </cell>
          <cell r="N117">
            <v>213.25</v>
          </cell>
          <cell r="O117">
            <v>214.25</v>
          </cell>
          <cell r="P117">
            <v>213.75</v>
          </cell>
          <cell r="Q117">
            <v>231.25</v>
          </cell>
          <cell r="R117">
            <v>232.25</v>
          </cell>
          <cell r="S117">
            <v>231.75</v>
          </cell>
          <cell r="T117">
            <v>136.5</v>
          </cell>
          <cell r="U117">
            <v>136</v>
          </cell>
          <cell r="V117">
            <v>136.25</v>
          </cell>
        </row>
        <row r="118">
          <cell r="C118">
            <v>37005</v>
          </cell>
          <cell r="D118" t="str">
            <v>01-04-24</v>
          </cell>
          <cell r="E118">
            <v>28.1</v>
          </cell>
          <cell r="F118">
            <v>28</v>
          </cell>
          <cell r="G118">
            <v>28.05</v>
          </cell>
          <cell r="H118">
            <v>28.75</v>
          </cell>
          <cell r="I118">
            <v>28.65</v>
          </cell>
          <cell r="J118">
            <v>28.7</v>
          </cell>
          <cell r="K118">
            <v>341.5</v>
          </cell>
          <cell r="L118">
            <v>346.5</v>
          </cell>
          <cell r="M118">
            <v>344</v>
          </cell>
          <cell r="N118">
            <v>213.5</v>
          </cell>
          <cell r="O118">
            <v>214.5</v>
          </cell>
          <cell r="P118">
            <v>214</v>
          </cell>
          <cell r="Q118">
            <v>231.5</v>
          </cell>
          <cell r="R118">
            <v>232.5</v>
          </cell>
          <cell r="S118">
            <v>232</v>
          </cell>
          <cell r="T118">
            <v>137.5</v>
          </cell>
          <cell r="U118">
            <v>136.5</v>
          </cell>
          <cell r="V118">
            <v>137</v>
          </cell>
        </row>
        <row r="119">
          <cell r="C119">
            <v>37006</v>
          </cell>
          <cell r="D119" t="str">
            <v>01-04-25</v>
          </cell>
          <cell r="E119">
            <v>27.65</v>
          </cell>
          <cell r="F119">
            <v>27.55</v>
          </cell>
          <cell r="G119">
            <v>27.6</v>
          </cell>
          <cell r="H119">
            <v>27.95</v>
          </cell>
          <cell r="I119">
            <v>27.85</v>
          </cell>
          <cell r="J119">
            <v>27.9</v>
          </cell>
          <cell r="K119">
            <v>328.5</v>
          </cell>
          <cell r="L119">
            <v>333.5</v>
          </cell>
          <cell r="M119">
            <v>331</v>
          </cell>
          <cell r="N119">
            <v>210.25</v>
          </cell>
          <cell r="O119">
            <v>211.25</v>
          </cell>
          <cell r="P119">
            <v>210.75</v>
          </cell>
          <cell r="Q119">
            <v>227.25</v>
          </cell>
          <cell r="R119">
            <v>228.25</v>
          </cell>
          <cell r="S119">
            <v>227.75</v>
          </cell>
          <cell r="T119">
            <v>135.5</v>
          </cell>
          <cell r="U119">
            <v>135</v>
          </cell>
          <cell r="V119">
            <v>135.25</v>
          </cell>
        </row>
        <row r="120">
          <cell r="C120">
            <v>37007</v>
          </cell>
          <cell r="D120" t="str">
            <v>01-04-26</v>
          </cell>
          <cell r="E120">
            <v>28.15</v>
          </cell>
          <cell r="F120">
            <v>28.1</v>
          </cell>
          <cell r="G120">
            <v>28.125</v>
          </cell>
          <cell r="H120">
            <v>28.2</v>
          </cell>
          <cell r="I120">
            <v>28.1</v>
          </cell>
          <cell r="J120">
            <v>28.15</v>
          </cell>
          <cell r="K120">
            <v>330.5</v>
          </cell>
          <cell r="L120">
            <v>334.5</v>
          </cell>
          <cell r="M120">
            <v>332.5</v>
          </cell>
          <cell r="N120">
            <v>215.5</v>
          </cell>
          <cell r="O120">
            <v>216.5</v>
          </cell>
          <cell r="P120">
            <v>216</v>
          </cell>
          <cell r="Q120">
            <v>233.5</v>
          </cell>
          <cell r="R120">
            <v>234.5</v>
          </cell>
          <cell r="S120">
            <v>234</v>
          </cell>
          <cell r="T120">
            <v>136.75</v>
          </cell>
          <cell r="U120">
            <v>136.5</v>
          </cell>
          <cell r="V120">
            <v>136.625</v>
          </cell>
        </row>
        <row r="121">
          <cell r="C121">
            <v>37008</v>
          </cell>
          <cell r="D121" t="str">
            <v>01-04-27</v>
          </cell>
          <cell r="E121">
            <v>28.25</v>
          </cell>
          <cell r="F121">
            <v>28.2</v>
          </cell>
          <cell r="G121">
            <v>28.225000000000001</v>
          </cell>
          <cell r="H121">
            <v>28.3</v>
          </cell>
          <cell r="I121">
            <v>28.2</v>
          </cell>
          <cell r="J121">
            <v>28.25</v>
          </cell>
          <cell r="K121">
            <v>338.5</v>
          </cell>
          <cell r="L121">
            <v>340.5</v>
          </cell>
          <cell r="M121">
            <v>339.5</v>
          </cell>
          <cell r="N121">
            <v>216.75</v>
          </cell>
          <cell r="O121">
            <v>217.75</v>
          </cell>
          <cell r="P121">
            <v>217.25</v>
          </cell>
          <cell r="Q121">
            <v>235.75</v>
          </cell>
          <cell r="R121">
            <v>236.75</v>
          </cell>
          <cell r="S121">
            <v>236.25</v>
          </cell>
          <cell r="T121">
            <v>140</v>
          </cell>
          <cell r="U121">
            <v>139</v>
          </cell>
          <cell r="V121">
            <v>139.5</v>
          </cell>
        </row>
        <row r="122">
          <cell r="C122" t="str">
            <v/>
          </cell>
          <cell r="D122" t="str">
            <v>01-04-28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</row>
        <row r="123">
          <cell r="C123" t="str">
            <v/>
          </cell>
          <cell r="D123" t="str">
            <v>01-04-29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</row>
        <row r="124">
          <cell r="C124">
            <v>37011</v>
          </cell>
          <cell r="D124" t="str">
            <v>01-04-30</v>
          </cell>
          <cell r="E124">
            <v>28.45</v>
          </cell>
          <cell r="F124">
            <v>28.4</v>
          </cell>
          <cell r="G124">
            <v>28.425000000000001</v>
          </cell>
          <cell r="H124">
            <v>28.6</v>
          </cell>
          <cell r="I124">
            <v>28.5</v>
          </cell>
          <cell r="J124">
            <v>28.55</v>
          </cell>
          <cell r="K124">
            <v>348.5</v>
          </cell>
          <cell r="L124">
            <v>349.5</v>
          </cell>
          <cell r="M124">
            <v>349</v>
          </cell>
          <cell r="N124">
            <v>218</v>
          </cell>
          <cell r="O124">
            <v>221.5</v>
          </cell>
          <cell r="P124">
            <v>219.75</v>
          </cell>
          <cell r="Q124">
            <v>237</v>
          </cell>
          <cell r="R124">
            <v>238</v>
          </cell>
          <cell r="S124">
            <v>237.5</v>
          </cell>
          <cell r="T124">
            <v>140</v>
          </cell>
          <cell r="U124">
            <v>139.75</v>
          </cell>
          <cell r="V124">
            <v>139.875</v>
          </cell>
        </row>
        <row r="125">
          <cell r="C125">
            <v>37012</v>
          </cell>
          <cell r="D125" t="str">
            <v>01-05-01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352.5</v>
          </cell>
          <cell r="L125">
            <v>353.5</v>
          </cell>
          <cell r="M125">
            <v>353</v>
          </cell>
          <cell r="N125">
            <v>214.25</v>
          </cell>
          <cell r="O125">
            <v>217.75</v>
          </cell>
          <cell r="P125">
            <v>216</v>
          </cell>
          <cell r="Q125">
            <v>233.25</v>
          </cell>
          <cell r="R125">
            <v>234.25</v>
          </cell>
          <cell r="S125">
            <v>233.75</v>
          </cell>
          <cell r="T125">
            <v>0</v>
          </cell>
          <cell r="U125">
            <v>0</v>
          </cell>
          <cell r="V125">
            <v>0</v>
          </cell>
        </row>
        <row r="126">
          <cell r="C126">
            <v>37013</v>
          </cell>
          <cell r="D126" t="str">
            <v>01-05-02</v>
          </cell>
          <cell r="E126">
            <v>28</v>
          </cell>
          <cell r="F126">
            <v>27.95</v>
          </cell>
          <cell r="G126">
            <v>27.975000000000001</v>
          </cell>
          <cell r="H126">
            <v>28.15</v>
          </cell>
          <cell r="I126">
            <v>28.1</v>
          </cell>
          <cell r="J126">
            <v>28.125</v>
          </cell>
          <cell r="K126">
            <v>342.5</v>
          </cell>
          <cell r="L126">
            <v>348.5</v>
          </cell>
          <cell r="M126">
            <v>345.5</v>
          </cell>
          <cell r="N126">
            <v>211</v>
          </cell>
          <cell r="O126">
            <v>215.5</v>
          </cell>
          <cell r="P126">
            <v>213.25</v>
          </cell>
          <cell r="Q126">
            <v>232.25</v>
          </cell>
          <cell r="R126">
            <v>233.25</v>
          </cell>
          <cell r="S126">
            <v>232.75</v>
          </cell>
          <cell r="T126">
            <v>141.25</v>
          </cell>
          <cell r="U126">
            <v>141</v>
          </cell>
          <cell r="V126">
            <v>141.125</v>
          </cell>
        </row>
        <row r="127">
          <cell r="C127">
            <v>37014</v>
          </cell>
          <cell r="D127" t="str">
            <v>01-05-03</v>
          </cell>
          <cell r="E127">
            <v>28.35</v>
          </cell>
          <cell r="F127">
            <v>28.3</v>
          </cell>
          <cell r="G127">
            <v>28.324999999999999</v>
          </cell>
          <cell r="H127">
            <v>28.05</v>
          </cell>
          <cell r="I127">
            <v>28</v>
          </cell>
          <cell r="J127">
            <v>28.024999999999999</v>
          </cell>
          <cell r="K127">
            <v>343.5</v>
          </cell>
          <cell r="L127">
            <v>349.5</v>
          </cell>
          <cell r="M127">
            <v>346.5</v>
          </cell>
          <cell r="N127">
            <v>210.5</v>
          </cell>
          <cell r="O127">
            <v>212</v>
          </cell>
          <cell r="P127">
            <v>211.25</v>
          </cell>
          <cell r="Q127">
            <v>234</v>
          </cell>
          <cell r="R127">
            <v>235</v>
          </cell>
          <cell r="S127">
            <v>234.5</v>
          </cell>
          <cell r="T127">
            <v>141.75</v>
          </cell>
          <cell r="U127">
            <v>141.5</v>
          </cell>
          <cell r="V127">
            <v>141.625</v>
          </cell>
        </row>
        <row r="128">
          <cell r="C128">
            <v>37015</v>
          </cell>
          <cell r="D128" t="str">
            <v>01-05-04</v>
          </cell>
          <cell r="E128">
            <v>29.65</v>
          </cell>
          <cell r="F128">
            <v>29.6</v>
          </cell>
          <cell r="G128">
            <v>29.625</v>
          </cell>
          <cell r="H128">
            <v>29.25</v>
          </cell>
          <cell r="I128">
            <v>29.15</v>
          </cell>
          <cell r="J128">
            <v>29.2</v>
          </cell>
          <cell r="K128">
            <v>356.5</v>
          </cell>
          <cell r="L128">
            <v>362.5</v>
          </cell>
          <cell r="M128">
            <v>359.5</v>
          </cell>
          <cell r="N128">
            <v>211.75</v>
          </cell>
          <cell r="O128">
            <v>214.75</v>
          </cell>
          <cell r="P128">
            <v>213.25</v>
          </cell>
          <cell r="Q128">
            <v>241.25</v>
          </cell>
          <cell r="R128">
            <v>242.25</v>
          </cell>
          <cell r="S128">
            <v>241.75</v>
          </cell>
          <cell r="T128">
            <v>146</v>
          </cell>
          <cell r="U128">
            <v>145.75</v>
          </cell>
          <cell r="V128">
            <v>145.875</v>
          </cell>
        </row>
        <row r="129">
          <cell r="C129" t="str">
            <v/>
          </cell>
          <cell r="D129" t="str">
            <v>01-05-05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</row>
        <row r="130">
          <cell r="C130" t="str">
            <v/>
          </cell>
          <cell r="D130" t="str">
            <v>01-05-06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</row>
        <row r="131">
          <cell r="C131" t="str">
            <v/>
          </cell>
          <cell r="D131" t="str">
            <v>01-05-07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</row>
        <row r="132">
          <cell r="C132">
            <v>37019</v>
          </cell>
          <cell r="D132" t="str">
            <v>01-05-08</v>
          </cell>
          <cell r="E132">
            <v>29.4</v>
          </cell>
          <cell r="F132">
            <v>29.35</v>
          </cell>
          <cell r="G132">
            <v>29.375</v>
          </cell>
          <cell r="H132">
            <v>29.05</v>
          </cell>
          <cell r="I132">
            <v>29</v>
          </cell>
          <cell r="J132">
            <v>29.024999999999999</v>
          </cell>
          <cell r="K132">
            <v>354.5</v>
          </cell>
          <cell r="L132">
            <v>359.5</v>
          </cell>
          <cell r="M132">
            <v>357</v>
          </cell>
          <cell r="N132">
            <v>207.75</v>
          </cell>
          <cell r="O132">
            <v>211.25</v>
          </cell>
          <cell r="P132">
            <v>209.5</v>
          </cell>
          <cell r="Q132">
            <v>238</v>
          </cell>
          <cell r="R132">
            <v>239</v>
          </cell>
          <cell r="S132">
            <v>238.5</v>
          </cell>
          <cell r="T132">
            <v>144.5</v>
          </cell>
          <cell r="U132">
            <v>143.5</v>
          </cell>
          <cell r="V132">
            <v>144</v>
          </cell>
        </row>
        <row r="133">
          <cell r="C133">
            <v>37020</v>
          </cell>
          <cell r="D133" t="str">
            <v>01-05-09</v>
          </cell>
          <cell r="E133">
            <v>29.3</v>
          </cell>
          <cell r="F133">
            <v>29.2</v>
          </cell>
          <cell r="G133">
            <v>29.25</v>
          </cell>
          <cell r="H133">
            <v>28.9</v>
          </cell>
          <cell r="I133">
            <v>28.8</v>
          </cell>
          <cell r="J133">
            <v>28.85</v>
          </cell>
          <cell r="K133">
            <v>354.5</v>
          </cell>
          <cell r="L133">
            <v>359.5</v>
          </cell>
          <cell r="M133">
            <v>357</v>
          </cell>
          <cell r="N133">
            <v>205.5</v>
          </cell>
          <cell r="O133">
            <v>207.5</v>
          </cell>
          <cell r="P133">
            <v>206.5</v>
          </cell>
          <cell r="Q133">
            <v>236.75</v>
          </cell>
          <cell r="R133">
            <v>237.75</v>
          </cell>
          <cell r="S133">
            <v>237.25</v>
          </cell>
          <cell r="T133">
            <v>143.5</v>
          </cell>
          <cell r="U133">
            <v>143</v>
          </cell>
          <cell r="V133">
            <v>143.25</v>
          </cell>
        </row>
        <row r="134">
          <cell r="C134">
            <v>37021</v>
          </cell>
          <cell r="D134" t="str">
            <v>01-05-10</v>
          </cell>
          <cell r="E134">
            <v>29.15</v>
          </cell>
          <cell r="F134">
            <v>29.05</v>
          </cell>
          <cell r="G134">
            <v>29.1</v>
          </cell>
          <cell r="H134">
            <v>28.75</v>
          </cell>
          <cell r="I134">
            <v>28.7</v>
          </cell>
          <cell r="J134">
            <v>28.725000000000001</v>
          </cell>
          <cell r="K134">
            <v>362.5</v>
          </cell>
          <cell r="L134">
            <v>371.5</v>
          </cell>
          <cell r="M134">
            <v>367</v>
          </cell>
          <cell r="N134">
            <v>206.5</v>
          </cell>
          <cell r="O134">
            <v>211</v>
          </cell>
          <cell r="P134">
            <v>208.75</v>
          </cell>
          <cell r="Q134">
            <v>239.75</v>
          </cell>
          <cell r="R134">
            <v>240.75</v>
          </cell>
          <cell r="S134">
            <v>240.25</v>
          </cell>
          <cell r="T134">
            <v>141.80000000000001</v>
          </cell>
          <cell r="U134">
            <v>141</v>
          </cell>
          <cell r="V134">
            <v>141.4</v>
          </cell>
        </row>
        <row r="135">
          <cell r="C135">
            <v>37022</v>
          </cell>
          <cell r="D135" t="str">
            <v>01-05-11</v>
          </cell>
          <cell r="E135">
            <v>28.55</v>
          </cell>
          <cell r="F135">
            <v>28.45</v>
          </cell>
          <cell r="G135">
            <v>28.5</v>
          </cell>
          <cell r="H135">
            <v>28.2</v>
          </cell>
          <cell r="I135">
            <v>28.1</v>
          </cell>
          <cell r="J135">
            <v>28.15</v>
          </cell>
          <cell r="K135">
            <v>365.5</v>
          </cell>
          <cell r="L135">
            <v>372.5</v>
          </cell>
          <cell r="M135">
            <v>369</v>
          </cell>
          <cell r="N135">
            <v>205.75</v>
          </cell>
          <cell r="O135">
            <v>209.25</v>
          </cell>
          <cell r="P135">
            <v>207.5</v>
          </cell>
          <cell r="Q135">
            <v>238</v>
          </cell>
          <cell r="R135">
            <v>239</v>
          </cell>
          <cell r="S135">
            <v>238.5</v>
          </cell>
          <cell r="T135">
            <v>139.5</v>
          </cell>
          <cell r="U135">
            <v>139</v>
          </cell>
          <cell r="V135">
            <v>139.25</v>
          </cell>
        </row>
        <row r="136">
          <cell r="C136" t="str">
            <v/>
          </cell>
          <cell r="D136" t="str">
            <v>01-05-12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</row>
        <row r="137">
          <cell r="C137" t="str">
            <v/>
          </cell>
          <cell r="D137" t="str">
            <v>01-05-13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</row>
        <row r="138">
          <cell r="C138">
            <v>37025</v>
          </cell>
          <cell r="D138" t="str">
            <v>01-05-14</v>
          </cell>
          <cell r="E138">
            <v>28.1</v>
          </cell>
          <cell r="F138">
            <v>28.05</v>
          </cell>
          <cell r="G138">
            <v>28.074999999999999</v>
          </cell>
          <cell r="H138">
            <v>28.2</v>
          </cell>
          <cell r="I138">
            <v>28.15</v>
          </cell>
          <cell r="J138">
            <v>28.175000000000001</v>
          </cell>
          <cell r="K138">
            <v>355.5</v>
          </cell>
          <cell r="L138">
            <v>370.5</v>
          </cell>
          <cell r="M138">
            <v>363</v>
          </cell>
          <cell r="N138">
            <v>202.75</v>
          </cell>
          <cell r="O138">
            <v>205.75</v>
          </cell>
          <cell r="P138">
            <v>204.25</v>
          </cell>
          <cell r="Q138">
            <v>235</v>
          </cell>
          <cell r="R138">
            <v>236</v>
          </cell>
          <cell r="S138">
            <v>235.5</v>
          </cell>
          <cell r="T138">
            <v>141.5</v>
          </cell>
          <cell r="U138">
            <v>140.5</v>
          </cell>
          <cell r="V138">
            <v>141</v>
          </cell>
        </row>
        <row r="139">
          <cell r="C139">
            <v>37026</v>
          </cell>
          <cell r="D139" t="str">
            <v>01-05-15</v>
          </cell>
          <cell r="E139">
            <v>28</v>
          </cell>
          <cell r="F139">
            <v>27.95</v>
          </cell>
          <cell r="G139">
            <v>27.975000000000001</v>
          </cell>
          <cell r="H139">
            <v>28</v>
          </cell>
          <cell r="I139">
            <v>27.95</v>
          </cell>
          <cell r="J139">
            <v>27.975000000000001</v>
          </cell>
          <cell r="K139">
            <v>349.5</v>
          </cell>
          <cell r="L139">
            <v>355.5</v>
          </cell>
          <cell r="M139">
            <v>352.5</v>
          </cell>
          <cell r="N139">
            <v>203.25</v>
          </cell>
          <cell r="O139">
            <v>206.25</v>
          </cell>
          <cell r="P139">
            <v>204.75</v>
          </cell>
          <cell r="Q139">
            <v>235.5</v>
          </cell>
          <cell r="R139">
            <v>236.5</v>
          </cell>
          <cell r="S139">
            <v>236</v>
          </cell>
          <cell r="T139">
            <v>142.80000000000001</v>
          </cell>
          <cell r="U139">
            <v>142</v>
          </cell>
          <cell r="V139">
            <v>142.4</v>
          </cell>
        </row>
        <row r="140">
          <cell r="C140">
            <v>37027</v>
          </cell>
          <cell r="D140" t="str">
            <v>01-05-16</v>
          </cell>
          <cell r="E140">
            <v>28.25</v>
          </cell>
          <cell r="F140">
            <v>28.2</v>
          </cell>
          <cell r="G140">
            <v>28.225000000000001</v>
          </cell>
          <cell r="H140">
            <v>28.1</v>
          </cell>
          <cell r="I140">
            <v>28</v>
          </cell>
          <cell r="J140">
            <v>28.05</v>
          </cell>
          <cell r="K140">
            <v>340.5</v>
          </cell>
          <cell r="L140">
            <v>346.5</v>
          </cell>
          <cell r="M140">
            <v>343.5</v>
          </cell>
          <cell r="N140">
            <v>207.75</v>
          </cell>
          <cell r="O140">
            <v>209.75</v>
          </cell>
          <cell r="P140">
            <v>208.75</v>
          </cell>
          <cell r="Q140">
            <v>238.25</v>
          </cell>
          <cell r="R140">
            <v>239.25</v>
          </cell>
          <cell r="S140">
            <v>238.75</v>
          </cell>
          <cell r="T140">
            <v>143.75</v>
          </cell>
          <cell r="U140">
            <v>143.5</v>
          </cell>
          <cell r="V140">
            <v>143.625</v>
          </cell>
        </row>
        <row r="141">
          <cell r="C141">
            <v>37028</v>
          </cell>
          <cell r="D141" t="str">
            <v>01-05-17</v>
          </cell>
          <cell r="E141">
            <v>28.45</v>
          </cell>
          <cell r="F141">
            <v>28.35</v>
          </cell>
          <cell r="G141">
            <v>28.4</v>
          </cell>
          <cell r="H141">
            <v>28.05</v>
          </cell>
          <cell r="I141">
            <v>28</v>
          </cell>
          <cell r="J141">
            <v>28.024999999999999</v>
          </cell>
          <cell r="K141">
            <v>339.5</v>
          </cell>
          <cell r="L141">
            <v>343.5</v>
          </cell>
          <cell r="M141">
            <v>341.5</v>
          </cell>
          <cell r="N141">
            <v>210</v>
          </cell>
          <cell r="O141">
            <v>212</v>
          </cell>
          <cell r="P141">
            <v>211</v>
          </cell>
          <cell r="Q141">
            <v>241</v>
          </cell>
          <cell r="R141">
            <v>242</v>
          </cell>
          <cell r="S141">
            <v>241.5</v>
          </cell>
          <cell r="T141">
            <v>144</v>
          </cell>
          <cell r="U141">
            <v>143.5</v>
          </cell>
          <cell r="V141">
            <v>143.75</v>
          </cell>
        </row>
        <row r="142">
          <cell r="C142">
            <v>37029</v>
          </cell>
          <cell r="D142" t="str">
            <v>01-05-18</v>
          </cell>
          <cell r="E142">
            <v>28.85</v>
          </cell>
          <cell r="F142">
            <v>28.8</v>
          </cell>
          <cell r="G142">
            <v>28.824999999999999</v>
          </cell>
          <cell r="H142">
            <v>28.25</v>
          </cell>
          <cell r="I142">
            <v>28.2</v>
          </cell>
          <cell r="J142">
            <v>28.225000000000001</v>
          </cell>
          <cell r="K142">
            <v>343.5</v>
          </cell>
          <cell r="L142">
            <v>347.5</v>
          </cell>
          <cell r="M142">
            <v>345.5</v>
          </cell>
          <cell r="N142">
            <v>216</v>
          </cell>
          <cell r="O142">
            <v>218</v>
          </cell>
          <cell r="P142">
            <v>217</v>
          </cell>
          <cell r="Q142">
            <v>249</v>
          </cell>
          <cell r="R142">
            <v>250</v>
          </cell>
          <cell r="S142">
            <v>249.5</v>
          </cell>
          <cell r="T142">
            <v>145</v>
          </cell>
          <cell r="U142">
            <v>144</v>
          </cell>
          <cell r="V142">
            <v>144.5</v>
          </cell>
        </row>
        <row r="143">
          <cell r="C143" t="str">
            <v/>
          </cell>
          <cell r="D143" t="str">
            <v>01-05-19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</row>
        <row r="144">
          <cell r="C144" t="str">
            <v/>
          </cell>
          <cell r="D144" t="str">
            <v>01-05-20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</row>
        <row r="145">
          <cell r="C145">
            <v>37032</v>
          </cell>
          <cell r="D145" t="str">
            <v>01-05-21</v>
          </cell>
          <cell r="E145">
            <v>29.35</v>
          </cell>
          <cell r="F145">
            <v>29.25</v>
          </cell>
          <cell r="G145">
            <v>29.3</v>
          </cell>
          <cell r="H145">
            <v>28.9</v>
          </cell>
          <cell r="I145">
            <v>28.85</v>
          </cell>
          <cell r="J145">
            <v>28.875</v>
          </cell>
          <cell r="K145">
            <v>350</v>
          </cell>
          <cell r="L145">
            <v>354</v>
          </cell>
          <cell r="M145">
            <v>352</v>
          </cell>
          <cell r="N145">
            <v>222.25</v>
          </cell>
          <cell r="O145">
            <v>223.25</v>
          </cell>
          <cell r="P145">
            <v>222.75</v>
          </cell>
          <cell r="Q145">
            <v>253.5</v>
          </cell>
          <cell r="R145">
            <v>254.5</v>
          </cell>
          <cell r="S145">
            <v>254</v>
          </cell>
          <cell r="T145">
            <v>147.5</v>
          </cell>
          <cell r="U145">
            <v>146.5</v>
          </cell>
          <cell r="V145">
            <v>147</v>
          </cell>
        </row>
        <row r="146">
          <cell r="C146">
            <v>37033</v>
          </cell>
          <cell r="D146" t="str">
            <v>01-05-22</v>
          </cell>
          <cell r="E146">
            <v>29</v>
          </cell>
          <cell r="F146">
            <v>28.95</v>
          </cell>
          <cell r="G146">
            <v>28.975000000000001</v>
          </cell>
          <cell r="H146">
            <v>28.95</v>
          </cell>
          <cell r="I146">
            <v>28.9</v>
          </cell>
          <cell r="J146">
            <v>28.925000000000001</v>
          </cell>
          <cell r="K146">
            <v>347</v>
          </cell>
          <cell r="L146">
            <v>351</v>
          </cell>
          <cell r="M146">
            <v>349</v>
          </cell>
          <cell r="N146">
            <v>219</v>
          </cell>
          <cell r="O146">
            <v>223</v>
          </cell>
          <cell r="P146">
            <v>221</v>
          </cell>
          <cell r="Q146">
            <v>250.5</v>
          </cell>
          <cell r="R146">
            <v>251.5</v>
          </cell>
          <cell r="S146">
            <v>251</v>
          </cell>
          <cell r="T146">
            <v>144.5</v>
          </cell>
          <cell r="U146">
            <v>144</v>
          </cell>
          <cell r="V146">
            <v>144.25</v>
          </cell>
        </row>
        <row r="147">
          <cell r="C147">
            <v>37034</v>
          </cell>
          <cell r="D147" t="str">
            <v>01-05-23</v>
          </cell>
          <cell r="E147">
            <v>28.7</v>
          </cell>
          <cell r="F147">
            <v>28.65</v>
          </cell>
          <cell r="G147">
            <v>28.675000000000001</v>
          </cell>
          <cell r="H147">
            <v>28.85</v>
          </cell>
          <cell r="I147">
            <v>28.8</v>
          </cell>
          <cell r="J147">
            <v>28.824999999999999</v>
          </cell>
          <cell r="K147">
            <v>335</v>
          </cell>
          <cell r="L147">
            <v>341</v>
          </cell>
          <cell r="M147">
            <v>338</v>
          </cell>
          <cell r="N147">
            <v>218.25</v>
          </cell>
          <cell r="O147">
            <v>222.25</v>
          </cell>
          <cell r="P147">
            <v>220.25</v>
          </cell>
          <cell r="Q147">
            <v>249.75</v>
          </cell>
          <cell r="R147">
            <v>250.75</v>
          </cell>
          <cell r="S147">
            <v>250.25</v>
          </cell>
          <cell r="T147">
            <v>142.5</v>
          </cell>
          <cell r="U147">
            <v>142</v>
          </cell>
          <cell r="V147">
            <v>142.25</v>
          </cell>
        </row>
        <row r="148">
          <cell r="C148">
            <v>37035</v>
          </cell>
          <cell r="D148" t="str">
            <v>01-05-24</v>
          </cell>
          <cell r="E148">
            <v>28.9</v>
          </cell>
          <cell r="F148">
            <v>28.8</v>
          </cell>
          <cell r="G148">
            <v>28.85</v>
          </cell>
          <cell r="H148">
            <v>28.9</v>
          </cell>
          <cell r="I148">
            <v>28.85</v>
          </cell>
          <cell r="J148">
            <v>28.875</v>
          </cell>
          <cell r="K148">
            <v>327</v>
          </cell>
          <cell r="L148">
            <v>333</v>
          </cell>
          <cell r="M148">
            <v>330</v>
          </cell>
          <cell r="N148">
            <v>220</v>
          </cell>
          <cell r="O148">
            <v>221.5</v>
          </cell>
          <cell r="P148">
            <v>220.75</v>
          </cell>
          <cell r="Q148">
            <v>249.25</v>
          </cell>
          <cell r="R148">
            <v>250.25</v>
          </cell>
          <cell r="S148">
            <v>249.75</v>
          </cell>
          <cell r="T148">
            <v>141</v>
          </cell>
          <cell r="U148">
            <v>140.5</v>
          </cell>
          <cell r="V148">
            <v>140.75</v>
          </cell>
        </row>
        <row r="149">
          <cell r="C149">
            <v>37036</v>
          </cell>
          <cell r="D149" t="str">
            <v>01-05-25</v>
          </cell>
          <cell r="E149">
            <v>28.4</v>
          </cell>
          <cell r="F149">
            <v>28.3</v>
          </cell>
          <cell r="G149">
            <v>28.35</v>
          </cell>
          <cell r="H149">
            <v>28.45</v>
          </cell>
          <cell r="I149">
            <v>28.4</v>
          </cell>
          <cell r="J149">
            <v>28.425000000000001</v>
          </cell>
          <cell r="K149">
            <v>318</v>
          </cell>
          <cell r="L149">
            <v>324</v>
          </cell>
          <cell r="M149">
            <v>321</v>
          </cell>
          <cell r="N149">
            <v>215</v>
          </cell>
          <cell r="O149">
            <v>216</v>
          </cell>
          <cell r="P149">
            <v>215.5</v>
          </cell>
          <cell r="Q149">
            <v>243.75</v>
          </cell>
          <cell r="R149">
            <v>244.75</v>
          </cell>
          <cell r="S149">
            <v>244.25</v>
          </cell>
          <cell r="T149">
            <v>139.5</v>
          </cell>
          <cell r="U149">
            <v>139</v>
          </cell>
          <cell r="V149">
            <v>139.25</v>
          </cell>
        </row>
        <row r="150">
          <cell r="C150" t="str">
            <v/>
          </cell>
          <cell r="D150" t="str">
            <v>01-05-26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</row>
        <row r="151">
          <cell r="C151" t="str">
            <v/>
          </cell>
          <cell r="D151" t="str">
            <v>01-05-27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</row>
        <row r="152">
          <cell r="C152">
            <v>37039</v>
          </cell>
          <cell r="D152" t="str">
            <v>01-05-28</v>
          </cell>
          <cell r="E152">
            <v>27.9</v>
          </cell>
          <cell r="F152">
            <v>27.8</v>
          </cell>
          <cell r="G152">
            <v>27.85</v>
          </cell>
          <cell r="H152">
            <v>28.1</v>
          </cell>
          <cell r="I152">
            <v>28</v>
          </cell>
          <cell r="J152">
            <v>28.05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139</v>
          </cell>
          <cell r="U152">
            <v>138.75</v>
          </cell>
          <cell r="V152">
            <v>138.875</v>
          </cell>
        </row>
        <row r="153">
          <cell r="C153">
            <v>37040</v>
          </cell>
          <cell r="D153" t="str">
            <v>01-05-29</v>
          </cell>
          <cell r="E153">
            <v>27.7</v>
          </cell>
          <cell r="F153">
            <v>27.6</v>
          </cell>
          <cell r="G153">
            <v>27.65</v>
          </cell>
          <cell r="H153">
            <v>28</v>
          </cell>
          <cell r="I153">
            <v>27.95</v>
          </cell>
          <cell r="J153">
            <v>27.975000000000001</v>
          </cell>
          <cell r="K153">
            <v>310.5</v>
          </cell>
          <cell r="L153">
            <v>316.5</v>
          </cell>
          <cell r="M153">
            <v>313.5</v>
          </cell>
          <cell r="N153">
            <v>214</v>
          </cell>
          <cell r="O153">
            <v>215</v>
          </cell>
          <cell r="P153">
            <v>214.5</v>
          </cell>
          <cell r="Q153">
            <v>242.75</v>
          </cell>
          <cell r="R153">
            <v>243.75</v>
          </cell>
          <cell r="S153">
            <v>243.25</v>
          </cell>
          <cell r="T153">
            <v>137</v>
          </cell>
          <cell r="U153">
            <v>136</v>
          </cell>
          <cell r="V153">
            <v>136.5</v>
          </cell>
        </row>
        <row r="154">
          <cell r="C154">
            <v>37041</v>
          </cell>
          <cell r="D154" t="str">
            <v>01-05-30</v>
          </cell>
          <cell r="E154">
            <v>28.45</v>
          </cell>
          <cell r="F154">
            <v>28.4</v>
          </cell>
          <cell r="G154">
            <v>28.425000000000001</v>
          </cell>
          <cell r="H154">
            <v>28.55</v>
          </cell>
          <cell r="I154">
            <v>28.5</v>
          </cell>
          <cell r="J154">
            <v>28.524999999999999</v>
          </cell>
          <cell r="K154">
            <v>306.5</v>
          </cell>
          <cell r="L154">
            <v>312.5</v>
          </cell>
          <cell r="M154">
            <v>309.5</v>
          </cell>
          <cell r="N154">
            <v>213.75</v>
          </cell>
          <cell r="O154">
            <v>214.75</v>
          </cell>
          <cell r="P154">
            <v>214.25</v>
          </cell>
          <cell r="Q154">
            <v>242.25</v>
          </cell>
          <cell r="R154">
            <v>243.25</v>
          </cell>
          <cell r="S154">
            <v>242.75</v>
          </cell>
          <cell r="T154">
            <v>138.5</v>
          </cell>
          <cell r="U154">
            <v>138</v>
          </cell>
          <cell r="V154">
            <v>138.25</v>
          </cell>
        </row>
        <row r="155">
          <cell r="C155">
            <v>37042</v>
          </cell>
          <cell r="D155" t="str">
            <v>01-05-31</v>
          </cell>
          <cell r="E155">
            <v>27.6</v>
          </cell>
          <cell r="F155">
            <v>27.5</v>
          </cell>
          <cell r="G155">
            <v>27.55</v>
          </cell>
          <cell r="H155">
            <v>27.85</v>
          </cell>
          <cell r="I155">
            <v>27.8</v>
          </cell>
          <cell r="J155">
            <v>27.824999999999999</v>
          </cell>
          <cell r="K155">
            <v>290</v>
          </cell>
          <cell r="L155">
            <v>296</v>
          </cell>
          <cell r="M155">
            <v>293</v>
          </cell>
          <cell r="N155">
            <v>209.75</v>
          </cell>
          <cell r="O155">
            <v>210.75</v>
          </cell>
          <cell r="P155">
            <v>210.25</v>
          </cell>
          <cell r="Q155">
            <v>235</v>
          </cell>
          <cell r="R155">
            <v>236</v>
          </cell>
          <cell r="S155">
            <v>235.5</v>
          </cell>
          <cell r="T155">
            <v>134</v>
          </cell>
          <cell r="U155">
            <v>133.75</v>
          </cell>
          <cell r="V155">
            <v>133.875</v>
          </cell>
        </row>
        <row r="156">
          <cell r="C156">
            <v>37043</v>
          </cell>
          <cell r="D156" t="str">
            <v>01-06-01</v>
          </cell>
          <cell r="E156">
            <v>27.1</v>
          </cell>
          <cell r="F156">
            <v>27</v>
          </cell>
          <cell r="G156">
            <v>27.05</v>
          </cell>
          <cell r="H156">
            <v>28.1</v>
          </cell>
          <cell r="I156">
            <v>28.05</v>
          </cell>
          <cell r="J156">
            <v>28.074999999999999</v>
          </cell>
          <cell r="K156">
            <v>290</v>
          </cell>
          <cell r="L156">
            <v>296</v>
          </cell>
          <cell r="M156">
            <v>293</v>
          </cell>
          <cell r="N156">
            <v>211.5</v>
          </cell>
          <cell r="O156">
            <v>212.5</v>
          </cell>
          <cell r="P156">
            <v>212</v>
          </cell>
          <cell r="Q156">
            <v>234</v>
          </cell>
          <cell r="R156">
            <v>235</v>
          </cell>
          <cell r="S156">
            <v>234.5</v>
          </cell>
          <cell r="T156">
            <v>135</v>
          </cell>
          <cell r="U156">
            <v>134.5</v>
          </cell>
          <cell r="V156">
            <v>134.75</v>
          </cell>
        </row>
        <row r="157">
          <cell r="C157" t="str">
            <v/>
          </cell>
          <cell r="D157" t="str">
            <v>01-06-02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</row>
        <row r="158">
          <cell r="C158" t="str">
            <v/>
          </cell>
          <cell r="D158" t="str">
            <v>01-06-03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</row>
        <row r="159">
          <cell r="C159">
            <v>37046</v>
          </cell>
          <cell r="D159" t="str">
            <v>01-06-04</v>
          </cell>
          <cell r="E159">
            <v>27.35</v>
          </cell>
          <cell r="F159">
            <v>27.25</v>
          </cell>
          <cell r="G159">
            <v>27.3</v>
          </cell>
          <cell r="H159">
            <v>28.2</v>
          </cell>
          <cell r="I159">
            <v>28.1</v>
          </cell>
          <cell r="J159">
            <v>28.15</v>
          </cell>
          <cell r="K159">
            <v>299.5</v>
          </cell>
          <cell r="L159">
            <v>305.5</v>
          </cell>
          <cell r="M159">
            <v>302.5</v>
          </cell>
          <cell r="N159">
            <v>215.5</v>
          </cell>
          <cell r="O159">
            <v>216.5</v>
          </cell>
          <cell r="P159">
            <v>216</v>
          </cell>
          <cell r="Q159">
            <v>235</v>
          </cell>
          <cell r="R159">
            <v>236</v>
          </cell>
          <cell r="S159">
            <v>235.5</v>
          </cell>
          <cell r="T159">
            <v>138.5</v>
          </cell>
          <cell r="U159">
            <v>137.5</v>
          </cell>
          <cell r="V159">
            <v>138</v>
          </cell>
        </row>
        <row r="160">
          <cell r="C160">
            <v>37047</v>
          </cell>
          <cell r="D160" t="str">
            <v>01-06-05</v>
          </cell>
          <cell r="E160">
            <v>27.1</v>
          </cell>
          <cell r="F160">
            <v>27</v>
          </cell>
          <cell r="G160">
            <v>27.05</v>
          </cell>
          <cell r="H160">
            <v>27.85</v>
          </cell>
          <cell r="I160">
            <v>27.75</v>
          </cell>
          <cell r="J160">
            <v>27.8</v>
          </cell>
          <cell r="K160">
            <v>296</v>
          </cell>
          <cell r="L160">
            <v>302</v>
          </cell>
          <cell r="M160">
            <v>299</v>
          </cell>
          <cell r="N160">
            <v>213.25</v>
          </cell>
          <cell r="O160">
            <v>215</v>
          </cell>
          <cell r="P160">
            <v>214.125</v>
          </cell>
          <cell r="Q160">
            <v>234</v>
          </cell>
          <cell r="R160">
            <v>235</v>
          </cell>
          <cell r="S160">
            <v>234.5</v>
          </cell>
          <cell r="T160">
            <v>136</v>
          </cell>
          <cell r="U160">
            <v>135.5</v>
          </cell>
          <cell r="V160">
            <v>135.75</v>
          </cell>
        </row>
        <row r="161">
          <cell r="C161">
            <v>37048</v>
          </cell>
          <cell r="D161" t="str">
            <v>01-06-06</v>
          </cell>
          <cell r="E161">
            <v>26.8</v>
          </cell>
          <cell r="F161">
            <v>26.7</v>
          </cell>
          <cell r="G161">
            <v>26.75</v>
          </cell>
          <cell r="H161">
            <v>27.85</v>
          </cell>
          <cell r="I161">
            <v>27.75</v>
          </cell>
          <cell r="J161">
            <v>27.8</v>
          </cell>
          <cell r="K161">
            <v>281</v>
          </cell>
          <cell r="L161">
            <v>287</v>
          </cell>
          <cell r="M161">
            <v>284</v>
          </cell>
          <cell r="N161">
            <v>213</v>
          </cell>
          <cell r="O161">
            <v>214</v>
          </cell>
          <cell r="P161">
            <v>213.5</v>
          </cell>
          <cell r="Q161">
            <v>233.75</v>
          </cell>
          <cell r="R161">
            <v>234.75</v>
          </cell>
          <cell r="S161">
            <v>234.25</v>
          </cell>
          <cell r="T161">
            <v>135</v>
          </cell>
          <cell r="U161">
            <v>134</v>
          </cell>
          <cell r="V161">
            <v>134.5</v>
          </cell>
        </row>
        <row r="162">
          <cell r="C162">
            <v>37049</v>
          </cell>
          <cell r="D162" t="str">
            <v>01-06-07</v>
          </cell>
          <cell r="E162">
            <v>26.75</v>
          </cell>
          <cell r="F162">
            <v>26.65</v>
          </cell>
          <cell r="G162">
            <v>26.7</v>
          </cell>
          <cell r="H162">
            <v>27.9</v>
          </cell>
          <cell r="I162">
            <v>27.85</v>
          </cell>
          <cell r="J162">
            <v>27.875</v>
          </cell>
          <cell r="K162">
            <v>277</v>
          </cell>
          <cell r="L162">
            <v>283</v>
          </cell>
          <cell r="M162">
            <v>280</v>
          </cell>
          <cell r="N162">
            <v>213</v>
          </cell>
          <cell r="O162">
            <v>217</v>
          </cell>
          <cell r="P162">
            <v>215</v>
          </cell>
          <cell r="Q162">
            <v>233.75</v>
          </cell>
          <cell r="R162">
            <v>234.75</v>
          </cell>
          <cell r="S162">
            <v>234.25</v>
          </cell>
          <cell r="T162">
            <v>134.25</v>
          </cell>
          <cell r="U162">
            <v>134</v>
          </cell>
          <cell r="V162">
            <v>134.125</v>
          </cell>
        </row>
        <row r="163">
          <cell r="C163">
            <v>37050</v>
          </cell>
          <cell r="D163" t="str">
            <v>01-06-08</v>
          </cell>
          <cell r="E163">
            <v>27.15</v>
          </cell>
          <cell r="F163">
            <v>27.05</v>
          </cell>
          <cell r="G163">
            <v>27.1</v>
          </cell>
          <cell r="H163">
            <v>28.45</v>
          </cell>
          <cell r="I163">
            <v>28.4</v>
          </cell>
          <cell r="J163">
            <v>28.425000000000001</v>
          </cell>
          <cell r="K163">
            <v>286.5</v>
          </cell>
          <cell r="L163">
            <v>292.5</v>
          </cell>
          <cell r="M163">
            <v>289.5</v>
          </cell>
          <cell r="N163">
            <v>216.5</v>
          </cell>
          <cell r="O163">
            <v>220.5</v>
          </cell>
          <cell r="P163">
            <v>218.5</v>
          </cell>
          <cell r="Q163">
            <v>237.25</v>
          </cell>
          <cell r="R163">
            <v>238.25</v>
          </cell>
          <cell r="S163">
            <v>237.75</v>
          </cell>
          <cell r="T163">
            <v>134</v>
          </cell>
          <cell r="U163">
            <v>133</v>
          </cell>
          <cell r="V163">
            <v>133.5</v>
          </cell>
        </row>
        <row r="164">
          <cell r="C164" t="str">
            <v/>
          </cell>
          <cell r="D164" t="str">
            <v>01-06-09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</row>
        <row r="165">
          <cell r="C165" t="str">
            <v/>
          </cell>
          <cell r="D165" t="str">
            <v>01-06-10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</row>
        <row r="166">
          <cell r="C166">
            <v>37053</v>
          </cell>
          <cell r="D166" t="str">
            <v>01-06-11</v>
          </cell>
          <cell r="E166">
            <v>27.8</v>
          </cell>
          <cell r="F166">
            <v>27.75</v>
          </cell>
          <cell r="G166">
            <v>27.774999999999999</v>
          </cell>
          <cell r="H166">
            <v>29.1</v>
          </cell>
          <cell r="I166">
            <v>29.05</v>
          </cell>
          <cell r="J166">
            <v>29.074999999999999</v>
          </cell>
          <cell r="K166">
            <v>291.5</v>
          </cell>
          <cell r="L166">
            <v>297.5</v>
          </cell>
          <cell r="M166">
            <v>294.5</v>
          </cell>
          <cell r="N166">
            <v>224.75</v>
          </cell>
          <cell r="O166">
            <v>231.25</v>
          </cell>
          <cell r="P166">
            <v>228</v>
          </cell>
          <cell r="Q166">
            <v>244.75</v>
          </cell>
          <cell r="R166">
            <v>245.75</v>
          </cell>
          <cell r="S166">
            <v>245.25</v>
          </cell>
          <cell r="T166">
            <v>137</v>
          </cell>
          <cell r="U166">
            <v>136</v>
          </cell>
          <cell r="V166">
            <v>136.5</v>
          </cell>
        </row>
        <row r="167">
          <cell r="C167">
            <v>37054</v>
          </cell>
          <cell r="D167" t="str">
            <v>01-06-12</v>
          </cell>
          <cell r="E167">
            <v>27.55</v>
          </cell>
          <cell r="F167">
            <v>27.5</v>
          </cell>
          <cell r="G167">
            <v>27.524999999999999</v>
          </cell>
          <cell r="H167">
            <v>28.95</v>
          </cell>
          <cell r="I167">
            <v>28.85</v>
          </cell>
          <cell r="J167">
            <v>28.9</v>
          </cell>
          <cell r="K167">
            <v>284.5</v>
          </cell>
          <cell r="L167">
            <v>290.5</v>
          </cell>
          <cell r="M167">
            <v>287.5</v>
          </cell>
          <cell r="N167">
            <v>223.75</v>
          </cell>
          <cell r="O167">
            <v>230.25</v>
          </cell>
          <cell r="P167">
            <v>227</v>
          </cell>
          <cell r="Q167">
            <v>244</v>
          </cell>
          <cell r="R167">
            <v>245</v>
          </cell>
          <cell r="S167">
            <v>244.5</v>
          </cell>
          <cell r="T167">
            <v>133.75</v>
          </cell>
          <cell r="U167">
            <v>133.5</v>
          </cell>
          <cell r="V167">
            <v>133.625</v>
          </cell>
        </row>
        <row r="168">
          <cell r="C168">
            <v>37055</v>
          </cell>
          <cell r="D168" t="str">
            <v>01-06-13</v>
          </cell>
          <cell r="E168">
            <v>28.4</v>
          </cell>
          <cell r="F168">
            <v>28.3</v>
          </cell>
          <cell r="G168">
            <v>28.35</v>
          </cell>
          <cell r="H168">
            <v>29.7</v>
          </cell>
          <cell r="I168">
            <v>29.6</v>
          </cell>
          <cell r="J168">
            <v>29.65</v>
          </cell>
          <cell r="K168">
            <v>280</v>
          </cell>
          <cell r="L168">
            <v>286</v>
          </cell>
          <cell r="M168">
            <v>283</v>
          </cell>
          <cell r="N168">
            <v>236</v>
          </cell>
          <cell r="O168">
            <v>239.5</v>
          </cell>
          <cell r="P168">
            <v>237.75</v>
          </cell>
          <cell r="Q168">
            <v>250.25</v>
          </cell>
          <cell r="R168">
            <v>251.25</v>
          </cell>
          <cell r="S168">
            <v>250.75</v>
          </cell>
          <cell r="T168">
            <v>132</v>
          </cell>
          <cell r="U168">
            <v>131</v>
          </cell>
          <cell r="V168">
            <v>131.5</v>
          </cell>
        </row>
        <row r="169">
          <cell r="C169">
            <v>37056</v>
          </cell>
          <cell r="D169" t="str">
            <v>01-06-14</v>
          </cell>
          <cell r="E169">
            <v>27.65</v>
          </cell>
          <cell r="F169">
            <v>27.55</v>
          </cell>
          <cell r="G169">
            <v>27.6</v>
          </cell>
          <cell r="H169">
            <v>29.05</v>
          </cell>
          <cell r="I169">
            <v>29</v>
          </cell>
          <cell r="J169">
            <v>29.024999999999999</v>
          </cell>
          <cell r="K169">
            <v>275.5</v>
          </cell>
          <cell r="L169">
            <v>281.5</v>
          </cell>
          <cell r="M169">
            <v>278.5</v>
          </cell>
          <cell r="N169">
            <v>234</v>
          </cell>
          <cell r="O169">
            <v>239.5</v>
          </cell>
          <cell r="P169">
            <v>236.75</v>
          </cell>
          <cell r="Q169">
            <v>248.25</v>
          </cell>
          <cell r="R169">
            <v>249.25</v>
          </cell>
          <cell r="S169">
            <v>248.75</v>
          </cell>
          <cell r="T169">
            <v>128.5</v>
          </cell>
          <cell r="U169">
            <v>127.5</v>
          </cell>
          <cell r="V169">
            <v>128</v>
          </cell>
        </row>
        <row r="170">
          <cell r="C170">
            <v>37057</v>
          </cell>
          <cell r="D170" t="str">
            <v>01-06-15</v>
          </cell>
          <cell r="E170">
            <v>28.7</v>
          </cell>
          <cell r="F170">
            <v>28.65</v>
          </cell>
          <cell r="G170">
            <v>28.675000000000001</v>
          </cell>
          <cell r="H170">
            <v>29.9</v>
          </cell>
          <cell r="I170">
            <v>29.85</v>
          </cell>
          <cell r="J170">
            <v>29.875</v>
          </cell>
          <cell r="K170">
            <v>274</v>
          </cell>
          <cell r="L170">
            <v>280</v>
          </cell>
          <cell r="M170">
            <v>277</v>
          </cell>
          <cell r="N170">
            <v>239</v>
          </cell>
          <cell r="O170">
            <v>244.5</v>
          </cell>
          <cell r="P170">
            <v>241.75</v>
          </cell>
          <cell r="Q170">
            <v>252.75</v>
          </cell>
          <cell r="R170">
            <v>253.75</v>
          </cell>
          <cell r="S170">
            <v>253.25</v>
          </cell>
          <cell r="T170">
            <v>127</v>
          </cell>
          <cell r="U170">
            <v>126</v>
          </cell>
          <cell r="V170">
            <v>126.5</v>
          </cell>
        </row>
        <row r="171">
          <cell r="C171" t="str">
            <v/>
          </cell>
          <cell r="D171" t="str">
            <v>01-06-16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</row>
        <row r="172">
          <cell r="C172" t="str">
            <v/>
          </cell>
          <cell r="D172" t="str">
            <v>01-06-17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</row>
        <row r="173">
          <cell r="C173">
            <v>37060</v>
          </cell>
          <cell r="D173" t="str">
            <v>01-06-18</v>
          </cell>
          <cell r="E173">
            <v>28.25</v>
          </cell>
          <cell r="F173">
            <v>28.15</v>
          </cell>
          <cell r="G173">
            <v>28.2</v>
          </cell>
          <cell r="H173">
            <v>29.45</v>
          </cell>
          <cell r="I173">
            <v>29.35</v>
          </cell>
          <cell r="J173">
            <v>29.4</v>
          </cell>
          <cell r="K173">
            <v>268</v>
          </cell>
          <cell r="L173">
            <v>274</v>
          </cell>
          <cell r="M173">
            <v>271</v>
          </cell>
          <cell r="N173">
            <v>233.5</v>
          </cell>
          <cell r="O173">
            <v>241.5</v>
          </cell>
          <cell r="P173">
            <v>237.5</v>
          </cell>
          <cell r="Q173">
            <v>245.25</v>
          </cell>
          <cell r="R173">
            <v>246.25</v>
          </cell>
          <cell r="S173">
            <v>245.75</v>
          </cell>
          <cell r="T173">
            <v>125</v>
          </cell>
          <cell r="U173">
            <v>124.5</v>
          </cell>
          <cell r="V173">
            <v>124.75</v>
          </cell>
        </row>
        <row r="174">
          <cell r="C174">
            <v>37061</v>
          </cell>
          <cell r="D174" t="str">
            <v>01-06-19</v>
          </cell>
          <cell r="E174">
            <v>27.8</v>
          </cell>
          <cell r="F174">
            <v>27.75</v>
          </cell>
          <cell r="G174">
            <v>27.774999999999999</v>
          </cell>
          <cell r="H174">
            <v>28.8</v>
          </cell>
          <cell r="I174">
            <v>28.7</v>
          </cell>
          <cell r="J174">
            <v>28.75</v>
          </cell>
          <cell r="K174">
            <v>261</v>
          </cell>
          <cell r="L174">
            <v>267</v>
          </cell>
          <cell r="M174">
            <v>264</v>
          </cell>
          <cell r="N174">
            <v>228.5</v>
          </cell>
          <cell r="O174">
            <v>236.5</v>
          </cell>
          <cell r="P174">
            <v>232.5</v>
          </cell>
          <cell r="Q174">
            <v>241.25</v>
          </cell>
          <cell r="R174">
            <v>242.25</v>
          </cell>
          <cell r="S174">
            <v>241.75</v>
          </cell>
          <cell r="T174">
            <v>124</v>
          </cell>
          <cell r="U174">
            <v>123</v>
          </cell>
          <cell r="V174">
            <v>123.5</v>
          </cell>
        </row>
        <row r="175">
          <cell r="C175">
            <v>37062</v>
          </cell>
          <cell r="D175" t="str">
            <v>01-06-20</v>
          </cell>
          <cell r="E175">
            <v>27.6</v>
          </cell>
          <cell r="F175">
            <v>27.5</v>
          </cell>
          <cell r="G175">
            <v>27.55</v>
          </cell>
          <cell r="H175">
            <v>28.55</v>
          </cell>
          <cell r="I175">
            <v>28.5</v>
          </cell>
          <cell r="J175">
            <v>28.524999999999999</v>
          </cell>
          <cell r="K175">
            <v>256.5</v>
          </cell>
          <cell r="L175">
            <v>262.5</v>
          </cell>
          <cell r="M175">
            <v>259.5</v>
          </cell>
          <cell r="N175">
            <v>225.75</v>
          </cell>
          <cell r="O175">
            <v>233.75</v>
          </cell>
          <cell r="P175">
            <v>229.75</v>
          </cell>
          <cell r="Q175">
            <v>238.5</v>
          </cell>
          <cell r="R175">
            <v>239.5</v>
          </cell>
          <cell r="S175">
            <v>239</v>
          </cell>
          <cell r="T175">
            <v>124.25</v>
          </cell>
          <cell r="U175">
            <v>124</v>
          </cell>
          <cell r="V175">
            <v>124.125</v>
          </cell>
        </row>
        <row r="176">
          <cell r="C176">
            <v>37063</v>
          </cell>
          <cell r="D176" t="str">
            <v>01-06-21</v>
          </cell>
          <cell r="E176">
            <v>27.25</v>
          </cell>
          <cell r="F176">
            <v>27.2</v>
          </cell>
          <cell r="G176">
            <v>27.225000000000001</v>
          </cell>
          <cell r="H176">
            <v>28.05</v>
          </cell>
          <cell r="I176">
            <v>28</v>
          </cell>
          <cell r="J176">
            <v>28.024999999999999</v>
          </cell>
          <cell r="K176">
            <v>246.5</v>
          </cell>
          <cell r="L176">
            <v>252.5</v>
          </cell>
          <cell r="M176">
            <v>249.5</v>
          </cell>
          <cell r="N176">
            <v>225.5</v>
          </cell>
          <cell r="O176">
            <v>229.5</v>
          </cell>
          <cell r="P176">
            <v>227.5</v>
          </cell>
          <cell r="Q176">
            <v>234.75</v>
          </cell>
          <cell r="R176">
            <v>235.75</v>
          </cell>
          <cell r="S176">
            <v>235.25</v>
          </cell>
          <cell r="T176">
            <v>125.25</v>
          </cell>
          <cell r="U176">
            <v>125</v>
          </cell>
          <cell r="V176">
            <v>125.125</v>
          </cell>
        </row>
        <row r="177">
          <cell r="C177" t="str">
            <v/>
          </cell>
          <cell r="D177" t="str">
            <v>01-06-22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</row>
        <row r="178">
          <cell r="C178" t="str">
            <v/>
          </cell>
          <cell r="D178" t="str">
            <v>01-06-23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</row>
        <row r="179">
          <cell r="C179" t="str">
            <v/>
          </cell>
          <cell r="D179" t="str">
            <v>01-06-24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</row>
        <row r="180">
          <cell r="C180" t="str">
            <v/>
          </cell>
          <cell r="D180" t="str">
            <v>01-06-25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</row>
        <row r="181">
          <cell r="C181" t="str">
            <v/>
          </cell>
          <cell r="D181" t="str">
            <v>01-06-26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</row>
        <row r="182">
          <cell r="C182" t="str">
            <v/>
          </cell>
          <cell r="D182" t="str">
            <v>01-06-27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</row>
        <row r="183">
          <cell r="C183" t="str">
            <v/>
          </cell>
          <cell r="D183" t="str">
            <v>01-06-28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</row>
        <row r="184">
          <cell r="C184" t="str">
            <v/>
          </cell>
          <cell r="D184" t="str">
            <v>01-06-29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</row>
        <row r="185">
          <cell r="C185" t="str">
            <v/>
          </cell>
          <cell r="D185" t="str">
            <v>01-06-30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</row>
      </sheetData>
      <sheetData sheetId="1" refreshError="1"/>
      <sheetData sheetId="2"/>
      <sheetData sheetId="3" refreshError="1">
        <row r="3">
          <cell r="C3" t="str">
            <v>AG-GASOIL</v>
          </cell>
          <cell r="D3">
            <v>7.45</v>
          </cell>
          <cell r="E3">
            <v>5</v>
          </cell>
        </row>
        <row r="4">
          <cell r="C4" t="str">
            <v>AG-KERO</v>
          </cell>
          <cell r="D4">
            <v>7.9</v>
          </cell>
          <cell r="E4">
            <v>8</v>
          </cell>
        </row>
        <row r="5">
          <cell r="C5" t="str">
            <v>MED-MOGAS LP 0.15</v>
          </cell>
          <cell r="D5">
            <v>1</v>
          </cell>
          <cell r="E5">
            <v>11</v>
          </cell>
        </row>
        <row r="6">
          <cell r="C6" t="str">
            <v>MED-GASOIL</v>
          </cell>
          <cell r="D6">
            <v>1</v>
          </cell>
          <cell r="E6">
            <v>14</v>
          </cell>
        </row>
        <row r="7">
          <cell r="C7" t="str">
            <v>MED-KEROJET</v>
          </cell>
          <cell r="D7">
            <v>1</v>
          </cell>
          <cell r="E7">
            <v>17</v>
          </cell>
        </row>
        <row r="8">
          <cell r="C8" t="str">
            <v>AG-HSFO</v>
          </cell>
          <cell r="D8">
            <v>1</v>
          </cell>
          <cell r="E8">
            <v>20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xxx"/>
      <sheetName val="Marine Gasoil Rebrand Document"/>
      <sheetName val="xxxx"/>
      <sheetName val="2203 RECONC"/>
      <sheetName val="Lookup Tables"/>
      <sheetName val="Product Receipt Document1"/>
      <sheetName val="Product Receipt Document"/>
      <sheetName val="Receipt Recon Document"/>
      <sheetName val="GAPCO Hospitality Document"/>
      <sheetName val="MASI Sales Document"/>
      <sheetName val="MASI Imports Document"/>
      <sheetName val="Bitumen Drumming Document"/>
      <sheetName val="Fuel Oil Other Rebrand Document"/>
      <sheetName val="KPRL Rebrand Document"/>
      <sheetName val="KPRL Transfers Document"/>
      <sheetName val="Transport Cost Document - OTHER"/>
      <sheetName val="KOSF Transfers Document"/>
      <sheetName val="KOSF Kero Delvrs Rbrnd Document"/>
      <sheetName val="Trpt Cost Document - Airports"/>
      <sheetName val="JetE to Kero Rbrnd Document"/>
      <sheetName val="TRFKOBIL"/>
      <sheetName val="WKna KPC Transfers Document"/>
      <sheetName val="Transport Cost Document - NKU"/>
      <sheetName val="Transport Cost Document - ELD"/>
      <sheetName val="Transport Cost Document - KSU"/>
      <sheetName val="WKna Jet Rbrnd Delvrs Document"/>
      <sheetName val="Transport Cost Document"/>
      <sheetName val="Fuel Oil 1% Rebrand Document"/>
      <sheetName val="LPG Filling Document"/>
      <sheetName val="Mogas Rebrand Document"/>
      <sheetName val="Borrow Loan Document"/>
      <sheetName val="Borrow Loan Trf Document"/>
      <sheetName val="CALTEX B.LOAN"/>
      <sheetName val="PETRO B.LOAN"/>
      <sheetName val="Borrow Loan MKTrs Document"/>
      <sheetName val="Prod Var KOSF+Mainline Document"/>
      <sheetName val="Own use Document"/>
      <sheetName val="KPC Local Reconciliation"/>
      <sheetName val="KPC Export Reconciliation"/>
      <sheetName val="Prod Var WKna Document"/>
      <sheetName val="KOBIL ASE"/>
      <sheetName val="Sheet1"/>
      <sheetName val="MASI SHIP OUT"/>
      <sheetName val="PETRO Exchange Doc"/>
      <sheetName val="PETRO (K) Reversal Document"/>
      <sheetName val="Engen NEW Exch. Doc msa+nbi"/>
      <sheetName val="ENGEN new Exchange Doc Msa + nb"/>
      <sheetName val="PETRO (K) Exchange Doc"/>
      <sheetName val="GAPCO Exchange Document"/>
      <sheetName val="MASI Exchanges Document"/>
      <sheetName val="exch kprl+kpc"/>
      <sheetName val="Misc Items Document"/>
      <sheetName val="Stock Booking Procedures"/>
      <sheetName val="KOSF Transfers Document (2)"/>
      <sheetName val="BKup"/>
      <sheetName val="PETRO H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B3" t="str">
            <v>LOCATION</v>
          </cell>
          <cell r="C3" t="str">
            <v>LDESC</v>
          </cell>
          <cell r="H3" t="str">
            <v>FMTITEMNO</v>
          </cell>
          <cell r="I3" t="str">
            <v>DESC</v>
          </cell>
        </row>
        <row r="4">
          <cell r="B4">
            <v>1</v>
          </cell>
          <cell r="C4" t="str">
            <v>MOMBASA TERMINAL</v>
          </cell>
          <cell r="H4" t="str">
            <v>01-0095-001</v>
          </cell>
          <cell r="I4" t="str">
            <v>CONTAMINATED MOBIL PREMIUM - LITRES</v>
          </cell>
        </row>
        <row r="5">
          <cell r="B5">
            <v>10</v>
          </cell>
          <cell r="C5" t="str">
            <v>MOMBASA DUTY PAID</v>
          </cell>
          <cell r="H5" t="str">
            <v>01-0116-000</v>
          </cell>
          <cell r="I5" t="str">
            <v>MOBIL SUPER R 91/93 - KILOS</v>
          </cell>
        </row>
        <row r="6">
          <cell r="B6">
            <v>100</v>
          </cell>
          <cell r="C6" t="str">
            <v>MOMBASA HOSPITALITY BOOK PLANT</v>
          </cell>
          <cell r="H6" t="str">
            <v>01-0116-001</v>
          </cell>
          <cell r="I6" t="str">
            <v>MOBIL SUPER R 91/93 - LITRES</v>
          </cell>
        </row>
        <row r="7">
          <cell r="B7">
            <v>101</v>
          </cell>
          <cell r="C7" t="str">
            <v>TR. MOMBASA - MOI AIRPORT TML</v>
          </cell>
          <cell r="H7" t="str">
            <v>01-0116-063</v>
          </cell>
          <cell r="I7" t="str">
            <v>MOBIL SUPER R 91/93 - 200 LT</v>
          </cell>
        </row>
        <row r="8">
          <cell r="H8" t="str">
            <v>01-0157-000</v>
          </cell>
          <cell r="I8" t="str">
            <v>MOBIL SUPER UNLEADED - KILOS</v>
          </cell>
        </row>
        <row r="9">
          <cell r="H9" t="str">
            <v>01-0157-001</v>
          </cell>
          <cell r="I9" t="str">
            <v>MOBIL SUPER UNLEADED - LITRES</v>
          </cell>
        </row>
        <row r="10">
          <cell r="B10">
            <v>102</v>
          </cell>
          <cell r="C10" t="str">
            <v>TR. MOMBASA - NAIROBI TML</v>
          </cell>
          <cell r="H10" t="str">
            <v>01-1122-001</v>
          </cell>
          <cell r="I10" t="str">
            <v>MOBIL SUPER R 95 - LITRES</v>
          </cell>
        </row>
        <row r="11">
          <cell r="B11">
            <v>103</v>
          </cell>
          <cell r="C11" t="str">
            <v>TR. MOMBASA - JKIA TML</v>
          </cell>
          <cell r="H11" t="str">
            <v>01-1122-063</v>
          </cell>
          <cell r="I11" t="str">
            <v>MOBIL SUPER R 95 - 200 LT</v>
          </cell>
        </row>
        <row r="12">
          <cell r="B12">
            <v>104</v>
          </cell>
          <cell r="C12" t="str">
            <v>TR. MOMBASA - NAKURU TML</v>
          </cell>
          <cell r="H12" t="str">
            <v>01-1205-001</v>
          </cell>
          <cell r="I12" t="str">
            <v>MOBIL GASOHOL - LITRES</v>
          </cell>
        </row>
        <row r="13">
          <cell r="B13">
            <v>105</v>
          </cell>
          <cell r="C13" t="str">
            <v>TR. MOMBASA - ELDORET TML</v>
          </cell>
          <cell r="H13" t="str">
            <v>02-0016-000</v>
          </cell>
          <cell r="I13" t="str">
            <v>MOBIL REGULAR - KILOS</v>
          </cell>
        </row>
        <row r="14">
          <cell r="B14">
            <v>106</v>
          </cell>
          <cell r="C14" t="str">
            <v>TR. MOMBASA - KISUMU TML</v>
          </cell>
          <cell r="H14" t="str">
            <v>02-0016-001</v>
          </cell>
          <cell r="I14" t="str">
            <v>MOBIL REGULAR - LITRES</v>
          </cell>
        </row>
        <row r="15">
          <cell r="B15">
            <v>107</v>
          </cell>
          <cell r="C15" t="str">
            <v>TR. MOMBASA - IBERAFRICA</v>
          </cell>
          <cell r="H15" t="str">
            <v>02-0095-001</v>
          </cell>
          <cell r="I15" t="str">
            <v>CONTAMINATED MOBIL REGULAR - LITRES</v>
          </cell>
        </row>
        <row r="16">
          <cell r="B16">
            <v>11</v>
          </cell>
          <cell r="C16" t="str">
            <v>NAIROBI TERMINAL</v>
          </cell>
          <cell r="H16" t="str">
            <v>02-1873-001</v>
          </cell>
          <cell r="I16" t="str">
            <v>REGULAR GASOHOL - LITRES</v>
          </cell>
        </row>
        <row r="17">
          <cell r="B17">
            <v>111</v>
          </cell>
          <cell r="C17" t="str">
            <v>TR. NAIROBI - NAKURU TML</v>
          </cell>
          <cell r="H17" t="str">
            <v>12-1020-000</v>
          </cell>
          <cell r="I17" t="str">
            <v>MOBIL JET A-1 - KILOS</v>
          </cell>
        </row>
        <row r="18">
          <cell r="B18">
            <v>112</v>
          </cell>
          <cell r="C18" t="str">
            <v>TR. NAIROBI - ELDORET TML</v>
          </cell>
          <cell r="H18" t="str">
            <v>12-1020-001</v>
          </cell>
          <cell r="I18" t="str">
            <v>MOBIL JET A-1 - LITRES</v>
          </cell>
        </row>
        <row r="19">
          <cell r="B19">
            <v>113</v>
          </cell>
          <cell r="C19" t="str">
            <v>TR. NAIROBI - KISUMU TML</v>
          </cell>
          <cell r="H19" t="str">
            <v>12-1020-063</v>
          </cell>
          <cell r="I19" t="str">
            <v>MOBIL JET A-1 - 200 LT</v>
          </cell>
        </row>
        <row r="20">
          <cell r="B20">
            <v>114</v>
          </cell>
          <cell r="C20" t="str">
            <v>TR. NAIROBI - JKIA TML</v>
          </cell>
          <cell r="H20" t="str">
            <v>13-0095-001</v>
          </cell>
          <cell r="I20" t="str">
            <v>CONTAMINATED MOBIL KEROSENE - LITRES</v>
          </cell>
        </row>
        <row r="21">
          <cell r="B21">
            <v>115</v>
          </cell>
          <cell r="C21" t="str">
            <v>TR. NAIROBI - MOMBASA TERMINAL</v>
          </cell>
          <cell r="H21" t="str">
            <v>13-3108-000</v>
          </cell>
          <cell r="I21" t="str">
            <v>MOBIL KEROSENE - KILOS</v>
          </cell>
        </row>
        <row r="22">
          <cell r="B22">
            <v>12</v>
          </cell>
          <cell r="C22" t="str">
            <v>NAIROBI AIRPORT-LUBES</v>
          </cell>
          <cell r="H22" t="str">
            <v>13-3108-001</v>
          </cell>
          <cell r="I22" t="str">
            <v>MOBIL KEROSENE - BULK LT</v>
          </cell>
        </row>
        <row r="23">
          <cell r="B23">
            <v>121</v>
          </cell>
          <cell r="C23" t="str">
            <v>SHELL/BP OIL EXCHANGE A/C</v>
          </cell>
          <cell r="H23" t="str">
            <v>13-3108-020</v>
          </cell>
          <cell r="I23" t="str">
            <v>MOBIL KEROSENE - 20 LT</v>
          </cell>
        </row>
        <row r="24">
          <cell r="B24">
            <v>122</v>
          </cell>
          <cell r="C24" t="str">
            <v>CALTEX OIL EXCHANGE A/C</v>
          </cell>
          <cell r="H24" t="str">
            <v>13-3108-063</v>
          </cell>
          <cell r="I24" t="str">
            <v>MOBIL KEROSENE - 200 LT</v>
          </cell>
        </row>
        <row r="25">
          <cell r="B25">
            <v>123</v>
          </cell>
          <cell r="C25" t="str">
            <v>TOTAL OIL EXCHANGE A/C</v>
          </cell>
          <cell r="H25" t="str">
            <v>15-2066-000</v>
          </cell>
          <cell r="I25" t="str">
            <v>MOBIL DIESEL (GAS-OIL) - KILOS</v>
          </cell>
        </row>
        <row r="26">
          <cell r="B26">
            <v>124</v>
          </cell>
          <cell r="C26" t="str">
            <v>AGIP OIL EXCHANGE A/C</v>
          </cell>
          <cell r="H26" t="str">
            <v>15-2066-001</v>
          </cell>
          <cell r="I26" t="str">
            <v>MOBIL DIESEL (GAS-OIL) - BULK LT</v>
          </cell>
        </row>
        <row r="27">
          <cell r="B27">
            <v>125</v>
          </cell>
          <cell r="C27" t="str">
            <v>KOBIL OIL EXCHANGE A/C</v>
          </cell>
          <cell r="H27" t="str">
            <v>15-2066-063</v>
          </cell>
          <cell r="I27" t="str">
            <v>MOBIL DIESEL (GAS-OIL) - 200 LT</v>
          </cell>
        </row>
        <row r="28">
          <cell r="B28">
            <v>126</v>
          </cell>
          <cell r="C28" t="str">
            <v>KENOL OIL EXCHANGE A/C</v>
          </cell>
          <cell r="H28" t="str">
            <v>16-0028-001</v>
          </cell>
          <cell r="I28" t="str">
            <v>MOBIL MARINE DIESEL - LITRES</v>
          </cell>
        </row>
        <row r="29">
          <cell r="B29">
            <v>127</v>
          </cell>
          <cell r="C29" t="str">
            <v>N.O.C.K. OIL EXCHANGE A/C</v>
          </cell>
          <cell r="H29" t="str">
            <v>16-0028-063</v>
          </cell>
          <cell r="I29" t="str">
            <v>MOBIL MARINE DIESEL - 200 LT</v>
          </cell>
        </row>
        <row r="30">
          <cell r="B30">
            <v>128</v>
          </cell>
          <cell r="C30" t="str">
            <v>JOVENNA OIL EXCHANGE /AC</v>
          </cell>
          <cell r="H30" t="str">
            <v>16-0095-001</v>
          </cell>
          <cell r="I30" t="str">
            <v>CONTAMINATED MOBIL DIESEL - LITRES</v>
          </cell>
        </row>
        <row r="31">
          <cell r="B31">
            <v>129</v>
          </cell>
          <cell r="C31" t="str">
            <v>MASEFIELD OIL EXCHANGE /AC</v>
          </cell>
        </row>
        <row r="32">
          <cell r="B32">
            <v>130</v>
          </cell>
          <cell r="C32" t="str">
            <v>FUELEX OIL EXCHANGE /AC</v>
          </cell>
        </row>
        <row r="33">
          <cell r="B33">
            <v>131</v>
          </cell>
          <cell r="C33" t="str">
            <v>TR. JKIA - NAIROBI TML</v>
          </cell>
        </row>
        <row r="34">
          <cell r="B34">
            <v>132</v>
          </cell>
          <cell r="C34" t="str">
            <v>TR. JKIA - MOMBASA TML</v>
          </cell>
        </row>
        <row r="35">
          <cell r="B35">
            <v>133</v>
          </cell>
          <cell r="C35" t="str">
            <v>TR. JKIA - MOI AIRPORT TML</v>
          </cell>
          <cell r="H35" t="str">
            <v>17-0019-000</v>
          </cell>
          <cell r="I35" t="str">
            <v>MOBIL HEAVY DIESEL OIL - KILOS</v>
          </cell>
        </row>
        <row r="36">
          <cell r="B36">
            <v>134</v>
          </cell>
          <cell r="C36" t="str">
            <v>PETRO OIL EXCHANGE A/C</v>
          </cell>
        </row>
        <row r="37">
          <cell r="B37">
            <v>136</v>
          </cell>
          <cell r="C37" t="str">
            <v>TRITON OIL EXCHANGE A/C</v>
          </cell>
        </row>
        <row r="38">
          <cell r="B38">
            <v>14</v>
          </cell>
          <cell r="C38" t="str">
            <v>NAKURU DEPOT</v>
          </cell>
          <cell r="H38" t="str">
            <v>17-0019-001</v>
          </cell>
          <cell r="I38" t="str">
            <v>MOBIL HEAVY DIESEL OIL - BULK LT</v>
          </cell>
        </row>
        <row r="39">
          <cell r="B39">
            <v>141</v>
          </cell>
          <cell r="C39" t="str">
            <v>TR. NAKURU - ELDORET TML</v>
          </cell>
          <cell r="H39" t="str">
            <v>17-0019-063</v>
          </cell>
          <cell r="I39" t="str">
            <v>MOBIL HEAVY DIESEL OIL - 200 LT</v>
          </cell>
        </row>
        <row r="40">
          <cell r="B40">
            <v>142</v>
          </cell>
          <cell r="C40" t="str">
            <v>TR. NAKURU - KISUMU TML</v>
          </cell>
          <cell r="H40" t="str">
            <v>20-0022-000</v>
          </cell>
          <cell r="I40" t="str">
            <v>FUELOIL 125CS (2.5% SULP) - KILOS</v>
          </cell>
        </row>
        <row r="41">
          <cell r="B41">
            <v>143</v>
          </cell>
          <cell r="C41" t="str">
            <v>TR. NAKURU - NAIROBI TML</v>
          </cell>
          <cell r="H41" t="str">
            <v>20-0022-001</v>
          </cell>
          <cell r="I41" t="str">
            <v>FUEL OIL 125 CS - BULK LT</v>
          </cell>
        </row>
        <row r="42">
          <cell r="B42">
            <v>144</v>
          </cell>
          <cell r="C42" t="str">
            <v>TR. NAKURU - MOMBASA TML</v>
          </cell>
          <cell r="H42" t="str">
            <v>21-0294-001</v>
          </cell>
          <cell r="I42" t="str">
            <v>MOBIL MARINE FUEL OIL 280 CST - LITRES</v>
          </cell>
        </row>
        <row r="43">
          <cell r="B43">
            <v>15</v>
          </cell>
          <cell r="C43" t="str">
            <v>ELDORET DEPOT - DUTY PAID</v>
          </cell>
          <cell r="H43" t="str">
            <v>21-2712-000</v>
          </cell>
          <cell r="I43" t="str">
            <v>LOW SULPHUR FUEL OIL (1.0%) - KILOS</v>
          </cell>
        </row>
        <row r="44">
          <cell r="B44">
            <v>151</v>
          </cell>
          <cell r="C44" t="str">
            <v>TR. ELDORET - KISUMU TML</v>
          </cell>
          <cell r="H44" t="str">
            <v>21-2712-001</v>
          </cell>
          <cell r="I44" t="str">
            <v>LOW SULPHUR FUEL OIL (1.0%) - LITRES</v>
          </cell>
        </row>
        <row r="45">
          <cell r="B45">
            <v>152</v>
          </cell>
          <cell r="C45" t="str">
            <v>TR. ELDORET - NAKURU TML</v>
          </cell>
          <cell r="H45" t="str">
            <v>21-2761-000</v>
          </cell>
          <cell r="I45" t="str">
            <v>FUEL OIL 180 CST - KILOS</v>
          </cell>
        </row>
        <row r="46">
          <cell r="B46">
            <v>153</v>
          </cell>
          <cell r="C46" t="str">
            <v>TR. ELDORET - NAIROBI TML</v>
          </cell>
          <cell r="H46" t="str">
            <v>21-2761-001</v>
          </cell>
          <cell r="I46" t="str">
            <v>FUEL OIL 180 CST - LITRES</v>
          </cell>
        </row>
        <row r="47">
          <cell r="B47">
            <v>154</v>
          </cell>
          <cell r="C47" t="str">
            <v>TR. ELDORET - MOMBASA TML</v>
          </cell>
          <cell r="H47" t="str">
            <v>22-4006-000</v>
          </cell>
          <cell r="I47" t="str">
            <v>ASPHALTS - KILOS</v>
          </cell>
        </row>
        <row r="48">
          <cell r="B48">
            <v>155</v>
          </cell>
          <cell r="C48" t="str">
            <v>TR. KPC ELDORET - ELDORET PLT</v>
          </cell>
          <cell r="H48" t="str">
            <v>24-0101-000</v>
          </cell>
          <cell r="I48" t="str">
            <v>MOBIL LPG - KILOS</v>
          </cell>
        </row>
        <row r="49">
          <cell r="B49">
            <v>16</v>
          </cell>
          <cell r="C49" t="str">
            <v>KISUMU DEPOT - DUTY PAID</v>
          </cell>
          <cell r="H49" t="str">
            <v>24-0101-001</v>
          </cell>
          <cell r="I49" t="str">
            <v>MOBIL LPG - LITRES</v>
          </cell>
        </row>
        <row r="50">
          <cell r="B50">
            <v>161</v>
          </cell>
          <cell r="C50" t="str">
            <v>TR. KISUMU - ELDORET TML</v>
          </cell>
          <cell r="H50" t="str">
            <v>24-0101-325</v>
          </cell>
          <cell r="I50" t="str">
            <v>MOBIL GAS - 40 KG BOTTLE</v>
          </cell>
        </row>
        <row r="51">
          <cell r="B51">
            <v>162</v>
          </cell>
          <cell r="C51" t="str">
            <v>TR. KISUMU - NAKURU TML</v>
          </cell>
          <cell r="H51" t="str">
            <v>24-0101-326</v>
          </cell>
          <cell r="I51" t="str">
            <v>MOBIL GAS - 13 KG BOTTLE</v>
          </cell>
        </row>
        <row r="52">
          <cell r="B52">
            <v>163</v>
          </cell>
          <cell r="C52" t="str">
            <v>TR. KISUMU - NAIROBI TML</v>
          </cell>
          <cell r="H52" t="str">
            <v>24-0101-327</v>
          </cell>
          <cell r="I52" t="str">
            <v>MOBIL LPG - 6KG BOTTLE</v>
          </cell>
        </row>
        <row r="53">
          <cell r="B53">
            <v>164</v>
          </cell>
          <cell r="C53" t="str">
            <v>TR. KISUMU - MOMBASA TML</v>
          </cell>
          <cell r="H53" t="str">
            <v>28-1048-000</v>
          </cell>
          <cell r="I53" t="str">
            <v>PENETRATN ASPHALT 80/100 - KILOS</v>
          </cell>
        </row>
        <row r="54">
          <cell r="B54">
            <v>171</v>
          </cell>
          <cell r="C54" t="str">
            <v>TR. MOI AIRPORT - MOMBASA TML</v>
          </cell>
          <cell r="H54" t="str">
            <v>28-1048-009</v>
          </cell>
          <cell r="I54" t="str">
            <v>PENETRATN ASPHALT 80/100 - 150 KG DRUM</v>
          </cell>
        </row>
        <row r="55">
          <cell r="B55">
            <v>172</v>
          </cell>
          <cell r="C55" t="str">
            <v>TR. MOI AIRPORT - NAIROBI TML</v>
          </cell>
          <cell r="H55" t="str">
            <v>28-4398-000</v>
          </cell>
          <cell r="I55" t="str">
            <v>CUTBACK ASPHALT MC3000 - KILOS</v>
          </cell>
        </row>
        <row r="56">
          <cell r="B56">
            <v>173</v>
          </cell>
          <cell r="C56" t="str">
            <v>TR. MOI AIRPORT - JKIA TML</v>
          </cell>
          <cell r="H56" t="str">
            <v>30-0202-001</v>
          </cell>
          <cell r="I56" t="str">
            <v>PERMAZONE - LITRES</v>
          </cell>
        </row>
        <row r="57">
          <cell r="B57">
            <v>18</v>
          </cell>
          <cell r="C57" t="str">
            <v>INTRANSIT - PLANT</v>
          </cell>
          <cell r="H57" t="str">
            <v>30-0202-008</v>
          </cell>
          <cell r="I57" t="str">
            <v>PERMAZONE - 208 LT</v>
          </cell>
        </row>
        <row r="58">
          <cell r="B58">
            <v>19</v>
          </cell>
          <cell r="C58" t="str">
            <v>PRODUCT IMPORT PLANT</v>
          </cell>
          <cell r="H58" t="str">
            <v>30-0202-121</v>
          </cell>
          <cell r="I58" t="str">
            <v>PERMAZONE - 12 X 1 LT</v>
          </cell>
        </row>
        <row r="59">
          <cell r="B59">
            <v>2</v>
          </cell>
          <cell r="C59" t="str">
            <v>KIPEVU OIL STORAGE</v>
          </cell>
          <cell r="H59" t="str">
            <v>33-0095-001</v>
          </cell>
          <cell r="I59" t="str">
            <v>OTHERS (SPECIALITIES) - LITRES</v>
          </cell>
        </row>
        <row r="60">
          <cell r="B60">
            <v>20</v>
          </cell>
          <cell r="C60" t="str">
            <v>KISUMU DEPOT - IN BOND</v>
          </cell>
          <cell r="H60" t="str">
            <v>33-0993-000</v>
          </cell>
          <cell r="I60" t="str">
            <v>MOBIL BRAKE FLUID UNIV. - KILOS</v>
          </cell>
        </row>
        <row r="61">
          <cell r="B61">
            <v>21</v>
          </cell>
          <cell r="C61" t="str">
            <v>ELDORET DEPOT - IN BOND</v>
          </cell>
          <cell r="H61" t="str">
            <v>33-0993-001</v>
          </cell>
          <cell r="I61" t="str">
            <v>MOBIL BRAKE FLUID UNIV. - LITRES</v>
          </cell>
        </row>
        <row r="62">
          <cell r="B62">
            <v>221</v>
          </cell>
          <cell r="C62" t="str">
            <v>GAPCO OIL EXCHANGE A/C</v>
          </cell>
        </row>
        <row r="63">
          <cell r="B63">
            <v>222</v>
          </cell>
          <cell r="C63" t="str">
            <v>ALBA OIL EXCHANGE A/C</v>
          </cell>
        </row>
        <row r="64">
          <cell r="B64">
            <v>26</v>
          </cell>
          <cell r="C64" t="str">
            <v>SHELL HOSPITALITY PLANT - MSA</v>
          </cell>
          <cell r="H64" t="str">
            <v>33-0993-008</v>
          </cell>
          <cell r="I64" t="str">
            <v>MOBIL BRAKE FLUID UNIV. - 208 LT</v>
          </cell>
        </row>
        <row r="65">
          <cell r="B65">
            <v>27</v>
          </cell>
          <cell r="C65" t="str">
            <v>LPG CYLINDER LOAN A/C.</v>
          </cell>
          <cell r="H65" t="str">
            <v>33-0993-009</v>
          </cell>
          <cell r="I65" t="str">
            <v>MOBIL BRAKE FLUID UNIV. - 200 KG</v>
          </cell>
        </row>
        <row r="66">
          <cell r="B66">
            <v>28</v>
          </cell>
          <cell r="C66" t="str">
            <v>SHELL CHEMICALS E.A. LTD.</v>
          </cell>
        </row>
        <row r="67">
          <cell r="B67">
            <v>29</v>
          </cell>
          <cell r="C67" t="str">
            <v>SHELL CHEMICALS</v>
          </cell>
          <cell r="H67" t="str">
            <v>33-0993-020</v>
          </cell>
          <cell r="I67" t="str">
            <v>MOBIL BRAKE FLUID UNIV. - 20 LT PAIL</v>
          </cell>
        </row>
        <row r="68">
          <cell r="B68">
            <v>3</v>
          </cell>
          <cell r="C68" t="str">
            <v>MOMBASA - K.P.REFINERY</v>
          </cell>
          <cell r="H68" t="str">
            <v>33-0993-240</v>
          </cell>
          <cell r="I68" t="str">
            <v>MOBIL BRAKE FLUID UNIV. - 36X0.25 LT CAR</v>
          </cell>
        </row>
        <row r="69">
          <cell r="B69">
            <v>30</v>
          </cell>
          <cell r="C69" t="str">
            <v>MBA - MOI AIRPORT MOMBASA</v>
          </cell>
          <cell r="H69" t="str">
            <v>33-0993-242</v>
          </cell>
          <cell r="I69" t="str">
            <v>MOBIL BRAKE FLUID UNIV. - 0.5 LT</v>
          </cell>
        </row>
        <row r="70">
          <cell r="B70">
            <v>31</v>
          </cell>
          <cell r="C70" t="str">
            <v>KPC NAKURU</v>
          </cell>
          <cell r="H70" t="str">
            <v>33-0993-245</v>
          </cell>
          <cell r="I70" t="str">
            <v>MOBIL BRAKE FLUID UNIV. - 32 X 1/2 LT</v>
          </cell>
        </row>
        <row r="71">
          <cell r="B71">
            <v>32</v>
          </cell>
          <cell r="C71" t="str">
            <v>KPC ELDORET</v>
          </cell>
          <cell r="H71" t="str">
            <v>33-0993-247</v>
          </cell>
          <cell r="I71" t="str">
            <v>MOBIL BRAKE FLUID UNIV. - 60X0.2 LT</v>
          </cell>
        </row>
        <row r="72">
          <cell r="B72">
            <v>33</v>
          </cell>
          <cell r="C72" t="str">
            <v>KPC KISUMU</v>
          </cell>
          <cell r="H72" t="str">
            <v>33-0993-905</v>
          </cell>
          <cell r="I72" t="str">
            <v>MOBIL BRAKE FLUID UNIV. - 205 LT</v>
          </cell>
        </row>
        <row r="73">
          <cell r="B73">
            <v>332</v>
          </cell>
          <cell r="C73" t="str">
            <v>G.A.S. SALES ADJUSTMENTS</v>
          </cell>
          <cell r="H73" t="str">
            <v>33-0993-920</v>
          </cell>
          <cell r="I73" t="str">
            <v>MOBIL BRAKE FLUID UNIV. - 220 KG DRUM</v>
          </cell>
        </row>
        <row r="74">
          <cell r="B74">
            <v>400</v>
          </cell>
          <cell r="C74" t="str">
            <v>SUPPLY SALES - KOSF PLANT</v>
          </cell>
          <cell r="H74" t="str">
            <v>33-0994-020</v>
          </cell>
          <cell r="I74" t="str">
            <v>MOBIL BRAKE FLUID DOT 3 20 LT</v>
          </cell>
        </row>
        <row r="75">
          <cell r="B75">
            <v>401</v>
          </cell>
          <cell r="C75" t="str">
            <v>SUPPLY SALES - MOMBASA PLANT</v>
          </cell>
          <cell r="H75" t="str">
            <v>33-2312-248</v>
          </cell>
          <cell r="I75" t="str">
            <v>MOBIL INSECTICIDE AEROSOL - 100X7.2 LT</v>
          </cell>
        </row>
        <row r="76">
          <cell r="B76">
            <v>402</v>
          </cell>
          <cell r="C76" t="str">
            <v>SUPPLY SALES I&amp;W-KPC NRB PLANT</v>
          </cell>
        </row>
        <row r="77">
          <cell r="B77">
            <v>403</v>
          </cell>
          <cell r="C77" t="str">
            <v>SUPPLY SALES I&amp;W-KPRL PLANT</v>
          </cell>
        </row>
        <row r="78">
          <cell r="B78">
            <v>404</v>
          </cell>
          <cell r="C78" t="str">
            <v>SUPPLY SALES I&amp;W-NRBT PLANT</v>
          </cell>
        </row>
        <row r="79">
          <cell r="B79">
            <v>405</v>
          </cell>
          <cell r="C79" t="str">
            <v>SUPPLY KPC ELD - I&amp;W</v>
          </cell>
        </row>
        <row r="80">
          <cell r="B80">
            <v>406</v>
          </cell>
          <cell r="C80" t="str">
            <v>SUPPLY KPC KSM - I&amp;W</v>
          </cell>
        </row>
        <row r="81">
          <cell r="B81">
            <v>41</v>
          </cell>
          <cell r="C81" t="str">
            <v>KPRL GREASE PLANT</v>
          </cell>
          <cell r="H81" t="str">
            <v>33-2312-249</v>
          </cell>
          <cell r="I81" t="str">
            <v>MOBIL INSECTICIDE AEROSOL - 7X7.2 LT</v>
          </cell>
        </row>
        <row r="82">
          <cell r="B82">
            <v>42</v>
          </cell>
          <cell r="C82" t="str">
            <v>GALANA PETROLEUM LTD.</v>
          </cell>
          <cell r="H82" t="str">
            <v>33-3286-001</v>
          </cell>
          <cell r="I82" t="str">
            <v>MOBIL FLUSHING OIL - LITRES</v>
          </cell>
        </row>
        <row r="83">
          <cell r="B83">
            <v>421</v>
          </cell>
          <cell r="C83" t="str">
            <v>GALANA MOMBASA BOOK PLANT</v>
          </cell>
          <cell r="H83" t="str">
            <v>33-3286-008</v>
          </cell>
          <cell r="I83" t="str">
            <v>MOBIL FLUSHING OIL - 208 LT</v>
          </cell>
        </row>
        <row r="84">
          <cell r="B84">
            <v>422</v>
          </cell>
          <cell r="C84" t="str">
            <v>GALANA - KPC KOSF BOOK PLANT</v>
          </cell>
          <cell r="H84" t="str">
            <v>33-3286-020</v>
          </cell>
          <cell r="I84" t="str">
            <v>MOBIL FLUSHING OIL - 20 LT</v>
          </cell>
        </row>
        <row r="85">
          <cell r="B85">
            <v>425</v>
          </cell>
          <cell r="C85" t="str">
            <v>GALANA - KPC ELD BOOK PLANT</v>
          </cell>
          <cell r="H85" t="str">
            <v>33-3286-910</v>
          </cell>
          <cell r="I85" t="str">
            <v>MOBIL FLUSHING OIL - 210 LT</v>
          </cell>
        </row>
        <row r="86">
          <cell r="B86">
            <v>426</v>
          </cell>
          <cell r="C86" t="str">
            <v>GALANA - KPC KIS  BOOK PLANT</v>
          </cell>
          <cell r="H86" t="str">
            <v>33-8806-001</v>
          </cell>
          <cell r="I86" t="str">
            <v>MOBIL DE-IONIZED WATER - LITRES</v>
          </cell>
        </row>
        <row r="87">
          <cell r="B87">
            <v>43</v>
          </cell>
          <cell r="C87" t="str">
            <v>MOBIL AFRICA SALES INC</v>
          </cell>
          <cell r="H87" t="str">
            <v>33-8806-121</v>
          </cell>
          <cell r="I87" t="str">
            <v>MOBIL DE-IONIZED WATER - 24 X 1 LT CARTO</v>
          </cell>
        </row>
        <row r="88">
          <cell r="B88">
            <v>431</v>
          </cell>
          <cell r="C88" t="str">
            <v>MASI MOMBASA BOOK PLANT</v>
          </cell>
          <cell r="H88" t="str">
            <v>33-8806-921</v>
          </cell>
          <cell r="I88" t="str">
            <v>MOBIL DE-IONIZED WATER - 1 LT</v>
          </cell>
        </row>
        <row r="89">
          <cell r="B89">
            <v>432</v>
          </cell>
          <cell r="C89" t="str">
            <v>MASI - KPC KOSF BOOK PLANT</v>
          </cell>
          <cell r="H89" t="str">
            <v>33-9140-001</v>
          </cell>
          <cell r="I89" t="str">
            <v>MOBIL BRAKEFLUID UNIVERSAL-LITRES</v>
          </cell>
        </row>
        <row r="90">
          <cell r="B90">
            <v>433</v>
          </cell>
          <cell r="C90" t="str">
            <v>MASI - ELDORET BOOK PLANT</v>
          </cell>
          <cell r="H90" t="str">
            <v>33-9140-008</v>
          </cell>
          <cell r="I90" t="str">
            <v>MOBIL BRAKE FLUID UNIVERSAL - 208 LT DRU</v>
          </cell>
        </row>
        <row r="91">
          <cell r="B91">
            <v>434</v>
          </cell>
          <cell r="C91" t="str">
            <v>MASI - KPC NAIROBI BOOK PLANT</v>
          </cell>
          <cell r="H91" t="str">
            <v>33-9140-020</v>
          </cell>
          <cell r="I91" t="str">
            <v>MOBIL BRAKE FLUID UNIVERSAL - 20 LT</v>
          </cell>
        </row>
        <row r="92">
          <cell r="B92">
            <v>435</v>
          </cell>
          <cell r="C92" t="str">
            <v>MASI - KPC ELDORET BOOK PLANT</v>
          </cell>
          <cell r="H92" t="str">
            <v>41-0134-001</v>
          </cell>
          <cell r="I92" t="str">
            <v>MOBIL HEAVY DUTY 40 - LITRE</v>
          </cell>
        </row>
        <row r="93">
          <cell r="B93">
            <v>436</v>
          </cell>
          <cell r="C93" t="str">
            <v>MASI - KPC KISUMU BOOK PLANT</v>
          </cell>
          <cell r="H93" t="str">
            <v>41-0134-008</v>
          </cell>
          <cell r="I93" t="str">
            <v>MOBIL HEAVY DUTY 40 - 208 LT DRUM</v>
          </cell>
        </row>
        <row r="94">
          <cell r="B94">
            <v>437</v>
          </cell>
          <cell r="C94" t="str">
            <v>MASI - KPC JKIA BOOK PLANT</v>
          </cell>
          <cell r="H94" t="str">
            <v>41-0134-020</v>
          </cell>
          <cell r="I94" t="str">
            <v>MOBIL HEAVY DUTY 40 - 20 LT PAIL</v>
          </cell>
        </row>
        <row r="95">
          <cell r="B95">
            <v>441</v>
          </cell>
          <cell r="C95" t="str">
            <v>MASI - MSA EXPORT SALES PLANT</v>
          </cell>
          <cell r="H95" t="str">
            <v>41-0134-121</v>
          </cell>
          <cell r="I95" t="str">
            <v>MOBIL HEAVY DUTY 40 - 12 X 1 LT CARTON</v>
          </cell>
        </row>
        <row r="96">
          <cell r="B96">
            <v>442</v>
          </cell>
          <cell r="C96" t="str">
            <v>MASI - KOSF EXPORT SALES PLANT</v>
          </cell>
          <cell r="H96" t="str">
            <v>41-0134-144</v>
          </cell>
          <cell r="I96" t="str">
            <v>MOBIL HEAVY DUTY 40 - 4 X 4 LT CARTON</v>
          </cell>
        </row>
        <row r="97">
          <cell r="B97">
            <v>443</v>
          </cell>
          <cell r="C97" t="str">
            <v>MASI - ELD DEPOT EXP SALES PLT</v>
          </cell>
          <cell r="H97" t="str">
            <v>41-0134-145</v>
          </cell>
          <cell r="I97" t="str">
            <v>MOBIL HEAVY DUTY 40 - 4 X 5 LT</v>
          </cell>
        </row>
        <row r="98">
          <cell r="B98">
            <v>445</v>
          </cell>
          <cell r="C98" t="str">
            <v>MASI - KPC ELD EXP SALES PLANT</v>
          </cell>
          <cell r="H98" t="str">
            <v>41-0134-240</v>
          </cell>
          <cell r="I98" t="str">
            <v>MOBIL HEAVY DUTY 40 - 40X0.5 LT</v>
          </cell>
        </row>
        <row r="99">
          <cell r="B99">
            <v>446</v>
          </cell>
          <cell r="C99" t="str">
            <v>MASI - KPC KSU EXP SALES PLANT</v>
          </cell>
          <cell r="H99" t="str">
            <v>41-0134-242</v>
          </cell>
          <cell r="I99" t="str">
            <v>MOBIL HEAVY DUTY 40 - 0.5 LT</v>
          </cell>
        </row>
        <row r="100">
          <cell r="B100">
            <v>447</v>
          </cell>
          <cell r="C100" t="str">
            <v>MASI - KPRL</v>
          </cell>
          <cell r="H100" t="str">
            <v>41-0134-245</v>
          </cell>
          <cell r="I100" t="str">
            <v>MOBIL HEAVY DUTY 40 - 32 X 1/2 LT</v>
          </cell>
        </row>
        <row r="101">
          <cell r="B101">
            <v>455</v>
          </cell>
          <cell r="C101" t="str">
            <v>GAPCO - KPC ELDORET BOOK PLANT</v>
          </cell>
          <cell r="H101" t="str">
            <v>41-0134-910</v>
          </cell>
          <cell r="I101" t="str">
            <v>MOBIL HEAVY DUTY 40 - 210 LT</v>
          </cell>
        </row>
        <row r="102">
          <cell r="B102">
            <v>46</v>
          </cell>
          <cell r="C102" t="str">
            <v>F.N.GATONYE-LPG CYL A/C</v>
          </cell>
          <cell r="H102" t="str">
            <v>41-0134-921</v>
          </cell>
          <cell r="I102" t="str">
            <v>MOBIL HEAVY DUTY 40 - 1 LT CAN</v>
          </cell>
        </row>
        <row r="103">
          <cell r="B103">
            <v>465</v>
          </cell>
          <cell r="C103" t="str">
            <v>GAPCO - KPC ELD EXP SLS PLANT</v>
          </cell>
          <cell r="H103" t="str">
            <v>41-0134-944</v>
          </cell>
          <cell r="I103" t="str">
            <v>MOBIL HEAVY DUTY 40 - 4 LT</v>
          </cell>
        </row>
        <row r="104">
          <cell r="B104">
            <v>5</v>
          </cell>
          <cell r="C104" t="str">
            <v>MOMBASA - AIRPORT</v>
          </cell>
          <cell r="H104" t="str">
            <v>41-0134-945</v>
          </cell>
          <cell r="I104" t="str">
            <v>MOBIL HEAVY DUTY 40 - 5 LT CAN</v>
          </cell>
        </row>
        <row r="105">
          <cell r="B105">
            <v>501</v>
          </cell>
          <cell r="C105" t="str">
            <v>MOMBASA BLENDING PLANT</v>
          </cell>
          <cell r="H105" t="str">
            <v>41-0142-001</v>
          </cell>
          <cell r="I105" t="str">
            <v>MOBIL HEAVY DUTY 50 - LITRES</v>
          </cell>
        </row>
        <row r="106">
          <cell r="B106">
            <v>502</v>
          </cell>
          <cell r="C106" t="str">
            <v>LOBP WAREHOUSE</v>
          </cell>
          <cell r="H106" t="str">
            <v>41-0142-008</v>
          </cell>
          <cell r="I106" t="str">
            <v>MOBIL HEAVY DUTY 50 - 208 LT</v>
          </cell>
        </row>
        <row r="107">
          <cell r="B107">
            <v>511</v>
          </cell>
          <cell r="C107" t="str">
            <v>NAIROBI TERMINAL U.G.T.</v>
          </cell>
          <cell r="H107" t="str">
            <v>41-0142-121</v>
          </cell>
          <cell r="I107" t="str">
            <v>MOBIL HEAVY DUTY 50 - 12 X 1 LT</v>
          </cell>
        </row>
        <row r="108">
          <cell r="B108">
            <v>531</v>
          </cell>
          <cell r="C108" t="str">
            <v>CONSIGNMENT STOCKS-BAMBURI</v>
          </cell>
          <cell r="H108" t="str">
            <v>41-0332-001</v>
          </cell>
          <cell r="I108" t="str">
            <v>MOBIL HD 40 (EXPORT) - LITRES</v>
          </cell>
        </row>
        <row r="109">
          <cell r="B109">
            <v>532</v>
          </cell>
          <cell r="C109" t="str">
            <v>CONSIGNMENT STOCKS-G&amp;ROBERTS</v>
          </cell>
          <cell r="H109" t="str">
            <v>41-0332-008</v>
          </cell>
          <cell r="I109" t="str">
            <v>MOBIL HD 40 (EXPORT) - 208 LT DRUM</v>
          </cell>
        </row>
        <row r="110">
          <cell r="B110">
            <v>533</v>
          </cell>
          <cell r="C110" t="str">
            <v>CONSIGNMENT STOCKS-ABB ATHI</v>
          </cell>
          <cell r="H110" t="str">
            <v>41-0332-020</v>
          </cell>
          <cell r="I110" t="str">
            <v>MOBIL HD 40 (EXPORT) - 20 LT</v>
          </cell>
        </row>
        <row r="111">
          <cell r="B111">
            <v>534</v>
          </cell>
          <cell r="C111" t="str">
            <v>CONSIGNMENT STOCKS-LUBESCHEM</v>
          </cell>
          <cell r="H111" t="str">
            <v>41-0332-121</v>
          </cell>
          <cell r="I111" t="str">
            <v>MOBIL HD 40 (EXPORT) - 12 X 1 LT</v>
          </cell>
        </row>
        <row r="112">
          <cell r="B112">
            <v>535</v>
          </cell>
          <cell r="C112" t="str">
            <v>JOVENNA A/C BAWAZIR GLASS WORK</v>
          </cell>
          <cell r="H112" t="str">
            <v>41-0332-144</v>
          </cell>
          <cell r="I112" t="str">
            <v>MOBIL HD 40 (EXPORT) - 4 X 4 LT</v>
          </cell>
        </row>
        <row r="113">
          <cell r="B113">
            <v>552</v>
          </cell>
          <cell r="C113" t="str">
            <v>E.A. SPECTRE-LPG CYLINDER</v>
          </cell>
          <cell r="H113" t="str">
            <v>41-0332-245</v>
          </cell>
          <cell r="I113" t="str">
            <v>MOBIL HD 40 (EXPORT) - 32 X 1/2 LT</v>
          </cell>
        </row>
        <row r="114">
          <cell r="B114">
            <v>553</v>
          </cell>
          <cell r="C114" t="str">
            <v>PRESSURE VESSELS LTD</v>
          </cell>
          <cell r="H114" t="str">
            <v>41-0332-921</v>
          </cell>
          <cell r="I114" t="str">
            <v>MOBIL HD 40 (EXPORT) - 1 LT</v>
          </cell>
        </row>
        <row r="115">
          <cell r="B115">
            <v>554</v>
          </cell>
          <cell r="C115" t="str">
            <v>CYLINDER MASTERS LIMITED</v>
          </cell>
          <cell r="H115" t="str">
            <v>41-0332-944</v>
          </cell>
          <cell r="I115" t="str">
            <v>MOBIL HD 40 (EXPORT) - 4 LT</v>
          </cell>
        </row>
        <row r="116">
          <cell r="B116">
            <v>591</v>
          </cell>
          <cell r="C116" t="str">
            <v>AGIP BLENDING PLANT</v>
          </cell>
          <cell r="H116" t="str">
            <v>41-0506-000</v>
          </cell>
          <cell r="I116" t="str">
            <v>MOBIL SPECIAL 2T - KILOS</v>
          </cell>
        </row>
        <row r="117">
          <cell r="B117">
            <v>592</v>
          </cell>
          <cell r="C117" t="str">
            <v>TOTAL BLENDING PLANT</v>
          </cell>
          <cell r="H117" t="str">
            <v>41-0506-001</v>
          </cell>
          <cell r="I117" t="str">
            <v>MOBIL SPECIAL 2T - LITRES</v>
          </cell>
        </row>
        <row r="118">
          <cell r="B118">
            <v>593</v>
          </cell>
          <cell r="C118" t="str">
            <v>TOTAL OIL EXPORT PLANT</v>
          </cell>
          <cell r="H118" t="str">
            <v>41-0506-008</v>
          </cell>
          <cell r="I118" t="str">
            <v>MOBIL SPECIAL 2T - 208 LT</v>
          </cell>
        </row>
        <row r="119">
          <cell r="B119">
            <v>6</v>
          </cell>
          <cell r="C119" t="str">
            <v>KPC NAIROBI - FACILITY</v>
          </cell>
          <cell r="H119" t="str">
            <v>41-0506-020</v>
          </cell>
          <cell r="I119" t="str">
            <v>MOBIL SPECIAL 2T - 20LT PAIL</v>
          </cell>
        </row>
        <row r="120">
          <cell r="B120">
            <v>64</v>
          </cell>
          <cell r="C120" t="str">
            <v>L.P.G. TRUCK NAIROBI</v>
          </cell>
          <cell r="H120" t="str">
            <v>41-0506-121</v>
          </cell>
          <cell r="I120" t="str">
            <v>MOBIL SPECIAL 2T - 12 X 1 LT CARTON</v>
          </cell>
        </row>
        <row r="121">
          <cell r="B121">
            <v>67</v>
          </cell>
          <cell r="C121" t="str">
            <v>L.P. GAS TRUCKS-MOMBASA</v>
          </cell>
          <cell r="H121" t="str">
            <v>41-0506-144</v>
          </cell>
          <cell r="I121" t="str">
            <v>MOBIL SPECIAL 2T - 4 X 4 LT CARTON</v>
          </cell>
        </row>
        <row r="122">
          <cell r="B122">
            <v>7</v>
          </cell>
          <cell r="C122" t="str">
            <v>NBO - JKI AIRPORT NAIROBI</v>
          </cell>
          <cell r="H122" t="str">
            <v>41-0506-242</v>
          </cell>
          <cell r="I122" t="str">
            <v>MOBIL SPECIAL 2T - 0.5 KG</v>
          </cell>
        </row>
        <row r="123">
          <cell r="B123">
            <v>70</v>
          </cell>
          <cell r="C123" t="str">
            <v>TOTAL OIL ACCOM. ELDORET</v>
          </cell>
          <cell r="H123" t="str">
            <v>41-0506-245</v>
          </cell>
          <cell r="I123" t="str">
            <v>MOBIL SPECIAL 2T - 32 X 1/2 LT</v>
          </cell>
        </row>
        <row r="124">
          <cell r="B124">
            <v>8</v>
          </cell>
          <cell r="C124" t="str">
            <v>E.A. STORAGE FACILITY</v>
          </cell>
          <cell r="H124" t="str">
            <v>41-0506-910</v>
          </cell>
          <cell r="I124" t="str">
            <v>MOBIL SPECIAL 2T - 210 LT</v>
          </cell>
        </row>
        <row r="125">
          <cell r="B125">
            <v>81</v>
          </cell>
          <cell r="C125" t="str">
            <v>MSA TERMINAL STOREHOUSE</v>
          </cell>
          <cell r="H125" t="str">
            <v>41-0506-921</v>
          </cell>
          <cell r="I125" t="str">
            <v>MOBIL SPECIAL 2T - 1 LT CAN</v>
          </cell>
        </row>
        <row r="126">
          <cell r="B126">
            <v>811</v>
          </cell>
          <cell r="C126" t="str">
            <v>MSA STOREHOUSE ISSUES</v>
          </cell>
          <cell r="H126" t="str">
            <v>41-0514-001</v>
          </cell>
          <cell r="I126" t="str">
            <v>MOBIL SUPER 2T - LITRES</v>
          </cell>
        </row>
        <row r="127">
          <cell r="B127">
            <v>82</v>
          </cell>
          <cell r="C127" t="str">
            <v>NAIROBI TERMINAL STOREHSE</v>
          </cell>
          <cell r="H127" t="str">
            <v>41-0514-008</v>
          </cell>
          <cell r="I127" t="str">
            <v>MOBIL SUPER 2T - 208 LT</v>
          </cell>
        </row>
        <row r="128">
          <cell r="B128">
            <v>821</v>
          </cell>
          <cell r="C128" t="str">
            <v>NBI STOREHOUSE ISSUES</v>
          </cell>
          <cell r="H128" t="str">
            <v>41-0514-020</v>
          </cell>
          <cell r="I128" t="str">
            <v>MOBIL SUPER 2T - 20 LT</v>
          </cell>
        </row>
        <row r="129">
          <cell r="B129">
            <v>83</v>
          </cell>
          <cell r="C129" t="str">
            <v>J.K.AIRPORT STOREHOUSE</v>
          </cell>
          <cell r="H129" t="str">
            <v>41-0514-144</v>
          </cell>
          <cell r="I129" t="str">
            <v>MOBIL SUPER 2T - 4 X 4 LT</v>
          </cell>
        </row>
        <row r="130">
          <cell r="B130">
            <v>831</v>
          </cell>
          <cell r="C130" t="str">
            <v>JKIA STOREHOUSE ISSUES</v>
          </cell>
          <cell r="H130" t="str">
            <v>41-2056-001</v>
          </cell>
          <cell r="I130" t="str">
            <v>MOBIL OUTBOARD PLUS - LITRES</v>
          </cell>
        </row>
        <row r="131">
          <cell r="B131">
            <v>84</v>
          </cell>
          <cell r="C131" t="str">
            <v>MOI AIRPORT STOREHOUSE</v>
          </cell>
          <cell r="H131" t="str">
            <v>41-2056-008</v>
          </cell>
          <cell r="I131" t="str">
            <v>MOBIL OUTBOARD PLUS - 208 LT DRUM</v>
          </cell>
        </row>
        <row r="132">
          <cell r="B132">
            <v>841</v>
          </cell>
          <cell r="C132" t="str">
            <v>MOI STOREHOUSE ISSUES</v>
          </cell>
          <cell r="H132" t="str">
            <v>41-2056-145</v>
          </cell>
          <cell r="I132" t="str">
            <v>MOBIL OUTBOARD PLUS - 4 X 5 LT CARTON</v>
          </cell>
        </row>
        <row r="133">
          <cell r="B133">
            <v>85</v>
          </cell>
          <cell r="C133" t="str">
            <v>IBERAFRICA CONSIGNMENT STOCKS</v>
          </cell>
          <cell r="H133" t="str">
            <v>41-2841-001</v>
          </cell>
          <cell r="I133" t="str">
            <v>MOBILAND SUPER UNIVERSAL 20W40 - LITRES</v>
          </cell>
        </row>
        <row r="134">
          <cell r="B134">
            <v>86</v>
          </cell>
          <cell r="C134" t="str">
            <v>WESTMONT CONSIGNMENT STOCKS</v>
          </cell>
          <cell r="H134" t="str">
            <v>41-2841-008</v>
          </cell>
          <cell r="I134" t="str">
            <v>MOBILAND SUPER UNIVERSAL 20W40 -208 LT D</v>
          </cell>
        </row>
        <row r="135">
          <cell r="B135">
            <v>9</v>
          </cell>
          <cell r="C135" t="str">
            <v>NAIROBI DUTY PAID</v>
          </cell>
          <cell r="H135" t="str">
            <v>41-2841-020</v>
          </cell>
          <cell r="I135" t="str">
            <v>MOBILAND SUPER UNIVERSAL 20W40 - 20 LT</v>
          </cell>
        </row>
        <row r="136">
          <cell r="B136">
            <v>91</v>
          </cell>
          <cell r="C136" t="str">
            <v>MOMBASA TERMINAL OWN USE</v>
          </cell>
          <cell r="H136" t="str">
            <v>43-0132-008</v>
          </cell>
          <cell r="I136" t="str">
            <v>MOBIL AERO RED BRAND - 208 LT</v>
          </cell>
        </row>
        <row r="137">
          <cell r="B137">
            <v>92</v>
          </cell>
          <cell r="C137" t="str">
            <v>NAIROBI TERMINAL OWN USE</v>
          </cell>
          <cell r="H137" t="str">
            <v>43-0207-001</v>
          </cell>
          <cell r="I137" t="str">
            <v>MOBIL JET OIL II - LITRES</v>
          </cell>
        </row>
        <row r="138">
          <cell r="B138">
            <v>93</v>
          </cell>
          <cell r="C138" t="str">
            <v>MOI AIRPORT OWN USE</v>
          </cell>
          <cell r="H138" t="str">
            <v>43-0207-002</v>
          </cell>
          <cell r="I138" t="str">
            <v>MOBIL JET OIL II - 24X0.95 LT CARTON</v>
          </cell>
        </row>
        <row r="139">
          <cell r="B139">
            <v>94</v>
          </cell>
          <cell r="C139" t="str">
            <v>NAIROBI JKIA OWN USE</v>
          </cell>
          <cell r="H139" t="str">
            <v>43-0207-121</v>
          </cell>
          <cell r="I139" t="str">
            <v>MOBIL JET OIL II - 12 X 1 LT</v>
          </cell>
        </row>
        <row r="140">
          <cell r="B140">
            <v>95</v>
          </cell>
          <cell r="C140" t="str">
            <v>NAKURU PLANT OWN USE</v>
          </cell>
          <cell r="H140" t="str">
            <v>43-2161-002</v>
          </cell>
          <cell r="I140" t="str">
            <v>MOBIL AERO 100 - 24X0.95 LT CARTON</v>
          </cell>
        </row>
        <row r="141">
          <cell r="B141">
            <v>96</v>
          </cell>
          <cell r="C141" t="str">
            <v>ELDORET PLANT OWN USE</v>
          </cell>
          <cell r="H141" t="str">
            <v>43-2161-003</v>
          </cell>
          <cell r="I141" t="str">
            <v>MOBIL AERO 100 - 12X0.95 LT CARTON</v>
          </cell>
        </row>
        <row r="142">
          <cell r="B142">
            <v>97</v>
          </cell>
          <cell r="C142" t="str">
            <v>KISUMU PLANT OWN USE</v>
          </cell>
          <cell r="H142" t="str">
            <v>43-2161-008</v>
          </cell>
          <cell r="I142" t="str">
            <v>MOBIL AERO 100 - 208 LT</v>
          </cell>
        </row>
        <row r="143">
          <cell r="B143" t="str">
            <v>XX2</v>
          </cell>
          <cell r="C143" t="str">
            <v>PROV LOCATION KOSF</v>
          </cell>
          <cell r="H143" t="str">
            <v>43-2179-002</v>
          </cell>
          <cell r="I143" t="str">
            <v>MOBIL AERO 120 - 24X0.95 LT CARTON</v>
          </cell>
        </row>
        <row r="144">
          <cell r="B144" t="str">
            <v>XX3</v>
          </cell>
          <cell r="C144" t="str">
            <v>PROV LOCATION KPRL</v>
          </cell>
          <cell r="H144" t="str">
            <v>43-2179-003</v>
          </cell>
          <cell r="I144" t="str">
            <v>MOBIL AERO 120 - 12X0.95 LT CARTON</v>
          </cell>
        </row>
        <row r="145">
          <cell r="B145" t="str">
            <v>XX6</v>
          </cell>
          <cell r="C145" t="str">
            <v>PROV LOCATION KPC NRB</v>
          </cell>
          <cell r="H145" t="str">
            <v>43-2179-008</v>
          </cell>
          <cell r="I145" t="str">
            <v>MOBIL AERO OIL 120 - 208 LT DRUM</v>
          </cell>
        </row>
        <row r="146">
          <cell r="B146" t="str">
            <v>XX7</v>
          </cell>
          <cell r="C146" t="str">
            <v>PROV LOCATION JKIA</v>
          </cell>
        </row>
        <row r="147">
          <cell r="B147" t="str">
            <v>X30</v>
          </cell>
          <cell r="C147" t="str">
            <v>PROV LOCATION MOI</v>
          </cell>
        </row>
        <row r="148">
          <cell r="B148" t="str">
            <v>X31</v>
          </cell>
          <cell r="C148" t="str">
            <v>PROV LOCATION KPC NKU</v>
          </cell>
        </row>
        <row r="149">
          <cell r="B149" t="str">
            <v>X32</v>
          </cell>
          <cell r="C149" t="str">
            <v>PROV LOCATION KPC ELD</v>
          </cell>
        </row>
        <row r="150">
          <cell r="B150" t="str">
            <v>X33</v>
          </cell>
          <cell r="C150" t="str">
            <v>PROV LOCATION KPC KSM</v>
          </cell>
        </row>
        <row r="151">
          <cell r="B151">
            <v>99</v>
          </cell>
          <cell r="C151" t="str">
            <v>HEAD OFFICE</v>
          </cell>
          <cell r="H151" t="str">
            <v>44-0586-001</v>
          </cell>
          <cell r="I151" t="str">
            <v>MOBIL DELVAC 1140 - LITRES</v>
          </cell>
        </row>
        <row r="152">
          <cell r="H152" t="str">
            <v>44-0586-008</v>
          </cell>
          <cell r="I152" t="str">
            <v>MOBIL DELVAC 1140 - 208 LT</v>
          </cell>
        </row>
        <row r="153">
          <cell r="H153" t="str">
            <v>44-0586-020</v>
          </cell>
          <cell r="I153" t="str">
            <v>MOBIL DELVAC 1140 - 20 LT</v>
          </cell>
        </row>
        <row r="154">
          <cell r="H154" t="str">
            <v>44-0586-121</v>
          </cell>
          <cell r="I154" t="str">
            <v>MOBIL DELVAC 1140 - 12 X 1 LT</v>
          </cell>
        </row>
        <row r="155">
          <cell r="H155" t="str">
            <v>44-0586-145</v>
          </cell>
          <cell r="I155" t="str">
            <v>MOBIL DELVAC 1140 - 6 X 5 LT</v>
          </cell>
        </row>
        <row r="156">
          <cell r="H156" t="str">
            <v>44-0586-240</v>
          </cell>
          <cell r="I156" t="str">
            <v>MOBIL DELVAC 1140 - 40X0.5 LT</v>
          </cell>
        </row>
        <row r="157">
          <cell r="H157" t="str">
            <v>44-0586-242</v>
          </cell>
          <cell r="I157" t="str">
            <v>MOBIL DELVAC 1140 - 0.5 LT</v>
          </cell>
        </row>
        <row r="158">
          <cell r="H158" t="str">
            <v>44-0586-910</v>
          </cell>
          <cell r="I158" t="str">
            <v>MOBIL DELVAC 1140 - 210 LT</v>
          </cell>
        </row>
        <row r="159">
          <cell r="H159" t="str">
            <v>44-0586-945</v>
          </cell>
          <cell r="I159" t="str">
            <v>MOBIL DELVAC 1140 - 5 LT</v>
          </cell>
        </row>
        <row r="160">
          <cell r="H160" t="str">
            <v>44-0594-001</v>
          </cell>
          <cell r="I160" t="str">
            <v>MOBIL DELVAC 1150 - LITRES</v>
          </cell>
        </row>
        <row r="161">
          <cell r="H161" t="str">
            <v>44-0594-145</v>
          </cell>
          <cell r="I161" t="str">
            <v>MOBIL DELVAC 1150 - 4 X 5 LT</v>
          </cell>
        </row>
        <row r="162">
          <cell r="H162" t="str">
            <v>44-0594-945</v>
          </cell>
          <cell r="I162" t="str">
            <v>MOBIL DELVAC 1150 - 5 LT</v>
          </cell>
        </row>
        <row r="163">
          <cell r="H163" t="str">
            <v>44-0701-001</v>
          </cell>
          <cell r="I163" t="str">
            <v>MOBIL DELVAC 1310 - LITRES</v>
          </cell>
        </row>
        <row r="164">
          <cell r="H164" t="str">
            <v>44-0701-008</v>
          </cell>
          <cell r="I164" t="str">
            <v>MOBIL DELVAC 1310 - 208 LT DRUM</v>
          </cell>
        </row>
        <row r="165">
          <cell r="H165" t="str">
            <v>44-0701-020</v>
          </cell>
          <cell r="I165" t="str">
            <v>MOBIL DELVAC 1310 - 20 LT PAIL</v>
          </cell>
        </row>
        <row r="166">
          <cell r="H166" t="str">
            <v>44-0701-063</v>
          </cell>
          <cell r="I166" t="str">
            <v>MOBIL DELVAC 1310 - 200 LT</v>
          </cell>
        </row>
        <row r="167">
          <cell r="H167" t="str">
            <v>44-0727-001</v>
          </cell>
          <cell r="I167" t="str">
            <v/>
          </cell>
        </row>
        <row r="168">
          <cell r="H168" t="str">
            <v>44-0727-008</v>
          </cell>
          <cell r="I168" t="str">
            <v>MOBIL DELVAC 1330 - 208 LT DRUM</v>
          </cell>
        </row>
        <row r="169">
          <cell r="H169" t="str">
            <v>44-0727-020</v>
          </cell>
          <cell r="I169" t="str">
            <v>MOBIL DELVAC 1330 - 20 LT PAIL</v>
          </cell>
        </row>
        <row r="170">
          <cell r="H170" t="str">
            <v>44-0727-145</v>
          </cell>
          <cell r="I170" t="str">
            <v>MOBIL DELVAC 1330 - 4 X 5 LT</v>
          </cell>
        </row>
        <row r="171">
          <cell r="H171" t="str">
            <v>44-0727-905</v>
          </cell>
          <cell r="I171" t="str">
            <v>MOBIL DELVAC 1330 - 205 LT</v>
          </cell>
        </row>
        <row r="172">
          <cell r="H172" t="str">
            <v>44-0735-001</v>
          </cell>
          <cell r="I172" t="str">
            <v>MOBIL DELVAC 1340 - LITRES</v>
          </cell>
        </row>
        <row r="173">
          <cell r="H173" t="str">
            <v>44-0735-008</v>
          </cell>
          <cell r="I173" t="str">
            <v>MOBIL DELVAC 1340 - 208 LT DRUM</v>
          </cell>
        </row>
        <row r="174">
          <cell r="H174" t="str">
            <v>44-0735-020</v>
          </cell>
          <cell r="I174" t="str">
            <v>MOBIL DELVAC 1340 - 20 LT PAIL</v>
          </cell>
        </row>
        <row r="175">
          <cell r="H175" t="str">
            <v>44-0735-121</v>
          </cell>
          <cell r="I175" t="str">
            <v>MOBIL DELVAC 1340 - 12 X 1 LT CARTON</v>
          </cell>
        </row>
        <row r="176">
          <cell r="H176" t="str">
            <v>44-0735-144</v>
          </cell>
          <cell r="I176" t="str">
            <v>MOBIL DELVAC 1340 - 4 X 4 LT CARTON</v>
          </cell>
        </row>
        <row r="177">
          <cell r="H177" t="str">
            <v>44-0735-145</v>
          </cell>
          <cell r="I177" t="str">
            <v>MOBIL DELVAC 1340 - 4 X 5 LT</v>
          </cell>
        </row>
        <row r="178">
          <cell r="H178" t="str">
            <v>44-0735-910</v>
          </cell>
          <cell r="I178" t="str">
            <v>MOBIL DELVAC 1340 - 210 LT</v>
          </cell>
        </row>
        <row r="179">
          <cell r="H179" t="str">
            <v>44-0735-921</v>
          </cell>
          <cell r="I179" t="str">
            <v>MOBIL DELVAC 1340 - 1 LT CAN</v>
          </cell>
        </row>
        <row r="180">
          <cell r="H180" t="str">
            <v>44-0735-944</v>
          </cell>
          <cell r="I180" t="str">
            <v>MOBIL DELVAC 1340 - 4 LT CAN</v>
          </cell>
        </row>
        <row r="181">
          <cell r="H181" t="str">
            <v>44-0743-001</v>
          </cell>
          <cell r="I181" t="str">
            <v>MOBIL DELVAC 1350 - LITRES</v>
          </cell>
        </row>
        <row r="182">
          <cell r="H182" t="str">
            <v>44-0743-008</v>
          </cell>
          <cell r="I182" t="str">
            <v>MOBIL DELVAC 1350 - 208 LT DRUM</v>
          </cell>
        </row>
        <row r="183">
          <cell r="H183" t="str">
            <v>44-0743-020</v>
          </cell>
          <cell r="I183" t="str">
            <v>MOBIL DELVAC 1350 - 20 LT PAIL</v>
          </cell>
        </row>
        <row r="184">
          <cell r="H184" t="str">
            <v>44-0743-121</v>
          </cell>
          <cell r="I184" t="str">
            <v>MOBIL DELVAC 1350 - 12 X 1 LT CARTON</v>
          </cell>
        </row>
        <row r="185">
          <cell r="H185" t="str">
            <v>44-0743-144</v>
          </cell>
          <cell r="I185" t="str">
            <v>MOBIL DELVAC 1350 - 4 X 4 LT CARTON</v>
          </cell>
        </row>
        <row r="186">
          <cell r="H186" t="str">
            <v>44-0826-144</v>
          </cell>
          <cell r="I186" t="str">
            <v>MOBIL DELVAC 1430 - 4 X 4 LT</v>
          </cell>
        </row>
        <row r="187">
          <cell r="H187" t="str">
            <v>44-0834-001</v>
          </cell>
          <cell r="I187" t="str">
            <v>MOBIL DELVAC 1440 - LITRES</v>
          </cell>
        </row>
        <row r="188">
          <cell r="H188" t="str">
            <v>44-0834-008</v>
          </cell>
          <cell r="I188" t="str">
            <v>MOBIL DELVAC 1440 - 208 LT DRUM</v>
          </cell>
        </row>
        <row r="189">
          <cell r="H189" t="str">
            <v>44-0834-020</v>
          </cell>
          <cell r="I189" t="str">
            <v>MOBIL DELVAC 1440 - 20 LT PAIL</v>
          </cell>
        </row>
        <row r="190">
          <cell r="H190" t="str">
            <v>44-1048-000</v>
          </cell>
          <cell r="I190" t="str">
            <v>MOBIL DELVAC MX 15W 40 -BULK</v>
          </cell>
        </row>
        <row r="191">
          <cell r="H191" t="str">
            <v>44-1048-001</v>
          </cell>
          <cell r="I191" t="str">
            <v>MOBIL DELVAC MX 15W-40 - LITRES</v>
          </cell>
        </row>
        <row r="192">
          <cell r="H192" t="str">
            <v>44-1048-008</v>
          </cell>
          <cell r="I192" t="str">
            <v>MOBIL DELVAC MX 15W-40 - 208 LT DRUM</v>
          </cell>
        </row>
        <row r="193">
          <cell r="H193" t="str">
            <v>44-1048-020</v>
          </cell>
          <cell r="I193" t="str">
            <v>MOBIL DELVAC MX 15W-40 - 20 LT PAIL</v>
          </cell>
        </row>
        <row r="194">
          <cell r="H194" t="str">
            <v>44-1048-121</v>
          </cell>
          <cell r="I194" t="str">
            <v>MOBIL DELVAC MX 15W-40 - 12 X 1 LT CARTO</v>
          </cell>
        </row>
        <row r="195">
          <cell r="H195" t="str">
            <v>44-1048-144</v>
          </cell>
          <cell r="I195" t="str">
            <v>MOBIL DELVAC MX 15W-40 - 4 X 4 LT CARTON</v>
          </cell>
        </row>
        <row r="196">
          <cell r="H196" t="str">
            <v>44-1048-910</v>
          </cell>
          <cell r="I196" t="str">
            <v>MOBIL DELVAC MX 15W-40 - 210 LT</v>
          </cell>
        </row>
        <row r="197">
          <cell r="H197" t="str">
            <v>44-1048-944</v>
          </cell>
          <cell r="I197" t="str">
            <v>MOBIL DELVAC MX 15W-40 - 4 LT CAN</v>
          </cell>
        </row>
        <row r="198">
          <cell r="H198" t="str">
            <v>44-1204-020</v>
          </cell>
          <cell r="I198" t="str">
            <v>MOBIL DELVAC XHP SAE 15W-40 - 20 LT</v>
          </cell>
        </row>
        <row r="199">
          <cell r="H199" t="str">
            <v>44-1428-008</v>
          </cell>
          <cell r="I199" t="str">
            <v>MOBIL DELVAC 1 SHC - 208 LT DRUM</v>
          </cell>
        </row>
        <row r="200">
          <cell r="H200" t="str">
            <v>44-1428-020</v>
          </cell>
          <cell r="I200" t="str">
            <v>MOBIL DELVAC 1 SHC - 20 LT</v>
          </cell>
        </row>
        <row r="201">
          <cell r="H201" t="str">
            <v>47-5087-001</v>
          </cell>
          <cell r="I201" t="str">
            <v>MOBIL MOTOR OIL SAE 40 - LITRES</v>
          </cell>
        </row>
        <row r="202">
          <cell r="H202" t="str">
            <v>47-5087-020</v>
          </cell>
          <cell r="I202" t="str">
            <v>MOBIL MOTOR OIL SAE 40 - 20 LT</v>
          </cell>
        </row>
        <row r="203">
          <cell r="H203" t="str">
            <v>47-5087-121</v>
          </cell>
          <cell r="I203" t="str">
            <v>MOBIL MOTOR OIL SAE 40 - 12 X 1 LT</v>
          </cell>
        </row>
        <row r="204">
          <cell r="H204" t="str">
            <v>47-5087-144</v>
          </cell>
          <cell r="I204" t="str">
            <v>MOBIL MOTOR OIL SAE 40 - 4 X 4 LT</v>
          </cell>
        </row>
        <row r="205">
          <cell r="H205" t="str">
            <v>47-5087-145</v>
          </cell>
          <cell r="I205" t="str">
            <v>MOBIL MOTOR OIL SAE 40 - 4 X 5 LT</v>
          </cell>
        </row>
        <row r="206">
          <cell r="H206" t="str">
            <v>47-5087-245</v>
          </cell>
          <cell r="I206" t="str">
            <v>MOBIL MOTOR OIL SAE 40 - 32 X 1/2 LT</v>
          </cell>
        </row>
        <row r="207">
          <cell r="H207" t="str">
            <v>47-5090-020</v>
          </cell>
          <cell r="I207" t="str">
            <v>MOBIL MOTOR OIL SAE 50 - 20 LT</v>
          </cell>
        </row>
        <row r="208">
          <cell r="H208" t="str">
            <v>47-5095-001</v>
          </cell>
          <cell r="I208" t="str">
            <v>MOBIL MOTOR OIL SAE 50 - LITRES</v>
          </cell>
        </row>
        <row r="209">
          <cell r="H209" t="str">
            <v>47-5095-008</v>
          </cell>
          <cell r="I209" t="str">
            <v>MOBIL MOTOR OIL SAE 50 - 208 LT</v>
          </cell>
        </row>
        <row r="210">
          <cell r="H210" t="str">
            <v>47-5095-020</v>
          </cell>
          <cell r="I210" t="str">
            <v>MOBIL MOTOR OIL SAE 50 - 20 LT</v>
          </cell>
        </row>
        <row r="211">
          <cell r="H211" t="str">
            <v>47-5095-121</v>
          </cell>
          <cell r="I211" t="str">
            <v>MOBIL MOTOR OIL SAE 50 - 12 X 1 LT</v>
          </cell>
        </row>
        <row r="212">
          <cell r="H212" t="str">
            <v>47-5095-144</v>
          </cell>
          <cell r="I212" t="str">
            <v>MOBIL MOTOR OIL SAE 50 - 4 X 4 LT</v>
          </cell>
        </row>
        <row r="213">
          <cell r="H213" t="str">
            <v>47-5095-145</v>
          </cell>
          <cell r="I213" t="str">
            <v>MOBIL MOTOR OIL SAE 50 - 4 X 5 LT</v>
          </cell>
        </row>
        <row r="214">
          <cell r="H214" t="str">
            <v>47-5095-245</v>
          </cell>
          <cell r="I214" t="str">
            <v>MOBIL MOTOR OIL SAE 50 - 32  X 1/2 LT</v>
          </cell>
        </row>
        <row r="215">
          <cell r="H215" t="str">
            <v>47-5095-910</v>
          </cell>
          <cell r="I215" t="str">
            <v>MOBIL MOTOR OIL SAE 50 - 210 LT</v>
          </cell>
        </row>
        <row r="216">
          <cell r="H216" t="str">
            <v>47-8784-001</v>
          </cell>
          <cell r="I216" t="str">
            <v>CAT DEO CG-4 15W40 - BULK LTRS</v>
          </cell>
        </row>
        <row r="217">
          <cell r="H217" t="str">
            <v>47-8784-008</v>
          </cell>
          <cell r="I217" t="str">
            <v>CAT DEO CG-4 15W40 - 208 LT</v>
          </cell>
        </row>
        <row r="218">
          <cell r="H218" t="str">
            <v>47-8784-020</v>
          </cell>
          <cell r="I218" t="str">
            <v>CAT DEO CG-4 15W40 - 20 LT</v>
          </cell>
        </row>
        <row r="219">
          <cell r="H219" t="str">
            <v>47-8784-144</v>
          </cell>
          <cell r="I219" t="str">
            <v>CAT DEO CG-4 15W40 - 4 X 4 LT</v>
          </cell>
        </row>
        <row r="220">
          <cell r="H220" t="str">
            <v>47-8909-008</v>
          </cell>
          <cell r="I220" t="str">
            <v>CAT HYDO 10W - 208 LT</v>
          </cell>
        </row>
        <row r="221">
          <cell r="H221" t="str">
            <v>47-8909-020</v>
          </cell>
          <cell r="I221" t="str">
            <v>CAT HYDO 10W - 20 LT</v>
          </cell>
        </row>
        <row r="222">
          <cell r="H222" t="str">
            <v>48-0269-001</v>
          </cell>
          <cell r="I222" t="str">
            <v>MOBIL SUPER 20W - 50 - LITRES</v>
          </cell>
        </row>
        <row r="223">
          <cell r="H223" t="str">
            <v>48-0269-008</v>
          </cell>
          <cell r="I223" t="str">
            <v>MOBIL SUPER 20W - 50 - 208 LT DRUM</v>
          </cell>
        </row>
        <row r="224">
          <cell r="H224" t="str">
            <v>48-0269-020</v>
          </cell>
          <cell r="I224" t="str">
            <v>MOBIL SUPER 20W - 50 - 20 LT PAIL</v>
          </cell>
        </row>
        <row r="225">
          <cell r="H225" t="str">
            <v>48-0269-121</v>
          </cell>
          <cell r="I225" t="str">
            <v>MOBIL SUPER 20W - 50 - 12 X 1 LT CARTON</v>
          </cell>
        </row>
        <row r="226">
          <cell r="H226" t="str">
            <v>48-0269-144</v>
          </cell>
          <cell r="I226" t="str">
            <v>MOBIL SUPER 20W - 50 - 4 X 4 LT CARTON</v>
          </cell>
        </row>
        <row r="227">
          <cell r="H227" t="str">
            <v>48-0269-910</v>
          </cell>
          <cell r="I227" t="str">
            <v>MOBIL SUPER 20W - 50 - 210 LT</v>
          </cell>
        </row>
        <row r="228">
          <cell r="H228" t="str">
            <v>48-0269-921</v>
          </cell>
          <cell r="I228" t="str">
            <v>MOBIL SUPER 20W - 50 - 1 LT CAN</v>
          </cell>
        </row>
        <row r="229">
          <cell r="H229" t="str">
            <v>48-0269-944</v>
          </cell>
          <cell r="I229" t="str">
            <v>MOBIL SUPER 20W - 50 - 4 LT CAN</v>
          </cell>
        </row>
        <row r="230">
          <cell r="H230" t="str">
            <v>48-0269-945</v>
          </cell>
          <cell r="I230" t="str">
            <v>MOBIL SUPER 20W - 50 - 5 LT</v>
          </cell>
        </row>
        <row r="231">
          <cell r="H231" t="str">
            <v>48-0426-144</v>
          </cell>
          <cell r="I231" t="str">
            <v>MOBIL SUPER S 15W40 - 4 X 4 LT</v>
          </cell>
        </row>
        <row r="232">
          <cell r="H232" t="str">
            <v>48-0566-001</v>
          </cell>
          <cell r="I232" t="str">
            <v>MOBIL SUPER XHP 20W - 50 - LITRES</v>
          </cell>
        </row>
        <row r="233">
          <cell r="H233" t="str">
            <v>48-0566-008</v>
          </cell>
          <cell r="I233" t="str">
            <v>MOBIL SUPER XHP 20W - 50 - 208 LT DRUM</v>
          </cell>
        </row>
        <row r="234">
          <cell r="H234" t="str">
            <v>48-0566-020</v>
          </cell>
          <cell r="I234" t="str">
            <v>MOBIL SUPER XHP 20W - 50 - 20 LT PAIL</v>
          </cell>
        </row>
        <row r="235">
          <cell r="H235" t="str">
            <v>48-1184-001</v>
          </cell>
          <cell r="I235" t="str">
            <v>MOBIL 1 15W - 50 - LITRES</v>
          </cell>
        </row>
        <row r="236">
          <cell r="H236" t="str">
            <v>48-1184-008</v>
          </cell>
          <cell r="I236" t="str">
            <v>MOBIL 1 15W - 50 - 208 LT DRUM</v>
          </cell>
        </row>
        <row r="237">
          <cell r="H237" t="str">
            <v>48-1184-020</v>
          </cell>
          <cell r="I237" t="str">
            <v>MOBIL 1 15W - 50 - 20 LT PAIL</v>
          </cell>
        </row>
        <row r="238">
          <cell r="H238" t="str">
            <v>48-1184-121</v>
          </cell>
          <cell r="I238" t="str">
            <v>MOBIL 1 15W - 50 - 12 X 1 LT CARTON</v>
          </cell>
        </row>
        <row r="239">
          <cell r="H239" t="str">
            <v>48-1184-144</v>
          </cell>
          <cell r="I239" t="str">
            <v>MOBIL 1 15W - 50 - 4 X 4 LT CARTON</v>
          </cell>
        </row>
        <row r="240">
          <cell r="H240" t="str">
            <v>49-0128-002</v>
          </cell>
          <cell r="I240" t="str">
            <v>MOBIL AERO HF - 24X0.95 LT CARTON</v>
          </cell>
        </row>
        <row r="241">
          <cell r="H241" t="str">
            <v>49-0128-020</v>
          </cell>
          <cell r="I241" t="str">
            <v>MOBIL AERO HF - 6 X 1USG CARTON</v>
          </cell>
        </row>
        <row r="242">
          <cell r="H242" t="str">
            <v>49-0128-021</v>
          </cell>
          <cell r="I242" t="str">
            <v>MOBIL AERO HF - 1X5USG PAIL</v>
          </cell>
        </row>
        <row r="243">
          <cell r="H243" t="str">
            <v>49-0128-144</v>
          </cell>
          <cell r="I243" t="str">
            <v>MOBIL AERO HF - 4 X 4 LT</v>
          </cell>
        </row>
        <row r="244">
          <cell r="H244" t="str">
            <v>49-0128-241</v>
          </cell>
          <cell r="I244" t="str">
            <v>MOBIL AERO HF - 6X3.79 LT CARTON</v>
          </cell>
        </row>
        <row r="245">
          <cell r="H245" t="str">
            <v>49-1280-020</v>
          </cell>
          <cell r="I245" t="str">
            <v>MOBIL AERO HF - 18.9 LITRES</v>
          </cell>
        </row>
        <row r="246">
          <cell r="H246" t="str">
            <v>51-0156-001</v>
          </cell>
          <cell r="I246" t="str">
            <v>MOBILUBE HD 80W90 - LITRES</v>
          </cell>
        </row>
        <row r="247">
          <cell r="H247" t="str">
            <v>51-0156-008</v>
          </cell>
          <cell r="I247" t="str">
            <v>MOBILUBE HD 80W90 - 208 LT DRUM</v>
          </cell>
        </row>
        <row r="248">
          <cell r="H248" t="str">
            <v>51-0156-020</v>
          </cell>
          <cell r="I248" t="str">
            <v>MOBILUBE HD 80W90 - 20 LT PAIL</v>
          </cell>
        </row>
        <row r="249">
          <cell r="H249" t="str">
            <v>51-0156-121</v>
          </cell>
          <cell r="I249" t="str">
            <v>MOBILUBE HD 80W90 - 12 X 1 LT CARTON</v>
          </cell>
        </row>
        <row r="250">
          <cell r="H250" t="str">
            <v>51-0156-144</v>
          </cell>
          <cell r="I250" t="str">
            <v>MOBILUBE HD 80W90 - 4 X 4 LT CARTON</v>
          </cell>
        </row>
        <row r="251">
          <cell r="H251" t="str">
            <v>51-0156-145</v>
          </cell>
          <cell r="I251" t="str">
            <v>MOBILUBE HD 80W90 - 4 X 5 LT CARTON</v>
          </cell>
        </row>
        <row r="252">
          <cell r="H252" t="str">
            <v>51-0156-910</v>
          </cell>
          <cell r="I252" t="str">
            <v>MOBILUBE HD 80W90 - 210 LT</v>
          </cell>
        </row>
        <row r="253">
          <cell r="H253" t="str">
            <v>51-0156-921</v>
          </cell>
          <cell r="I253" t="str">
            <v>MOBILUBE HD 80W90 - 1 LT CAN</v>
          </cell>
        </row>
        <row r="254">
          <cell r="H254" t="str">
            <v>51-0156-945</v>
          </cell>
          <cell r="I254" t="str">
            <v>MOBILUBE HD 80W90 - 5 LT</v>
          </cell>
        </row>
        <row r="255">
          <cell r="H255" t="str">
            <v>51-0198-001</v>
          </cell>
          <cell r="I255" t="str">
            <v>MOBILUBE HD85W140 - LITRES</v>
          </cell>
        </row>
        <row r="256">
          <cell r="H256" t="str">
            <v>51-0198-008</v>
          </cell>
          <cell r="I256" t="str">
            <v>MOBILUBE HD85W140 - 208 LT DRUM</v>
          </cell>
        </row>
        <row r="257">
          <cell r="H257" t="str">
            <v>51-0198-020</v>
          </cell>
          <cell r="I257" t="str">
            <v>MOBILUBE HD85W140 - 20 LT PAIL</v>
          </cell>
        </row>
        <row r="258">
          <cell r="H258" t="str">
            <v>51-0198-121</v>
          </cell>
          <cell r="I258" t="str">
            <v>MOBILUBE HD85W140 - 12 X 1 LT CARTON</v>
          </cell>
        </row>
        <row r="259">
          <cell r="H259" t="str">
            <v>51-0198-144</v>
          </cell>
          <cell r="I259" t="str">
            <v>MOBILUBE HD85W140 - 4 X 4 LT CARTON</v>
          </cell>
        </row>
        <row r="260">
          <cell r="H260" t="str">
            <v>51-0198-145</v>
          </cell>
          <cell r="I260" t="str">
            <v>MOBILUBE HD85W140 - 4 X 5 LT CARTON</v>
          </cell>
        </row>
        <row r="261">
          <cell r="H261" t="str">
            <v>51-0198-240</v>
          </cell>
          <cell r="I261" t="str">
            <v>MOBILUBE HD85W140 - 40X0.5 LT</v>
          </cell>
        </row>
        <row r="262">
          <cell r="H262" t="str">
            <v>51-0198-910</v>
          </cell>
          <cell r="I262" t="str">
            <v>MOBIL HD 80W140 - 210 LT</v>
          </cell>
        </row>
        <row r="263">
          <cell r="H263" t="str">
            <v>51-0198-944</v>
          </cell>
          <cell r="I263" t="str">
            <v>MOBILUBE HD85W140 - 4 LT CAN</v>
          </cell>
        </row>
        <row r="264">
          <cell r="H264" t="str">
            <v>51-0198-945</v>
          </cell>
          <cell r="I264" t="str">
            <v>MOBIL HD 80W140 - 5 LT</v>
          </cell>
        </row>
        <row r="265">
          <cell r="H265" t="str">
            <v>51-0222-020</v>
          </cell>
          <cell r="I265" t="str">
            <v>MOBILUBE GX 80W-A - 20 LT PAIL</v>
          </cell>
        </row>
        <row r="266">
          <cell r="H266" t="str">
            <v>51-0263-008</v>
          </cell>
          <cell r="I266" t="str">
            <v>MOBIL GL4 85W140 - 208 LT DRUM</v>
          </cell>
        </row>
        <row r="267">
          <cell r="H267" t="str">
            <v>51-1006-020</v>
          </cell>
          <cell r="I267" t="str">
            <v>MOBILUBE SHC 75W-90 - 20 LT</v>
          </cell>
        </row>
        <row r="268">
          <cell r="H268" t="str">
            <v>51-1008-020</v>
          </cell>
          <cell r="I268" t="str">
            <v>MOBILUBE 1 SHC 75W-90 - 20 LT</v>
          </cell>
        </row>
        <row r="269">
          <cell r="H269" t="str">
            <v>51-1014-020</v>
          </cell>
          <cell r="I269" t="str">
            <v>MOBILUBE SHC 80W - 140 - 20 LT</v>
          </cell>
        </row>
        <row r="270">
          <cell r="H270" t="str">
            <v>51-1014-021</v>
          </cell>
          <cell r="I270" t="str">
            <v>MOBILUBE SHC 80W - 140 - 1 X 25 LT</v>
          </cell>
        </row>
        <row r="271">
          <cell r="H271" t="str">
            <v>51-1014-022</v>
          </cell>
          <cell r="I271" t="str">
            <v>MOBILUBE SHC 80W - 140 - 17.2 LT PAIL</v>
          </cell>
        </row>
        <row r="272">
          <cell r="H272" t="str">
            <v>51-1139-001</v>
          </cell>
          <cell r="I272" t="str">
            <v>MOBILTRANS HD30 - LITRES</v>
          </cell>
        </row>
        <row r="273">
          <cell r="H273" t="str">
            <v>51-1139-008</v>
          </cell>
          <cell r="I273" t="str">
            <v>MOBILTRANS HD30 - 208 LT</v>
          </cell>
        </row>
        <row r="274">
          <cell r="H274" t="str">
            <v>51-1139-020</v>
          </cell>
          <cell r="I274" t="str">
            <v>MOBILTRANS HD30 - 20 LT</v>
          </cell>
        </row>
        <row r="275">
          <cell r="H275" t="str">
            <v>51-1147-001</v>
          </cell>
          <cell r="I275" t="str">
            <v>MOBILTRANS HD50 - LITRES</v>
          </cell>
        </row>
        <row r="276">
          <cell r="H276" t="str">
            <v>51-1147-008</v>
          </cell>
          <cell r="I276" t="str">
            <v>MOBILTRANS HD50 - 208 LT DRUM</v>
          </cell>
        </row>
        <row r="277">
          <cell r="H277" t="str">
            <v>51-1147-020</v>
          </cell>
          <cell r="I277" t="str">
            <v>MOBILTRANS HD50 - 20 LT</v>
          </cell>
        </row>
        <row r="278">
          <cell r="H278" t="str">
            <v>51-1147-144</v>
          </cell>
          <cell r="I278" t="str">
            <v>MOBILTRANS HD50 - 4 X 4 LT</v>
          </cell>
        </row>
        <row r="279">
          <cell r="H279" t="str">
            <v>51-1280-008</v>
          </cell>
          <cell r="I279" t="str">
            <v>MOBILUBE LS 85W90 - 208 LT</v>
          </cell>
        </row>
        <row r="280">
          <cell r="H280" t="str">
            <v>51-1280-020</v>
          </cell>
          <cell r="I280" t="str">
            <v>MOBILUBE LS 85W90 - 20 LT</v>
          </cell>
        </row>
        <row r="281">
          <cell r="H281" t="str">
            <v>51-1287-008</v>
          </cell>
          <cell r="I281" t="str">
            <v>MOBILUBE LS 85W90 - 208 LT</v>
          </cell>
        </row>
        <row r="282">
          <cell r="H282" t="str">
            <v>51-1287-020</v>
          </cell>
          <cell r="I282" t="str">
            <v>MOBILUBE LS 85W90 - 20 LT</v>
          </cell>
        </row>
        <row r="283">
          <cell r="H283" t="str">
            <v>52-0254-008</v>
          </cell>
          <cell r="I283" t="str">
            <v>MOBIL ATF DEXTRON 111 - 208 LT DRUM</v>
          </cell>
        </row>
        <row r="284">
          <cell r="H284" t="str">
            <v>52-0254-121</v>
          </cell>
          <cell r="I284" t="str">
            <v>MOBIL ATF DEXTRON 111 - 12X1 LT CARTON</v>
          </cell>
        </row>
        <row r="285">
          <cell r="H285" t="str">
            <v>52-2177-000</v>
          </cell>
          <cell r="I285" t="str">
            <v>MOBIL ATF 220 - KILOS</v>
          </cell>
        </row>
        <row r="286">
          <cell r="H286" t="str">
            <v>52-2177-001</v>
          </cell>
          <cell r="I286" t="str">
            <v>MOBIL ATF 220 - LITRES</v>
          </cell>
        </row>
        <row r="287">
          <cell r="H287" t="str">
            <v>52-2177-008</v>
          </cell>
          <cell r="I287" t="str">
            <v>MOBIL ATF 220 - 208 LT DRUM</v>
          </cell>
        </row>
        <row r="288">
          <cell r="H288" t="str">
            <v>52-2177-020</v>
          </cell>
          <cell r="I288" t="str">
            <v>MOBIL ATF 220 - 20 LT PAIL</v>
          </cell>
        </row>
        <row r="289">
          <cell r="H289" t="str">
            <v>52-2177-121</v>
          </cell>
          <cell r="I289" t="str">
            <v>MOBIL ATF 220 - 12 X 1 LT CARTON</v>
          </cell>
        </row>
        <row r="290">
          <cell r="H290" t="str">
            <v>52-2177-144</v>
          </cell>
          <cell r="I290" t="str">
            <v>MOBIL ATF 220 - 4 X 4 LT CARTON</v>
          </cell>
        </row>
        <row r="291">
          <cell r="H291" t="str">
            <v>52-2177-921</v>
          </cell>
          <cell r="I291" t="str">
            <v>MOBIL ATF 220 - 1 LT CAN</v>
          </cell>
        </row>
        <row r="292">
          <cell r="H292" t="str">
            <v>52-2177-944</v>
          </cell>
          <cell r="I292" t="str">
            <v>MOBIL ATF 220 - 4 LT CAN</v>
          </cell>
        </row>
        <row r="293">
          <cell r="H293" t="str">
            <v>52-2334-001</v>
          </cell>
          <cell r="I293" t="str">
            <v>MOBILFLUID 424 - LITRES</v>
          </cell>
        </row>
        <row r="294">
          <cell r="H294" t="str">
            <v>52-2334-008</v>
          </cell>
          <cell r="I294" t="str">
            <v>MOBILFLUID 424 - 208 LT DRUM</v>
          </cell>
        </row>
        <row r="295">
          <cell r="H295" t="str">
            <v>52-2334-020</v>
          </cell>
          <cell r="I295" t="str">
            <v>MOBILFLUID 424 - 20 LT PAIL</v>
          </cell>
        </row>
        <row r="296">
          <cell r="H296" t="str">
            <v>52-5014-020</v>
          </cell>
          <cell r="I296" t="str">
            <v>MOBIL ATF D 21412 - 20 LT</v>
          </cell>
        </row>
        <row r="297">
          <cell r="H297" t="str">
            <v>53-0204-050</v>
          </cell>
          <cell r="I297" t="str">
            <v>MOBIL GREASE MP - 1 X 50 KG  KEG</v>
          </cell>
        </row>
        <row r="298">
          <cell r="H298" t="str">
            <v>53-0204-123</v>
          </cell>
          <cell r="I298" t="str">
            <v>MOBIL GREASE MP - 12 X 1 KG</v>
          </cell>
        </row>
        <row r="299">
          <cell r="H299" t="str">
            <v>53-0204-163</v>
          </cell>
          <cell r="I299" t="str">
            <v>MOBIL GREASE MP - 6 X 3 KG</v>
          </cell>
        </row>
        <row r="300">
          <cell r="H300" t="str">
            <v>53-0220-009</v>
          </cell>
          <cell r="I300" t="str">
            <v>MOBILGREASE HP 103 - 180 KG DRUM</v>
          </cell>
        </row>
        <row r="301">
          <cell r="H301" t="str">
            <v>53-0220-020</v>
          </cell>
          <cell r="I301" t="str">
            <v>MOBILGREASE HP 103 - 18 KG</v>
          </cell>
        </row>
        <row r="302">
          <cell r="H302" t="str">
            <v>53-0220-021</v>
          </cell>
          <cell r="I302" t="str">
            <v>MOBILGREASE HP 103 - 20 KG BAG</v>
          </cell>
        </row>
        <row r="303">
          <cell r="H303" t="str">
            <v>53-0220-990</v>
          </cell>
          <cell r="I303" t="str">
            <v>MOBILGREASE HP 103 - 190 KG</v>
          </cell>
        </row>
        <row r="304">
          <cell r="H304" t="str">
            <v>53-0311-009</v>
          </cell>
          <cell r="I304" t="str">
            <v>MOBILGREASE HP 222 - 180 KG DRUM</v>
          </cell>
        </row>
        <row r="305">
          <cell r="H305" t="str">
            <v>53-0311-020</v>
          </cell>
          <cell r="I305" t="str">
            <v>MOBILGREASE HP 222 - 18 KG</v>
          </cell>
        </row>
        <row r="306">
          <cell r="H306" t="str">
            <v>53-0311-021</v>
          </cell>
          <cell r="I306" t="str">
            <v>MOBILGREASE HP 222 - 20 KG BAG</v>
          </cell>
        </row>
        <row r="307">
          <cell r="H307" t="str">
            <v>53-0345-009</v>
          </cell>
          <cell r="I307" t="str">
            <v>MOBILGREASE HP 322 SPECIAL - 180 KG</v>
          </cell>
        </row>
        <row r="308">
          <cell r="H308" t="str">
            <v>53-0626-246</v>
          </cell>
          <cell r="I308" t="str">
            <v>MOBIL GREASE 28 - 6 X 2.27 KG</v>
          </cell>
        </row>
        <row r="309">
          <cell r="H309" t="str">
            <v>55-4154-008</v>
          </cell>
          <cell r="I309" t="str">
            <v>INFILREX 33 - 208 LT DRUM</v>
          </cell>
        </row>
        <row r="310">
          <cell r="H310" t="str">
            <v>55-4154-020</v>
          </cell>
          <cell r="I310" t="str">
            <v>INFILREX 33 - 20 LT PAIL</v>
          </cell>
        </row>
        <row r="311">
          <cell r="H311" t="str">
            <v>56-4666-008</v>
          </cell>
          <cell r="I311" t="str">
            <v>TDTO TO - 4 SAE 30 - 208 LT</v>
          </cell>
        </row>
        <row r="312">
          <cell r="H312" t="str">
            <v>56-4666-020</v>
          </cell>
          <cell r="I312" t="str">
            <v>TDTO TO - 4 SAE 30 - 20 LT</v>
          </cell>
        </row>
        <row r="313">
          <cell r="H313" t="str">
            <v>56-4674-008</v>
          </cell>
          <cell r="I313" t="str">
            <v>TDTO TO - 4 SAE 50 - 208 LT</v>
          </cell>
        </row>
        <row r="314">
          <cell r="H314" t="str">
            <v>56-4674-020</v>
          </cell>
          <cell r="I314" t="str">
            <v>TDTO TO - 4 SAE 50 - 20 LT</v>
          </cell>
        </row>
        <row r="315">
          <cell r="H315" t="str">
            <v>60-0148-008</v>
          </cell>
          <cell r="I315" t="str">
            <v>MOBIL DTE OIL LIGHT - 208 LT DRUM</v>
          </cell>
        </row>
        <row r="316">
          <cell r="H316" t="str">
            <v>60-0155-008</v>
          </cell>
          <cell r="I316" t="str">
            <v>MOBIL DTE OIL MEDIUM - 208 LT DRUM</v>
          </cell>
        </row>
        <row r="317">
          <cell r="H317" t="str">
            <v>60-0163-008</v>
          </cell>
          <cell r="I317" t="str">
            <v>MOBIL DTE OIL HEAVY MEDIUM - 208 LT DRUM</v>
          </cell>
        </row>
        <row r="318">
          <cell r="H318" t="str">
            <v>60-0189-001</v>
          </cell>
          <cell r="I318" t="str">
            <v>MOBIL DTE OIL HEAVY - LITRES</v>
          </cell>
        </row>
        <row r="319">
          <cell r="H319" t="str">
            <v>60-0189-008</v>
          </cell>
          <cell r="I319" t="str">
            <v>MOBIL DTE OIL HEAVY - 208 LT</v>
          </cell>
        </row>
        <row r="320">
          <cell r="H320" t="str">
            <v>60-0205-001</v>
          </cell>
          <cell r="I320" t="str">
            <v>MOBIL DTE OIL EXTRA HEAVY - LITRES</v>
          </cell>
        </row>
        <row r="321">
          <cell r="H321" t="str">
            <v>60-0205-008</v>
          </cell>
          <cell r="I321" t="str">
            <v>MOBIL DTE OIL EXTRA HEAVY - 208 LT DRUM</v>
          </cell>
        </row>
        <row r="322">
          <cell r="H322" t="str">
            <v>60-0510-008</v>
          </cell>
          <cell r="I322" t="str">
            <v>MOBIL VACTRA OIL NO. 4 - 208 LT DRUM</v>
          </cell>
        </row>
        <row r="323">
          <cell r="H323" t="str">
            <v>60-0510-020</v>
          </cell>
          <cell r="I323" t="str">
            <v>MOBIL VACTRA OIL NO. 4 - 20 LTR</v>
          </cell>
        </row>
        <row r="324">
          <cell r="H324" t="str">
            <v>60-0668-008</v>
          </cell>
          <cell r="I324" t="str">
            <v>MOBIL VELOCITE OIL NO. 6 - 208 LT DRUM</v>
          </cell>
        </row>
        <row r="325">
          <cell r="H325" t="str">
            <v>60-0668-018</v>
          </cell>
          <cell r="I325" t="str">
            <v>VELOCITE NO. 6 18 KG</v>
          </cell>
        </row>
        <row r="326">
          <cell r="H326" t="str">
            <v>60-0668-020</v>
          </cell>
          <cell r="I326" t="str">
            <v>MOBIL VELOCITE OIL NO. 6 - 20 LT PAIL</v>
          </cell>
        </row>
        <row r="327">
          <cell r="H327" t="str">
            <v>60-0791-020</v>
          </cell>
          <cell r="I327" t="str">
            <v>MOBIL GARGOYLE ARCTIC SHC 226E - 20 LT P</v>
          </cell>
        </row>
        <row r="328">
          <cell r="H328" t="str">
            <v>60-1021-020</v>
          </cell>
          <cell r="I328" t="str">
            <v>GARGOYLE ARCTIC SHC 426 - 20 LT</v>
          </cell>
        </row>
        <row r="329">
          <cell r="H329" t="str">
            <v>60-1211-008</v>
          </cell>
          <cell r="I329" t="str">
            <v>MOBIL 600W SUPER CYLINDER OIL -208 LT DR</v>
          </cell>
        </row>
        <row r="330">
          <cell r="H330" t="str">
            <v>60-1732-020</v>
          </cell>
          <cell r="I330" t="str">
            <v>GARGOYLE ARCTIC 300 - 20 LT</v>
          </cell>
        </row>
        <row r="331">
          <cell r="H331" t="str">
            <v>60-1740-008</v>
          </cell>
          <cell r="I331" t="str">
            <v>MOBIL GARGOYLE ARCTIC OIL 300 -208 LT DR</v>
          </cell>
        </row>
        <row r="332">
          <cell r="H332" t="str">
            <v>60-1740-020</v>
          </cell>
          <cell r="I332" t="str">
            <v>MOBIL GARGOYLE ARCTIC OIL 300 - 20 LT PA</v>
          </cell>
        </row>
        <row r="333">
          <cell r="H333" t="str">
            <v>60-1997-001</v>
          </cell>
          <cell r="I333" t="str">
            <v>MOBIL STERN TUBE LUBRICANT - LITRES</v>
          </cell>
        </row>
        <row r="334">
          <cell r="H334" t="str">
            <v>60-1997-008</v>
          </cell>
          <cell r="I334" t="str">
            <v>MOBIL STERN TUBE LUBRICANT - 208 LT DRUM</v>
          </cell>
        </row>
        <row r="335">
          <cell r="H335" t="str">
            <v>60-1997-020</v>
          </cell>
          <cell r="I335" t="str">
            <v>MOBIL STERN TUBE LUBRICANT - 20 LT PAIL</v>
          </cell>
        </row>
        <row r="336">
          <cell r="H336" t="str">
            <v>60-2177-001</v>
          </cell>
          <cell r="I336" t="str">
            <v>MOBILGARD 330 - LITRES</v>
          </cell>
        </row>
        <row r="337">
          <cell r="H337" t="str">
            <v>60-2177-008</v>
          </cell>
          <cell r="I337" t="str">
            <v>MOBILGARD 330 - 208 LT DRUM</v>
          </cell>
        </row>
        <row r="338">
          <cell r="H338" t="str">
            <v>60-2177-910</v>
          </cell>
          <cell r="I338" t="str">
            <v>MOBILGARD 330 - 210 LT</v>
          </cell>
        </row>
        <row r="339">
          <cell r="H339" t="str">
            <v>60-2219-001</v>
          </cell>
          <cell r="I339" t="str">
            <v>MOBILGARD 440 - LITRES</v>
          </cell>
        </row>
        <row r="340">
          <cell r="H340" t="str">
            <v>60-2219-008</v>
          </cell>
          <cell r="I340" t="str">
            <v>MOBILGARD 440 - 208 LT DRUM</v>
          </cell>
        </row>
        <row r="341">
          <cell r="H341" t="str">
            <v>60-2219-020</v>
          </cell>
          <cell r="I341" t="str">
            <v>MOBILGARD 440 - 20 LT</v>
          </cell>
        </row>
        <row r="342">
          <cell r="H342" t="str">
            <v>60-2391-001</v>
          </cell>
          <cell r="I342" t="str">
            <v>MOBILGARD ADL 30 - LITRES</v>
          </cell>
        </row>
        <row r="343">
          <cell r="H343" t="str">
            <v>60-2391-008</v>
          </cell>
          <cell r="I343" t="str">
            <v>MOBILGARD ADL 30 - 208 LT</v>
          </cell>
        </row>
        <row r="344">
          <cell r="H344" t="str">
            <v>60-2391-020</v>
          </cell>
          <cell r="I344" t="str">
            <v>MOBILGARD ADL 30 - 20 LT</v>
          </cell>
        </row>
        <row r="345">
          <cell r="H345" t="str">
            <v>60-2417-001</v>
          </cell>
          <cell r="I345" t="str">
            <v>MOBILGARD ADL 40 - LITRES</v>
          </cell>
        </row>
        <row r="346">
          <cell r="H346" t="str">
            <v>60-2417-008</v>
          </cell>
          <cell r="I346" t="str">
            <v>MOBILGARD ADL 40 - 208 LT DRUM</v>
          </cell>
        </row>
        <row r="347">
          <cell r="H347" t="str">
            <v>60-2417-020</v>
          </cell>
          <cell r="I347" t="str">
            <v>MOBILGARD ADL 40 - 20 LT</v>
          </cell>
        </row>
        <row r="348">
          <cell r="H348" t="str">
            <v>60-2474-001</v>
          </cell>
          <cell r="I348" t="str">
            <v>MOBILGARD 312 - LITRES</v>
          </cell>
        </row>
        <row r="349">
          <cell r="H349" t="str">
            <v>60-2474-008</v>
          </cell>
          <cell r="I349" t="str">
            <v>MOBILGARD 312 - 208 LT DRUM</v>
          </cell>
        </row>
        <row r="350">
          <cell r="H350" t="str">
            <v>60-2474-020</v>
          </cell>
          <cell r="I350" t="str">
            <v>MOBILGARD 312 - 20 LT PAIL</v>
          </cell>
        </row>
        <row r="351">
          <cell r="H351" t="str">
            <v>60-2474-910</v>
          </cell>
          <cell r="I351" t="str">
            <v>MOBILGARD 312 - 210 LT</v>
          </cell>
        </row>
        <row r="352">
          <cell r="H352" t="str">
            <v>60-2482-000</v>
          </cell>
          <cell r="I352" t="str">
            <v>MOBILGARD 412 - KILOS</v>
          </cell>
        </row>
        <row r="353">
          <cell r="H353" t="str">
            <v>60-2482-001</v>
          </cell>
          <cell r="I353" t="str">
            <v>MOBILGARD 412 - LITRES</v>
          </cell>
        </row>
        <row r="354">
          <cell r="H354" t="str">
            <v>60-2482-008</v>
          </cell>
          <cell r="I354" t="str">
            <v>MOBILGARD 412 - 208 LT DRUM</v>
          </cell>
        </row>
        <row r="355">
          <cell r="H355" t="str">
            <v>60-2482-020</v>
          </cell>
          <cell r="I355" t="str">
            <v>MOBILGARD 412 - 20 LT</v>
          </cell>
        </row>
        <row r="356">
          <cell r="H356" t="str">
            <v>60-2482-905</v>
          </cell>
          <cell r="I356" t="str">
            <v>MOBILGARD 412 - 205 LT</v>
          </cell>
        </row>
        <row r="357">
          <cell r="H357" t="str">
            <v>60-2482-910</v>
          </cell>
          <cell r="I357" t="str">
            <v>MOBILGARD 412 - 210 LT</v>
          </cell>
        </row>
        <row r="358">
          <cell r="H358" t="str">
            <v>60-2557-008</v>
          </cell>
          <cell r="I358" t="str">
            <v>MOBILGARD 324 - 208 LT</v>
          </cell>
        </row>
        <row r="359">
          <cell r="H359" t="str">
            <v>60-2560-000</v>
          </cell>
          <cell r="I359" t="str">
            <v>MOBILGARD 430 - BULK KILOS</v>
          </cell>
        </row>
        <row r="360">
          <cell r="H360" t="str">
            <v>60-2560-001</v>
          </cell>
          <cell r="I360" t="str">
            <v>MOBILGARD 430 - BULK LT</v>
          </cell>
        </row>
        <row r="361">
          <cell r="H361" t="str">
            <v>60-2560-008</v>
          </cell>
          <cell r="I361" t="str">
            <v>MOBILGARD 430 - 208 LT</v>
          </cell>
        </row>
        <row r="362">
          <cell r="H362" t="str">
            <v>60-2565-000</v>
          </cell>
          <cell r="I362" t="str">
            <v>MOBILGARD 430 - KILOS</v>
          </cell>
        </row>
        <row r="363">
          <cell r="H363" t="str">
            <v>60-2565-001</v>
          </cell>
          <cell r="I363" t="str">
            <v>MOBILGARD 430 - BULK LT</v>
          </cell>
        </row>
        <row r="364">
          <cell r="H364" t="str">
            <v>60-2565-008</v>
          </cell>
          <cell r="I364" t="str">
            <v>MOBILGARD 430 - 208 LT</v>
          </cell>
        </row>
        <row r="365">
          <cell r="H365" t="str">
            <v>60-2565-020</v>
          </cell>
          <cell r="I365" t="str">
            <v>MOBILGARD 430 - 20 LT</v>
          </cell>
        </row>
        <row r="366">
          <cell r="H366" t="str">
            <v>60-2565-910</v>
          </cell>
          <cell r="I366" t="str">
            <v>MOBILGARD 430 - 210 LT</v>
          </cell>
        </row>
        <row r="367">
          <cell r="H367" t="str">
            <v>60-2623-001</v>
          </cell>
          <cell r="I367" t="str">
            <v>MOBIL DTE 24 - LITRES</v>
          </cell>
        </row>
        <row r="368">
          <cell r="H368" t="str">
            <v>60-2623-008</v>
          </cell>
          <cell r="I368" t="str">
            <v>MOBIL DTE 24 - 208 LT DRUM</v>
          </cell>
        </row>
        <row r="369">
          <cell r="H369" t="str">
            <v>60-2623-020</v>
          </cell>
          <cell r="I369" t="str">
            <v>MOBIL DTE 24 - 20 LT PAIL</v>
          </cell>
        </row>
        <row r="370">
          <cell r="H370" t="str">
            <v>60-2623-910</v>
          </cell>
          <cell r="I370" t="str">
            <v>MOBIL DTE 24 - 210 LT</v>
          </cell>
        </row>
        <row r="371">
          <cell r="H371" t="str">
            <v>60-2631-001</v>
          </cell>
          <cell r="I371" t="str">
            <v>MOBIL DTE 25 - LITRES</v>
          </cell>
        </row>
        <row r="372">
          <cell r="H372" t="str">
            <v>60-2631-008</v>
          </cell>
          <cell r="I372" t="str">
            <v>MOBIL DTE 25 - 208 LT DRUM</v>
          </cell>
        </row>
        <row r="373">
          <cell r="H373" t="str">
            <v>60-2631-020</v>
          </cell>
          <cell r="I373" t="str">
            <v>MOBIL DTE 25 - 20 LT</v>
          </cell>
        </row>
        <row r="374">
          <cell r="H374" t="str">
            <v>60-2649-001</v>
          </cell>
          <cell r="I374" t="str">
            <v>MOBIL DTE 26 - LITRES</v>
          </cell>
        </row>
        <row r="375">
          <cell r="H375" t="str">
            <v>60-2649-008</v>
          </cell>
          <cell r="I375" t="str">
            <v>MOBIL DTE 26 - 208 LT DRUM</v>
          </cell>
        </row>
        <row r="376">
          <cell r="H376" t="str">
            <v>60-2649-020</v>
          </cell>
          <cell r="I376" t="str">
            <v>MOBIL DTE 26 - 20 LT PAIL</v>
          </cell>
        </row>
        <row r="377">
          <cell r="H377" t="str">
            <v>60-2649-145</v>
          </cell>
          <cell r="I377" t="str">
            <v>MOBIL DTE 26 - 4 X 5 LT</v>
          </cell>
        </row>
        <row r="378">
          <cell r="H378" t="str">
            <v>60-2649-910</v>
          </cell>
          <cell r="I378" t="str">
            <v>MOBIL DTE 26 - 210 LT</v>
          </cell>
        </row>
        <row r="379">
          <cell r="H379" t="str">
            <v>60-2656-001</v>
          </cell>
          <cell r="I379" t="str">
            <v>MOBIL DTE 27 - LITRES</v>
          </cell>
        </row>
        <row r="380">
          <cell r="H380" t="str">
            <v>60-2656-008</v>
          </cell>
          <cell r="I380" t="str">
            <v>MOBIL DTE 27 - 208 LT DRUM</v>
          </cell>
        </row>
        <row r="381">
          <cell r="H381" t="str">
            <v>60-2656-020</v>
          </cell>
          <cell r="I381" t="str">
            <v>MOBIL DTE 27 - 20 LT PAIL</v>
          </cell>
        </row>
        <row r="382">
          <cell r="H382" t="str">
            <v>60-2698-008</v>
          </cell>
          <cell r="I382" t="str">
            <v>MOBIL DTE 13M - 208 LT DRUM</v>
          </cell>
        </row>
        <row r="383">
          <cell r="H383" t="str">
            <v>60-2722-008</v>
          </cell>
          <cell r="I383" t="str">
            <v>MOBIL DTE 15M - 208 LT DRUM</v>
          </cell>
        </row>
        <row r="384">
          <cell r="H384" t="str">
            <v>60-2771-008</v>
          </cell>
          <cell r="I384" t="str">
            <v>MOBIL DTE 16M - 208 LT DRUM</v>
          </cell>
        </row>
        <row r="385">
          <cell r="H385" t="str">
            <v>60-2789-008</v>
          </cell>
          <cell r="I385" t="str">
            <v>MOBIL DTE 18M - 208 LT DRUM</v>
          </cell>
        </row>
        <row r="386">
          <cell r="H386" t="str">
            <v>60-2904-008</v>
          </cell>
          <cell r="I386" t="str">
            <v>MOBIL SHC 639 - 208 LT DRUM</v>
          </cell>
        </row>
        <row r="387">
          <cell r="H387" t="str">
            <v>60-2904-020</v>
          </cell>
          <cell r="I387" t="str">
            <v>MOBIL SHC 639 - 20 LT PAIL</v>
          </cell>
        </row>
        <row r="388">
          <cell r="H388" t="str">
            <v>60-2912-008</v>
          </cell>
          <cell r="I388" t="str">
            <v>MOBIL SHC 634 - 208 LT DRUM</v>
          </cell>
        </row>
        <row r="389">
          <cell r="H389" t="str">
            <v>60-2912-020</v>
          </cell>
          <cell r="I389" t="str">
            <v>MOBIL SHC 634 - 20 LT PAIL</v>
          </cell>
        </row>
        <row r="390">
          <cell r="H390" t="str">
            <v>60-2938-008</v>
          </cell>
          <cell r="I390" t="str">
            <v>MOBIL SHC 626 - 208 LT</v>
          </cell>
        </row>
        <row r="391">
          <cell r="H391" t="str">
            <v>60-2938-020</v>
          </cell>
          <cell r="I391" t="str">
            <v>MOBIL SHC 626 - 20 LT</v>
          </cell>
        </row>
        <row r="392">
          <cell r="H392" t="str">
            <v>60-2946-008</v>
          </cell>
          <cell r="I392" t="str">
            <v>MOBIL SHC 629 - 208 LT DRUM</v>
          </cell>
        </row>
        <row r="393">
          <cell r="H393" t="str">
            <v>60-2946-020</v>
          </cell>
          <cell r="I393" t="str">
            <v>MOBIL SHC 629 - 20 LT PAIL</v>
          </cell>
        </row>
        <row r="394">
          <cell r="H394" t="str">
            <v>60-2953-008</v>
          </cell>
          <cell r="I394" t="str">
            <v>MOBIL SHC 630 - 208 LT DRUM</v>
          </cell>
        </row>
        <row r="395">
          <cell r="H395" t="str">
            <v>60-2953-020</v>
          </cell>
          <cell r="I395" t="str">
            <v>MOBIL SHC 630 - 20 LT PAIL</v>
          </cell>
        </row>
        <row r="396">
          <cell r="H396" t="str">
            <v>60-2987-008</v>
          </cell>
          <cell r="I396" t="str">
            <v>MOBIL SHC 632 - 208 LT DRUM</v>
          </cell>
        </row>
        <row r="397">
          <cell r="H397" t="str">
            <v>60-2987-020</v>
          </cell>
          <cell r="I397" t="str">
            <v>MOBIL SHC 632 - 20 LT PAIL</v>
          </cell>
        </row>
        <row r="398">
          <cell r="H398" t="str">
            <v>60-2995-008</v>
          </cell>
          <cell r="I398" t="str">
            <v>MOBIL SHC 636 - 208 LT DRUM</v>
          </cell>
        </row>
        <row r="399">
          <cell r="H399" t="str">
            <v>60-2995-020</v>
          </cell>
          <cell r="I399" t="str">
            <v>MOBIL SHC 636 - 18.9 KG PAIL</v>
          </cell>
        </row>
        <row r="400">
          <cell r="H400" t="str">
            <v>60-2995-021</v>
          </cell>
          <cell r="I400" t="str">
            <v>MOBIL SHC 636 - 20 LT PAIL</v>
          </cell>
        </row>
        <row r="401">
          <cell r="H401" t="str">
            <v>60-3191-008</v>
          </cell>
          <cell r="I401" t="str">
            <v>MOBIL ALMO 527 - 208 LT DRUM</v>
          </cell>
        </row>
        <row r="402">
          <cell r="H402" t="str">
            <v>60-3373-020</v>
          </cell>
          <cell r="I402" t="str">
            <v>PYROLUBE 830 (DUTY PAID) - 20 LT PAIL</v>
          </cell>
        </row>
        <row r="403">
          <cell r="H403" t="str">
            <v>60-3381-020</v>
          </cell>
          <cell r="I403" t="str">
            <v>MOBIL PYROLUBE 830 - 20 LT PAIL</v>
          </cell>
        </row>
        <row r="404">
          <cell r="H404" t="str">
            <v>60-6194-008</v>
          </cell>
          <cell r="I404" t="str">
            <v>MOBIL RARUS 425 - 208 LT DRUM</v>
          </cell>
        </row>
        <row r="405">
          <cell r="H405" t="str">
            <v>60-6194-020</v>
          </cell>
          <cell r="I405" t="str">
            <v>MOBIL RARUS 425 - 20 LT PAIL</v>
          </cell>
        </row>
        <row r="406">
          <cell r="H406" t="str">
            <v>60-6202-001</v>
          </cell>
          <cell r="I406" t="str">
            <v>MOBIL RARUS 427 - LITRES</v>
          </cell>
        </row>
        <row r="407">
          <cell r="H407" t="str">
            <v>60-6202-008</v>
          </cell>
          <cell r="I407" t="str">
            <v>MOBIL RARUS 427 - 208 LT DRUM</v>
          </cell>
        </row>
        <row r="408">
          <cell r="H408" t="str">
            <v>60-6202-020</v>
          </cell>
          <cell r="I408" t="str">
            <v>MOBIL RARUS 427 - 20 LT PAIL</v>
          </cell>
        </row>
        <row r="409">
          <cell r="H409" t="str">
            <v>60-6244-001</v>
          </cell>
          <cell r="I409" t="str">
            <v>MOBIL RARUS 827 - LITRES</v>
          </cell>
        </row>
        <row r="410">
          <cell r="H410" t="str">
            <v>60-6244-008</v>
          </cell>
          <cell r="I410" t="str">
            <v>MOBIL RARUS 827 - 208 LT DRUM</v>
          </cell>
        </row>
        <row r="411">
          <cell r="H411" t="str">
            <v>60-6244-020</v>
          </cell>
          <cell r="I411" t="str">
            <v>MOBIL RARUS 827 - 20 LT PAIL</v>
          </cell>
        </row>
        <row r="412">
          <cell r="H412" t="str">
            <v>60-6343-000</v>
          </cell>
          <cell r="I412" t="str">
            <v>MOBIL RARUS SHC 1025 - KILOS</v>
          </cell>
        </row>
        <row r="413">
          <cell r="H413" t="str">
            <v>60-6343-008</v>
          </cell>
          <cell r="I413" t="str">
            <v>MOBIL RARUS SHC 1025 - 208 LT DRUM</v>
          </cell>
        </row>
        <row r="414">
          <cell r="H414" t="str">
            <v>60-6343-009</v>
          </cell>
          <cell r="I414" t="str">
            <v>MOBIL RARUS SHC 1025 - 165 KG</v>
          </cell>
        </row>
        <row r="415">
          <cell r="H415" t="str">
            <v>60-6343-020</v>
          </cell>
          <cell r="I415" t="str">
            <v>MOBIL RARUS SHC 1025 - 20 LT PAIL</v>
          </cell>
        </row>
        <row r="416">
          <cell r="H416" t="str">
            <v>60-6350-008</v>
          </cell>
          <cell r="I416" t="str">
            <v>MOBIL RARUS SHC 1026 - 208 LT DRUM</v>
          </cell>
        </row>
        <row r="417">
          <cell r="H417" t="str">
            <v>60-6350-020</v>
          </cell>
          <cell r="I417" t="str">
            <v>MOBIL RARUS SHC 1026 - 20 LT PAIL</v>
          </cell>
        </row>
        <row r="418">
          <cell r="H418" t="str">
            <v>60-6665-001</v>
          </cell>
          <cell r="I418" t="str">
            <v>MOBILGARD 300 - LITRES</v>
          </cell>
        </row>
        <row r="419">
          <cell r="H419" t="str">
            <v>60-6665-008</v>
          </cell>
          <cell r="I419" t="str">
            <v>MOBILGARD 300 - 208 LT DRUM</v>
          </cell>
        </row>
        <row r="420">
          <cell r="H420" t="str">
            <v>60-6665-905</v>
          </cell>
          <cell r="I420" t="str">
            <v>MOBILGARD 300 - 205 LT DRUM</v>
          </cell>
        </row>
        <row r="421">
          <cell r="H421" t="str">
            <v>60-6806-001</v>
          </cell>
          <cell r="I421" t="str">
            <v>MOBILGARD 570 - LITRES</v>
          </cell>
        </row>
        <row r="422">
          <cell r="H422" t="str">
            <v>60-6806-008</v>
          </cell>
          <cell r="I422" t="str">
            <v>MOBILGARD 570 - 208 LT DRUM</v>
          </cell>
        </row>
        <row r="423">
          <cell r="H423" t="str">
            <v>60-6806-910</v>
          </cell>
          <cell r="I423" t="str">
            <v>MOBILGARD 570 - 210 LT</v>
          </cell>
        </row>
        <row r="424">
          <cell r="H424" t="str">
            <v>61-0857-001</v>
          </cell>
          <cell r="I424" t="str">
            <v>MOBIL GEAR 626 - LITRES</v>
          </cell>
        </row>
        <row r="425">
          <cell r="H425" t="str">
            <v>61-0857-008</v>
          </cell>
          <cell r="I425" t="str">
            <v>MOBIL GEAR 626 - 208 LT DRUM</v>
          </cell>
        </row>
        <row r="426">
          <cell r="H426" t="str">
            <v>61-0857-009</v>
          </cell>
          <cell r="I426" t="str">
            <v>MOBIL GEAR 626 - 183.5 KG DRUM</v>
          </cell>
        </row>
        <row r="427">
          <cell r="H427" t="str">
            <v>61-0857-020</v>
          </cell>
          <cell r="I427" t="str">
            <v>MOBIL GEAR 626 - 20 LT</v>
          </cell>
        </row>
        <row r="428">
          <cell r="H428" t="str">
            <v>61-0865-001</v>
          </cell>
          <cell r="I428" t="str">
            <v>MOBIL GEAR 629 - LITRES</v>
          </cell>
        </row>
        <row r="429">
          <cell r="H429" t="str">
            <v>61-0865-008</v>
          </cell>
          <cell r="I429" t="str">
            <v>MOBIL GEAR 629 - 208 LT DRUM</v>
          </cell>
        </row>
        <row r="430">
          <cell r="H430" t="str">
            <v>61-0865-020</v>
          </cell>
          <cell r="I430" t="str">
            <v>MOBIL GEAR 629 - 20 LT PAIL</v>
          </cell>
        </row>
        <row r="431">
          <cell r="H431" t="str">
            <v>61-0873-001</v>
          </cell>
          <cell r="I431" t="str">
            <v>MOBILGEAR 630 - LITRES</v>
          </cell>
        </row>
        <row r="432">
          <cell r="H432" t="str">
            <v>61-0873-008</v>
          </cell>
          <cell r="I432" t="str">
            <v>MOBILGEAR 630 - 208 LT DRUM</v>
          </cell>
        </row>
        <row r="433">
          <cell r="H433" t="str">
            <v>61-0873-020</v>
          </cell>
          <cell r="I433" t="str">
            <v>MOBILGEAR 630 - 20 LT</v>
          </cell>
        </row>
        <row r="434">
          <cell r="H434" t="str">
            <v>61-0881-001</v>
          </cell>
          <cell r="I434" t="str">
            <v>MOBIL GEAR 632 - LITRES</v>
          </cell>
        </row>
        <row r="435">
          <cell r="H435" t="str">
            <v>61-0881-008</v>
          </cell>
          <cell r="I435" t="str">
            <v>MOBIL GEAR 632 - 208 LT DRUM</v>
          </cell>
        </row>
        <row r="436">
          <cell r="H436" t="str">
            <v>61-0881-020</v>
          </cell>
          <cell r="I436" t="str">
            <v>MOBIL GEAR 632 - 20 LT</v>
          </cell>
        </row>
        <row r="437">
          <cell r="H437" t="str">
            <v>61-0907-001</v>
          </cell>
          <cell r="I437" t="str">
            <v>MOBILGEAR 634 - LITRES</v>
          </cell>
        </row>
        <row r="438">
          <cell r="H438" t="str">
            <v>61-0907-008</v>
          </cell>
          <cell r="I438" t="str">
            <v>MOBILGEAR 634 - 208 LT DRUM</v>
          </cell>
        </row>
        <row r="439">
          <cell r="H439" t="str">
            <v>61-0907-020</v>
          </cell>
          <cell r="I439" t="str">
            <v>MOBILGEAR 634 - 20 LT</v>
          </cell>
        </row>
        <row r="440">
          <cell r="H440" t="str">
            <v>61-0931-009</v>
          </cell>
          <cell r="I440" t="str">
            <v>MOBILGEAR SHC 6800 - 181.44 KG</v>
          </cell>
        </row>
        <row r="441">
          <cell r="H441" t="str">
            <v>61-0931-020</v>
          </cell>
          <cell r="I441" t="str">
            <v>MOBILGEAR SHC 6800 - 6 X 23 LT</v>
          </cell>
        </row>
        <row r="442">
          <cell r="H442" t="str">
            <v>61-0931-022</v>
          </cell>
          <cell r="I442" t="str">
            <v>MOBILGEAR SHC 6800 - 1 X 54.4 KG</v>
          </cell>
        </row>
        <row r="443">
          <cell r="H443" t="str">
            <v>61-1400-009</v>
          </cell>
          <cell r="I443" t="str">
            <v>MOBILGEAR OGL 007 - 180 KG DRUM</v>
          </cell>
        </row>
        <row r="444">
          <cell r="H444" t="str">
            <v>61-1400-020</v>
          </cell>
          <cell r="I444" t="str">
            <v>MOBILGEAR OGL 007 - 17 KG</v>
          </cell>
        </row>
        <row r="445">
          <cell r="H445" t="str">
            <v>62-1847-020</v>
          </cell>
          <cell r="I445" t="str">
            <v>MOBIL FLUSHING OIL - 20 LT</v>
          </cell>
        </row>
        <row r="446">
          <cell r="H446" t="str">
            <v>64-1274-009</v>
          </cell>
          <cell r="I446" t="str">
            <v>MOBILUX EP2 - 180 KG DRUM</v>
          </cell>
        </row>
        <row r="447">
          <cell r="H447" t="str">
            <v>64-1274-020</v>
          </cell>
          <cell r="I447" t="str">
            <v>MOBILUX EP2 - 18 KG PAIL</v>
          </cell>
        </row>
        <row r="448">
          <cell r="H448" t="str">
            <v>64-1274-021</v>
          </cell>
          <cell r="I448" t="str">
            <v>MOBILUX EP2 - 20 KG PAIL</v>
          </cell>
        </row>
        <row r="449">
          <cell r="H449" t="str">
            <v>64-1274-024</v>
          </cell>
          <cell r="I449" t="str">
            <v>MOBILUX EP2 - 15 KG</v>
          </cell>
        </row>
        <row r="450">
          <cell r="H450" t="str">
            <v>64-1274-050</v>
          </cell>
          <cell r="I450" t="str">
            <v>MOBILUX EP2 - 50 KG KEG</v>
          </cell>
        </row>
        <row r="451">
          <cell r="H451" t="str">
            <v>64-1274-123</v>
          </cell>
          <cell r="I451" t="str">
            <v>MOBILUX EP2 - 12 X 1 KG CARTON</v>
          </cell>
        </row>
        <row r="452">
          <cell r="H452" t="str">
            <v>64-1274-163</v>
          </cell>
          <cell r="I452" t="str">
            <v>MOBILUX EP2 - 6 X 3 KG</v>
          </cell>
        </row>
        <row r="453">
          <cell r="H453" t="str">
            <v>64-1274-244</v>
          </cell>
          <cell r="I453" t="str">
            <v>MOBILUX EP2 - 24 X 0.4 KG</v>
          </cell>
        </row>
        <row r="454">
          <cell r="H454" t="str">
            <v>64-1274-245</v>
          </cell>
          <cell r="I454" t="str">
            <v>MOBILUX EP2 - 24 X 1/2 KG</v>
          </cell>
        </row>
        <row r="455">
          <cell r="H455" t="str">
            <v>64-1274-962</v>
          </cell>
          <cell r="I455" t="str">
            <v>MOBILUX EP2 - 8 X 3 KG</v>
          </cell>
        </row>
        <row r="456">
          <cell r="H456" t="str">
            <v>64-2363-009</v>
          </cell>
          <cell r="I456" t="str">
            <v>MOBILGREASE FM 102 - 180 KG</v>
          </cell>
        </row>
        <row r="457">
          <cell r="H457" t="str">
            <v>64-3551-008</v>
          </cell>
          <cell r="I457" t="str">
            <v>MOBILITH SHC 460 - 208 LTR</v>
          </cell>
        </row>
        <row r="458">
          <cell r="H458" t="str">
            <v>64-3551-020</v>
          </cell>
          <cell r="I458" t="str">
            <v>MOBILITH SHC 460 - 20 LT</v>
          </cell>
        </row>
        <row r="459">
          <cell r="H459" t="str">
            <v>64-3551-021</v>
          </cell>
          <cell r="I459" t="str">
            <v>MOBILITH SHC 460 - 20 KG</v>
          </cell>
        </row>
        <row r="460">
          <cell r="H460" t="str">
            <v>64-3569-009</v>
          </cell>
          <cell r="I460" t="str">
            <v>MOBILITH SHC 007 - 165 KG DRUM</v>
          </cell>
        </row>
        <row r="461">
          <cell r="H461" t="str">
            <v>64-3569-020</v>
          </cell>
          <cell r="I461" t="str">
            <v>MOBILITH SHC 007 - 18 KG PAIL</v>
          </cell>
        </row>
        <row r="462">
          <cell r="H462" t="str">
            <v>64-3569-021</v>
          </cell>
          <cell r="I462" t="str">
            <v>MOBILITH SHC 007 - 20 KG PAIL</v>
          </cell>
        </row>
        <row r="463">
          <cell r="H463" t="str">
            <v>64-3569-045</v>
          </cell>
          <cell r="I463" t="str">
            <v>MOBILITH SHC 007 - 45 KG KEG</v>
          </cell>
        </row>
        <row r="464">
          <cell r="H464" t="str">
            <v>64-4039-000</v>
          </cell>
          <cell r="I464" t="str">
            <v>MOBILITH SHC 1500 - KILOS</v>
          </cell>
        </row>
        <row r="465">
          <cell r="H465" t="str">
            <v>64-4039-008</v>
          </cell>
          <cell r="I465" t="str">
            <v>MOBILITH SHC 1500 - 208 LT</v>
          </cell>
        </row>
        <row r="466">
          <cell r="H466" t="str">
            <v>64-4039-009</v>
          </cell>
          <cell r="I466" t="str">
            <v>MOBILITH SHC 1500 - 165 KG DRUM</v>
          </cell>
        </row>
        <row r="467">
          <cell r="H467" t="str">
            <v>64-4039-020</v>
          </cell>
          <cell r="I467" t="str">
            <v>MOBILITH SHC 1500 - 17 KG PAIL</v>
          </cell>
        </row>
        <row r="468">
          <cell r="H468" t="str">
            <v>66-1314-008</v>
          </cell>
          <cell r="I468" t="str">
            <v>MOBILMET 324 - 208 LT DRUM</v>
          </cell>
        </row>
        <row r="469">
          <cell r="H469" t="str">
            <v>66-7212-008</v>
          </cell>
          <cell r="I469" t="str">
            <v>MOBILARMA 798 - 208 LT</v>
          </cell>
        </row>
        <row r="470">
          <cell r="H470" t="str">
            <v>66-7212-009</v>
          </cell>
          <cell r="I470" t="str">
            <v>MOBILARMA 798 - 170 KG DRUM</v>
          </cell>
        </row>
        <row r="471">
          <cell r="H471" t="str">
            <v>66-7212-020</v>
          </cell>
          <cell r="I471" t="str">
            <v>MOBILARMA 798 - 20 LT PAIL</v>
          </cell>
        </row>
        <row r="472">
          <cell r="H472" t="str">
            <v>66-7212-021</v>
          </cell>
          <cell r="I472" t="str">
            <v>MOBILARMA 798 - 20 KG BAG</v>
          </cell>
        </row>
        <row r="473">
          <cell r="H473" t="str">
            <v>66-8004-008</v>
          </cell>
          <cell r="I473" t="str">
            <v>MOBILTHERM D - 208 LT</v>
          </cell>
        </row>
        <row r="474">
          <cell r="H474" t="str">
            <v>67-0158-008</v>
          </cell>
          <cell r="I474" t="str">
            <v>SOLVAC 1533 - 208 LT DRUM</v>
          </cell>
        </row>
        <row r="475">
          <cell r="H475" t="str">
            <v>67-0158-009</v>
          </cell>
          <cell r="I475" t="str">
            <v>SOLVAC 1533 - 180 KG</v>
          </cell>
        </row>
        <row r="476">
          <cell r="H476" t="str">
            <v>67-0158-020</v>
          </cell>
          <cell r="I476" t="str">
            <v>SOLVAC 1533 - 20 LT PAIL</v>
          </cell>
        </row>
        <row r="477">
          <cell r="H477" t="str">
            <v>67-6502-008</v>
          </cell>
          <cell r="I477" t="str">
            <v>GENREX 56 - 208 LT</v>
          </cell>
        </row>
        <row r="478">
          <cell r="H478" t="str">
            <v>68-0538-001</v>
          </cell>
          <cell r="I478" t="str">
            <v>MOBILTHERM 605 - LITRES</v>
          </cell>
        </row>
        <row r="479">
          <cell r="H479" t="str">
            <v>68-0538-008</v>
          </cell>
          <cell r="I479" t="str">
            <v>MOBILTHERM 605 - 208 LT DRUM</v>
          </cell>
        </row>
        <row r="480">
          <cell r="H480" t="str">
            <v>70-2233-008</v>
          </cell>
          <cell r="I480" t="str">
            <v>MOBILECT 35 - 208 LT</v>
          </cell>
        </row>
        <row r="481">
          <cell r="H481" t="str">
            <v>70-2233-063</v>
          </cell>
          <cell r="I481" t="str">
            <v>MOBILECT 35 - 200 LT DRUM</v>
          </cell>
        </row>
        <row r="482">
          <cell r="H482" t="str">
            <v>71-2257-001</v>
          </cell>
          <cell r="I482" t="str">
            <v>300 SOLVENT NEUTRAL - LITRES</v>
          </cell>
        </row>
        <row r="483">
          <cell r="H483" t="str">
            <v>71-2406-001</v>
          </cell>
          <cell r="I483" t="str">
            <v>600 SOLVENT NEUTRAL - LITRES</v>
          </cell>
        </row>
        <row r="484">
          <cell r="H484" t="str">
            <v>71-2455-001</v>
          </cell>
          <cell r="I484" t="str">
            <v>700 SOLVENT NEUTRAL - LITRES</v>
          </cell>
        </row>
        <row r="485">
          <cell r="H485" t="str">
            <v>71-2521-001</v>
          </cell>
          <cell r="I485" t="str">
            <v>850 SOLVENT NEUTRAL - LITRES</v>
          </cell>
        </row>
        <row r="486">
          <cell r="H486" t="str">
            <v>71-3057-001</v>
          </cell>
          <cell r="I486" t="str">
            <v>150 SOLVENT NEUTRAL - LITRES</v>
          </cell>
        </row>
        <row r="487">
          <cell r="H487" t="str">
            <v>71-3123-001</v>
          </cell>
          <cell r="I487" t="str">
            <v>500 SOLVENT NEUTRAL - LITRES</v>
          </cell>
        </row>
        <row r="488">
          <cell r="H488" t="str">
            <v>71-3248-000</v>
          </cell>
          <cell r="I488" t="str">
            <v>BRIGHT STOCK 150 - BULK LT</v>
          </cell>
        </row>
        <row r="489">
          <cell r="H489" t="str">
            <v>71-3248-001</v>
          </cell>
          <cell r="I489" t="str">
            <v>150 SOLVENT BRIGHT STOCK - LITRES</v>
          </cell>
        </row>
        <row r="490">
          <cell r="H490" t="str">
            <v>71-9970-000</v>
          </cell>
          <cell r="I490" t="str">
            <v>RED SLOPS - LUBES - KILOS</v>
          </cell>
        </row>
        <row r="491">
          <cell r="H491" t="str">
            <v>71-9970-001</v>
          </cell>
          <cell r="I491" t="str">
            <v>RED SLOPS - LUBES - LITRES</v>
          </cell>
        </row>
        <row r="492">
          <cell r="H492" t="str">
            <v>71-9970-063</v>
          </cell>
          <cell r="I492" t="str">
            <v>RED SLOPS - LUBES - 200 LT DRUM</v>
          </cell>
        </row>
        <row r="493">
          <cell r="H493" t="str">
            <v>71-9970-910</v>
          </cell>
          <cell r="I493" t="str">
            <v>RED SLOPS - LUBES - 210 LT</v>
          </cell>
        </row>
        <row r="494">
          <cell r="H494" t="str">
            <v>71-9980-001</v>
          </cell>
          <cell r="I494" t="str">
            <v>BLACK SLOPS - LUBES - LITRES</v>
          </cell>
        </row>
        <row r="495">
          <cell r="H495" t="str">
            <v>71-9990-001</v>
          </cell>
          <cell r="I495" t="str">
            <v>WASTE OIL  - LUBES - LITRES</v>
          </cell>
        </row>
        <row r="496">
          <cell r="H496" t="str">
            <v>75-0448-000</v>
          </cell>
          <cell r="I496" t="str">
            <v>WHITEREX 215 - KILOS</v>
          </cell>
        </row>
        <row r="497">
          <cell r="H497" t="str">
            <v>75-0448-001</v>
          </cell>
          <cell r="I497" t="str">
            <v>WHITEREX 215 - LITRES</v>
          </cell>
        </row>
        <row r="498">
          <cell r="H498" t="str">
            <v>75-0448-008</v>
          </cell>
          <cell r="I498" t="str">
            <v>WHITEREX 215 - 208 LT</v>
          </cell>
        </row>
        <row r="499">
          <cell r="H499" t="str">
            <v>75-0448-009</v>
          </cell>
          <cell r="I499" t="str">
            <v>WHITEREX 215 - 178 KG</v>
          </cell>
        </row>
        <row r="500">
          <cell r="H500" t="str">
            <v>75-0448-063</v>
          </cell>
          <cell r="I500" t="str">
            <v>WHITEREX 215 - 200 LT</v>
          </cell>
        </row>
        <row r="501">
          <cell r="H501" t="str">
            <v>75-5710-001</v>
          </cell>
          <cell r="I501" t="str">
            <v>PROREX 33 - LITRES</v>
          </cell>
        </row>
        <row r="502">
          <cell r="H502" t="str">
            <v>75-5710-008</v>
          </cell>
          <cell r="I502" t="str">
            <v>PROREX 33 - 208 LT</v>
          </cell>
        </row>
        <row r="503">
          <cell r="H503" t="str">
            <v>75-5710-910</v>
          </cell>
          <cell r="I503" t="str">
            <v>PROREX 33 - 210 LT</v>
          </cell>
        </row>
        <row r="504">
          <cell r="H504" t="str">
            <v>75-7170-001</v>
          </cell>
          <cell r="I504" t="str">
            <v>WHITEREX 215 - BULK LT</v>
          </cell>
        </row>
        <row r="505">
          <cell r="H505" t="str">
            <v>75-7179-009</v>
          </cell>
          <cell r="I505" t="str">
            <v>WHITEREX 308 - 180 KG DRUM</v>
          </cell>
        </row>
        <row r="506">
          <cell r="H506" t="str">
            <v>75-7237-009</v>
          </cell>
          <cell r="I506" t="str">
            <v>WHITEREX 334 - 180 KG DRUM</v>
          </cell>
        </row>
        <row r="507">
          <cell r="H507" t="str">
            <v>76-6139-009</v>
          </cell>
          <cell r="I507" t="str">
            <v>WAX REX 521 - 175 KG DRUM</v>
          </cell>
        </row>
        <row r="508">
          <cell r="H508" t="str">
            <v>81-3246-000</v>
          </cell>
          <cell r="I508" t="str">
            <v>STOCK 3263 - KILOS</v>
          </cell>
        </row>
        <row r="509">
          <cell r="H509" t="str">
            <v>86-3449-008</v>
          </cell>
          <cell r="I509" t="str">
            <v>PROVALENT 33 - 208 LT</v>
          </cell>
        </row>
        <row r="510">
          <cell r="H510" t="str">
            <v>86-3449-020</v>
          </cell>
          <cell r="I510" t="str">
            <v>PROVALENT 33 - 20 LT PAIL</v>
          </cell>
        </row>
        <row r="511">
          <cell r="H511" t="str">
            <v>86-8141-009</v>
          </cell>
          <cell r="I511" t="str">
            <v>HEPTANE - 145 KG DRUM</v>
          </cell>
        </row>
        <row r="512">
          <cell r="H512" t="str">
            <v>86-8190-000</v>
          </cell>
          <cell r="I512" t="str">
            <v>HEXANE - KILOS</v>
          </cell>
        </row>
        <row r="513">
          <cell r="H513" t="str">
            <v>86-8190-001</v>
          </cell>
          <cell r="I513" t="str">
            <v>HEXANE - LITRES</v>
          </cell>
        </row>
        <row r="514">
          <cell r="H514" t="str">
            <v>86-8190-008</v>
          </cell>
          <cell r="I514" t="str">
            <v>HEXANE - 208 LT</v>
          </cell>
        </row>
        <row r="515">
          <cell r="H515" t="str">
            <v>86-8190-009</v>
          </cell>
          <cell r="I515" t="str">
            <v>HEXANE - 134 KG DRUM</v>
          </cell>
        </row>
        <row r="516">
          <cell r="H516" t="str">
            <v>86-8190-020</v>
          </cell>
          <cell r="I516" t="str">
            <v>HEXANE - 17 KG</v>
          </cell>
        </row>
        <row r="517">
          <cell r="H517" t="str">
            <v>86-8190-063</v>
          </cell>
          <cell r="I517" t="str">
            <v>HEXANE - 200 LT</v>
          </cell>
        </row>
        <row r="518">
          <cell r="H518" t="str">
            <v>86-8273-000</v>
          </cell>
          <cell r="I518" t="str">
            <v>ISOPROPYL ALCOHOL - KILOS</v>
          </cell>
        </row>
        <row r="519">
          <cell r="H519" t="str">
            <v>86-8273-009</v>
          </cell>
          <cell r="I519" t="str">
            <v>ISOPROPYL ALCOHOL - 185 KG</v>
          </cell>
        </row>
        <row r="520">
          <cell r="H520" t="str">
            <v>86-8273-960</v>
          </cell>
          <cell r="I520" t="str">
            <v>ISOPROPYL ALCOHOL - 160 KG DRUM</v>
          </cell>
        </row>
        <row r="521">
          <cell r="H521" t="str">
            <v>86-8273-970</v>
          </cell>
          <cell r="I521" t="str">
            <v>ISOPROPYL ALCOHOL - 165 KG DRUM</v>
          </cell>
        </row>
        <row r="522">
          <cell r="H522" t="str">
            <v>86-8273-990</v>
          </cell>
          <cell r="I522" t="str">
            <v>ISOPROPYL ALCOHOL - 190 KG DRUM</v>
          </cell>
        </row>
        <row r="523">
          <cell r="H523" t="str">
            <v>86-8489-001</v>
          </cell>
          <cell r="I523" t="str">
            <v>PEGASOL 3040 - LITRES</v>
          </cell>
        </row>
        <row r="524">
          <cell r="H524" t="str">
            <v>86-8489-063</v>
          </cell>
          <cell r="I524" t="str">
            <v>PEGASOL 3040 - 200 LT DRUM</v>
          </cell>
        </row>
        <row r="525">
          <cell r="H525" t="str">
            <v>86-8521-001</v>
          </cell>
          <cell r="I525" t="str">
            <v>POWER ALCOHOL - LITRES</v>
          </cell>
        </row>
        <row r="526">
          <cell r="H526" t="str">
            <v>86-9001-000</v>
          </cell>
          <cell r="I526" t="str">
            <v>HEXANE -BULK KG</v>
          </cell>
        </row>
        <row r="527">
          <cell r="H527" t="str">
            <v>86-9001-001</v>
          </cell>
          <cell r="I527" t="str">
            <v>HEXANE -BULK LT</v>
          </cell>
        </row>
        <row r="528">
          <cell r="H528" t="str">
            <v>86-9001-009</v>
          </cell>
          <cell r="I528" t="str">
            <v>hexane 134 kg</v>
          </cell>
        </row>
        <row r="529">
          <cell r="H529" t="str">
            <v>86-9020-000</v>
          </cell>
          <cell r="I529" t="str">
            <v>EXXSOL DSP 80/110 - KILOS</v>
          </cell>
        </row>
        <row r="530">
          <cell r="H530" t="str">
            <v>86-9020-001</v>
          </cell>
          <cell r="I530" t="str">
            <v>EXXSOL DSP 80/110 - LITRES</v>
          </cell>
        </row>
        <row r="531">
          <cell r="H531" t="str">
            <v>86-9020-063</v>
          </cell>
          <cell r="I531" t="str">
            <v>EXXSOL DSP 80/110 - 200 LT DRUM</v>
          </cell>
        </row>
        <row r="532">
          <cell r="H532" t="str">
            <v>86-9040-009</v>
          </cell>
          <cell r="I532" t="str">
            <v>ISOPAR M - 185 KG DRUM</v>
          </cell>
        </row>
        <row r="533">
          <cell r="H533" t="str">
            <v>86-9040-960</v>
          </cell>
          <cell r="I533" t="str">
            <v>ISOPAR M - 160 KG</v>
          </cell>
        </row>
        <row r="534">
          <cell r="H534" t="str">
            <v>86-9050-009</v>
          </cell>
          <cell r="I534" t="str">
            <v>EXXOL D60 - 185 KG DRUM</v>
          </cell>
        </row>
        <row r="535">
          <cell r="H535" t="str">
            <v>86-9050-010</v>
          </cell>
          <cell r="I535" t="str">
            <v>EXXOL D60 - 156 KG</v>
          </cell>
        </row>
        <row r="536">
          <cell r="H536" t="str">
            <v>86-9050-960</v>
          </cell>
          <cell r="I536" t="str">
            <v>EXXOL D60 - 160 KG</v>
          </cell>
        </row>
        <row r="537">
          <cell r="H537" t="str">
            <v>86-9060-009</v>
          </cell>
          <cell r="I537" t="str">
            <v>HEPTANE - 168 KG DRUM</v>
          </cell>
        </row>
        <row r="538">
          <cell r="H538" t="str">
            <v>86-9061-000</v>
          </cell>
          <cell r="I538" t="str">
            <v>SOLVESSO-100 - KILOS</v>
          </cell>
        </row>
        <row r="539">
          <cell r="H539" t="str">
            <v>86-9061-009</v>
          </cell>
          <cell r="I539" t="str">
            <v>SOLVESSO-100 - 206 KG DRUM</v>
          </cell>
        </row>
        <row r="540">
          <cell r="H540" t="str">
            <v>86-9061-010</v>
          </cell>
          <cell r="I540" t="str">
            <v>SOLVESSO-100 - 178 KG DRUM</v>
          </cell>
        </row>
        <row r="541">
          <cell r="H541" t="str">
            <v>86-9061-020</v>
          </cell>
          <cell r="I541" t="str">
            <v>SOLVESSO-100 - 20 LT PAIL</v>
          </cell>
        </row>
        <row r="542">
          <cell r="H542" t="str">
            <v>86-9061-063</v>
          </cell>
          <cell r="I542" t="str">
            <v>SOLVESSO-100 - 200 LT DRUM</v>
          </cell>
        </row>
        <row r="543">
          <cell r="H543" t="str">
            <v>86-9070-901</v>
          </cell>
          <cell r="I543" t="str">
            <v>SOLVESSO-200 - 201 KG DRUM</v>
          </cell>
        </row>
        <row r="544">
          <cell r="H544" t="str">
            <v>86-9070-933</v>
          </cell>
          <cell r="I544" t="str">
            <v>SOLVESSO-200 - 233 KG DRUM</v>
          </cell>
        </row>
        <row r="545">
          <cell r="H545" t="str">
            <v>86-9082-009</v>
          </cell>
          <cell r="I545" t="str">
            <v>SOLVESSO-150 - 181 KG DRUM</v>
          </cell>
        </row>
        <row r="546">
          <cell r="H546" t="str">
            <v>86-9090-009</v>
          </cell>
          <cell r="I546" t="str">
            <v>ISOPAR-G - 151 KG</v>
          </cell>
        </row>
        <row r="547">
          <cell r="H547" t="str">
            <v>86-9100-009</v>
          </cell>
          <cell r="I547" t="str">
            <v>EXX-PRINT T76A - 169 KG</v>
          </cell>
        </row>
        <row r="548">
          <cell r="H548" t="str">
            <v>86-9100-995</v>
          </cell>
          <cell r="I548" t="str">
            <v>EXX-PRINT T76A - 195 KG</v>
          </cell>
        </row>
        <row r="549">
          <cell r="H549" t="str">
            <v>86-9110-009</v>
          </cell>
          <cell r="I549" t="str">
            <v>VAT</v>
          </cell>
        </row>
        <row r="550">
          <cell r="H550" t="str">
            <v>86-9110-246</v>
          </cell>
          <cell r="I550" t="str">
            <v>EXX-PRINT H84D - 6 X 2.27 KG</v>
          </cell>
        </row>
        <row r="551">
          <cell r="H551" t="str">
            <v>86-9110-989</v>
          </cell>
          <cell r="I551" t="str">
            <v>EXX-PRINT H84D - 189 KG</v>
          </cell>
        </row>
        <row r="552">
          <cell r="H552" t="str">
            <v>86-9120-964</v>
          </cell>
          <cell r="I552" t="str">
            <v>EXX-PRINT H80D - 164 KG</v>
          </cell>
        </row>
        <row r="553">
          <cell r="H553" t="str">
            <v>86-9120-966</v>
          </cell>
          <cell r="I553" t="str">
            <v>EXX-PRINT H80D 166 KG</v>
          </cell>
        </row>
        <row r="554">
          <cell r="H554" t="str">
            <v>87-0162-000</v>
          </cell>
          <cell r="I554" t="str">
            <v>MOBILAD G-210 - KILOS</v>
          </cell>
        </row>
        <row r="555">
          <cell r="H555" t="str">
            <v>87-0442-009</v>
          </cell>
          <cell r="I555" t="str">
            <v>COREXIT 9527 - 200 KG DRUM</v>
          </cell>
        </row>
        <row r="556">
          <cell r="H556" t="str">
            <v>87-0451-021</v>
          </cell>
          <cell r="I556" t="str">
            <v>ESCOREZ 1102 - 25 KG BAG</v>
          </cell>
        </row>
        <row r="557">
          <cell r="H557" t="str">
            <v>87-0460-021</v>
          </cell>
          <cell r="I557" t="str">
            <v>ESCOREZ 5320 - 25 KG BAG</v>
          </cell>
        </row>
        <row r="558">
          <cell r="H558" t="str">
            <v>87-0808-001</v>
          </cell>
          <cell r="I558" t="str">
            <v>XYLENE - LITRES</v>
          </cell>
        </row>
        <row r="559">
          <cell r="H559" t="str">
            <v>87-0808-008</v>
          </cell>
          <cell r="I559" t="str">
            <v>XYLENE - 208 LT DRUM</v>
          </cell>
        </row>
        <row r="560">
          <cell r="H560" t="str">
            <v>87-0808-063</v>
          </cell>
          <cell r="I560" t="str">
            <v>XYLENE - 200 LT DRUM</v>
          </cell>
        </row>
        <row r="561">
          <cell r="H561" t="str">
            <v>87-1004-001</v>
          </cell>
          <cell r="I561" t="str">
            <v>TOLUENE - LITRES</v>
          </cell>
        </row>
        <row r="562">
          <cell r="H562" t="str">
            <v>87-1004-008</v>
          </cell>
          <cell r="I562" t="str">
            <v>TOLUENE - 202 LT DRUM</v>
          </cell>
        </row>
        <row r="563">
          <cell r="H563" t="str">
            <v>87-1004-063</v>
          </cell>
          <cell r="I563" t="str">
            <v>TOLUENE - 200 LT DRUM</v>
          </cell>
        </row>
        <row r="564">
          <cell r="H564" t="str">
            <v>87-2341-001</v>
          </cell>
          <cell r="I564" t="str">
            <v>DINP - LITRES</v>
          </cell>
        </row>
        <row r="565">
          <cell r="H565" t="str">
            <v>87-2341-009</v>
          </cell>
          <cell r="I565" t="str">
            <v>DINP - 200 KG</v>
          </cell>
        </row>
        <row r="566">
          <cell r="H566" t="str">
            <v>87-2341-063</v>
          </cell>
          <cell r="I566" t="str">
            <v>DINP - 200 LT DRUM</v>
          </cell>
        </row>
        <row r="567">
          <cell r="H567" t="str">
            <v>87-8041-009</v>
          </cell>
          <cell r="I567" t="str">
            <v>METHYL ETHYL KETONE - 163 KG</v>
          </cell>
        </row>
        <row r="568">
          <cell r="H568" t="str">
            <v>87-8041-010</v>
          </cell>
          <cell r="I568" t="str">
            <v>METHYL ETHYL KETONE - 165 KG</v>
          </cell>
        </row>
        <row r="569">
          <cell r="H569" t="str">
            <v>87-8041-964</v>
          </cell>
          <cell r="I569" t="str">
            <v>METHYL ETHYL KETONE - 164 KG DRUM</v>
          </cell>
        </row>
        <row r="570">
          <cell r="H570" t="str">
            <v>87-8041-989</v>
          </cell>
          <cell r="I570" t="str">
            <v>METHYL ETHYL KETONE - 189 KG DRUM</v>
          </cell>
        </row>
        <row r="571">
          <cell r="H571" t="str">
            <v>87-8058-000</v>
          </cell>
          <cell r="I571" t="str">
            <v>METHYL ISOBUTYL KETONE - KILOS</v>
          </cell>
        </row>
        <row r="572">
          <cell r="H572" t="str">
            <v>87-8066-009</v>
          </cell>
          <cell r="I572" t="str">
            <v>SEC BUTYL ALCOHOL - 170 KG</v>
          </cell>
        </row>
        <row r="573">
          <cell r="H573" t="str">
            <v>87-9011-063</v>
          </cell>
          <cell r="I573" t="str">
            <v>TOLUENE - 200 LT</v>
          </cell>
        </row>
        <row r="574">
          <cell r="H574" t="str">
            <v>87-9144-000</v>
          </cell>
          <cell r="I574" t="str">
            <v>EXXATE 1000 - KILOS</v>
          </cell>
        </row>
        <row r="575">
          <cell r="H575" t="str">
            <v>87-9144-009</v>
          </cell>
          <cell r="I575" t="str">
            <v>EXXATE 1000 - 181 KG DRUM</v>
          </cell>
        </row>
        <row r="576">
          <cell r="H576" t="str">
            <v>87-9155-000</v>
          </cell>
          <cell r="I576" t="str">
            <v>EXXATE 900 - KILOS</v>
          </cell>
        </row>
        <row r="577">
          <cell r="H577" t="str">
            <v>87-9155-009</v>
          </cell>
          <cell r="I577" t="str">
            <v>EXXATE 900 - 181 KG DRUM</v>
          </cell>
        </row>
        <row r="578">
          <cell r="H578" t="str">
            <v>87-9211-009</v>
          </cell>
          <cell r="I578" t="str">
            <v>BUTYL JAYSOLVE - 215 KG DRUM</v>
          </cell>
        </row>
        <row r="579">
          <cell r="H579" t="str">
            <v>88-0000-240</v>
          </cell>
          <cell r="I579" t="str">
            <v>MOBIL INSECTICIDE AEROSOL - 24 X 0.3 LT</v>
          </cell>
        </row>
        <row r="580">
          <cell r="H580" t="str">
            <v>88-0000-244</v>
          </cell>
          <cell r="I580" t="str">
            <v>MOBIL INSECTICIDE AEROSOL - 24 X 0.4 KG</v>
          </cell>
        </row>
        <row r="581">
          <cell r="H581" t="str">
            <v>88-0000-940</v>
          </cell>
          <cell r="I581" t="str">
            <v>MOBIL INSECTICIDE AEROSOL - 24 X 0.3 KG</v>
          </cell>
        </row>
        <row r="582">
          <cell r="H582" t="str">
            <v>88-0203-910</v>
          </cell>
          <cell r="I582" t="str">
            <v>MOBILSOL 30 - 210 LT</v>
          </cell>
        </row>
        <row r="583">
          <cell r="H583" t="str">
            <v>88-2308-001</v>
          </cell>
          <cell r="I583" t="str">
            <v>SLOPS FUEL PRODUCTS - LITRES</v>
          </cell>
        </row>
        <row r="584">
          <cell r="H584" t="str">
            <v>90-1447-000</v>
          </cell>
          <cell r="I584" t="str">
            <v>STOCK 1096 - KILOS</v>
          </cell>
        </row>
        <row r="585">
          <cell r="H585" t="str">
            <v>90-1629-000</v>
          </cell>
          <cell r="I585" t="str">
            <v>MOX 162 - KILOS</v>
          </cell>
        </row>
        <row r="586">
          <cell r="H586" t="str">
            <v>90-1629-905</v>
          </cell>
          <cell r="I586" t="str">
            <v>MOX 162 - 205 LT</v>
          </cell>
        </row>
        <row r="587">
          <cell r="H587" t="str">
            <v>90-1629-999</v>
          </cell>
          <cell r="I587" t="str">
            <v>MOX 162 - BULK GRMS</v>
          </cell>
        </row>
        <row r="588">
          <cell r="H588" t="str">
            <v>90-2023-000</v>
          </cell>
          <cell r="I588" t="str">
            <v>STOCK 1022 - KILOS</v>
          </cell>
        </row>
        <row r="589">
          <cell r="H589" t="str">
            <v>90-2287-000</v>
          </cell>
          <cell r="I589" t="str">
            <v>MOX 238 - KILOS</v>
          </cell>
        </row>
        <row r="590">
          <cell r="H590" t="str">
            <v>90-2759-000</v>
          </cell>
          <cell r="I590" t="str">
            <v>STOCK 820 - KILOS</v>
          </cell>
        </row>
        <row r="591">
          <cell r="H591" t="str">
            <v>90-3641-000</v>
          </cell>
          <cell r="I591" t="str">
            <v>STOCK 1319 - KILOS</v>
          </cell>
        </row>
        <row r="592">
          <cell r="H592" t="str">
            <v>91-0117-000</v>
          </cell>
          <cell r="I592" t="str">
            <v>MOX 011 - KILOS</v>
          </cell>
        </row>
        <row r="593">
          <cell r="H593" t="str">
            <v>91-0430-000</v>
          </cell>
          <cell r="I593" t="str">
            <v>MOX 043 - KILOS</v>
          </cell>
        </row>
        <row r="594">
          <cell r="H594" t="str">
            <v>91-0439-000</v>
          </cell>
          <cell r="I594" t="str">
            <v>MOX 043 - BULK KG</v>
          </cell>
        </row>
        <row r="595">
          <cell r="H595" t="str">
            <v>91-0752-000</v>
          </cell>
          <cell r="I595" t="str">
            <v>STOCK 2493 - KILOS</v>
          </cell>
        </row>
        <row r="596">
          <cell r="H596" t="str">
            <v>91-0794-000</v>
          </cell>
          <cell r="I596" t="str">
            <v>MOX 079 - KILOS</v>
          </cell>
        </row>
        <row r="597">
          <cell r="H597" t="str">
            <v>91-0828-000</v>
          </cell>
          <cell r="I597" t="str">
            <v>STOCK 2841 - KILOS</v>
          </cell>
        </row>
        <row r="598">
          <cell r="H598" t="str">
            <v>91-0935-000</v>
          </cell>
          <cell r="I598" t="str">
            <v>STOCK 2830 - KILOS</v>
          </cell>
        </row>
        <row r="599">
          <cell r="H599" t="str">
            <v>91-1313-000</v>
          </cell>
          <cell r="I599" t="str">
            <v>MOX 131 - KILOS</v>
          </cell>
        </row>
        <row r="600">
          <cell r="H600" t="str">
            <v>91-1321-000</v>
          </cell>
          <cell r="I600" t="str">
            <v>MOX 132 - KILOS</v>
          </cell>
        </row>
        <row r="601">
          <cell r="H601" t="str">
            <v>91-1396-000</v>
          </cell>
          <cell r="I601" t="str">
            <v>MOX 139 - KILOS</v>
          </cell>
        </row>
        <row r="602">
          <cell r="H602" t="str">
            <v>91-1622-000</v>
          </cell>
          <cell r="I602" t="str">
            <v>MOX 162 - BULK KG</v>
          </cell>
        </row>
        <row r="603">
          <cell r="H603" t="str">
            <v>91-1693-000</v>
          </cell>
          <cell r="I603" t="str">
            <v>STOCK 1418 - KILOS</v>
          </cell>
        </row>
        <row r="604">
          <cell r="H604" t="str">
            <v>91-1909-000</v>
          </cell>
          <cell r="I604" t="str">
            <v>STOCK 3047 - KILOS</v>
          </cell>
        </row>
        <row r="605">
          <cell r="H605" t="str">
            <v>91-1950-000</v>
          </cell>
          <cell r="I605" t="str">
            <v>MOX 195 - BULK KG</v>
          </cell>
        </row>
        <row r="606">
          <cell r="H606" t="str">
            <v>91-1958-000</v>
          </cell>
          <cell r="I606" t="str">
            <v>MOX 195 - KILOS</v>
          </cell>
        </row>
        <row r="607">
          <cell r="H607" t="str">
            <v>91-2380-000</v>
          </cell>
          <cell r="I607" t="str">
            <v>MOX 238 - BULK KG</v>
          </cell>
        </row>
        <row r="608">
          <cell r="H608" t="str">
            <v>91-2584-000</v>
          </cell>
          <cell r="I608" t="str">
            <v>STOCK 2989 - KILOS</v>
          </cell>
        </row>
        <row r="609">
          <cell r="H609" t="str">
            <v>91-2766-000</v>
          </cell>
          <cell r="I609" t="str">
            <v>STOCK 1090 - KILOS</v>
          </cell>
        </row>
        <row r="610">
          <cell r="H610" t="str">
            <v>91-2881-000</v>
          </cell>
          <cell r="I610" t="str">
            <v>STOCK 1474 - KILOS</v>
          </cell>
        </row>
        <row r="611">
          <cell r="H611" t="str">
            <v>91-3244-000</v>
          </cell>
          <cell r="I611" t="str">
            <v>STOCK 1443 - KILOS</v>
          </cell>
        </row>
        <row r="612">
          <cell r="H612" t="str">
            <v>91-3590-000</v>
          </cell>
          <cell r="I612" t="str">
            <v>MOX 359 - KILOS</v>
          </cell>
        </row>
        <row r="613">
          <cell r="H613" t="str">
            <v>91-4010-000</v>
          </cell>
          <cell r="I613" t="str">
            <v>MOX 401 - KILOS</v>
          </cell>
        </row>
        <row r="614">
          <cell r="H614" t="str">
            <v>91-4093-000</v>
          </cell>
          <cell r="I614" t="str">
            <v>MOX 409 - KILOS</v>
          </cell>
        </row>
        <row r="615">
          <cell r="H615" t="str">
            <v>91-4325-000</v>
          </cell>
          <cell r="I615" t="str">
            <v>MOX 432 - KILOS</v>
          </cell>
        </row>
        <row r="616">
          <cell r="H616" t="str">
            <v>91-4424-000</v>
          </cell>
          <cell r="I616" t="str">
            <v>MOX 442 - KILOS</v>
          </cell>
        </row>
        <row r="617">
          <cell r="H617" t="str">
            <v>91-4424-905</v>
          </cell>
          <cell r="I617" t="str">
            <v>MOX 442 - 205 LT</v>
          </cell>
        </row>
        <row r="618">
          <cell r="H618" t="str">
            <v>91-5504-000</v>
          </cell>
          <cell r="I618" t="str">
            <v>MOX 550 - KILOS</v>
          </cell>
        </row>
        <row r="619">
          <cell r="H619" t="str">
            <v>91-5603-000</v>
          </cell>
          <cell r="I619" t="str">
            <v>MOX 560 - KILOS</v>
          </cell>
        </row>
        <row r="620">
          <cell r="H620" t="str">
            <v>91-5611-000</v>
          </cell>
          <cell r="I620" t="str">
            <v>MOX 561 - KILOS</v>
          </cell>
        </row>
        <row r="621">
          <cell r="H621" t="str">
            <v>91-5728-000</v>
          </cell>
          <cell r="I621" t="str">
            <v>STOCK 1907 - KILOS</v>
          </cell>
        </row>
        <row r="622">
          <cell r="H622" t="str">
            <v>91-5740-000</v>
          </cell>
          <cell r="I622" t="str">
            <v>MOX 574 - BULK KG</v>
          </cell>
        </row>
        <row r="623">
          <cell r="H623" t="str">
            <v>91-5744-000</v>
          </cell>
          <cell r="I623" t="str">
            <v>MOX 574 - KILOS</v>
          </cell>
        </row>
        <row r="624">
          <cell r="H624" t="str">
            <v>91-6114-000</v>
          </cell>
          <cell r="I624" t="str">
            <v>MOX 611 - KILOS</v>
          </cell>
        </row>
        <row r="625">
          <cell r="H625" t="str">
            <v>91-7856-000</v>
          </cell>
          <cell r="I625" t="str">
            <v>STOCK 1885 - KILOS</v>
          </cell>
        </row>
        <row r="626">
          <cell r="H626" t="str">
            <v>91-7955-000</v>
          </cell>
          <cell r="I626" t="str">
            <v>STOCK 1953 - KILOS</v>
          </cell>
        </row>
        <row r="627">
          <cell r="H627" t="str">
            <v>91-8086-000</v>
          </cell>
          <cell r="I627" t="str">
            <v>STOCK 2216 - KILOS</v>
          </cell>
        </row>
        <row r="628">
          <cell r="H628" t="str">
            <v>91-8623-000</v>
          </cell>
          <cell r="I628" t="str">
            <v>STOCK 2514 - KILOS</v>
          </cell>
        </row>
        <row r="629">
          <cell r="H629" t="str">
            <v>91-8896-000</v>
          </cell>
          <cell r="I629" t="str">
            <v>MOX 889 - KILOS</v>
          </cell>
        </row>
        <row r="630">
          <cell r="H630" t="str">
            <v>91-8896-001</v>
          </cell>
          <cell r="I630" t="str">
            <v>MOX 889 - LITRES</v>
          </cell>
        </row>
        <row r="631">
          <cell r="H631" t="str">
            <v>91-8896-905</v>
          </cell>
          <cell r="I631" t="str">
            <v>MOX 889 - 205 LT</v>
          </cell>
        </row>
        <row r="632">
          <cell r="H632" t="str">
            <v>92-0820-000</v>
          </cell>
          <cell r="I632" t="str">
            <v>STOCK 820 - BULK KG</v>
          </cell>
        </row>
        <row r="633">
          <cell r="H633" t="str">
            <v>92-1022-999</v>
          </cell>
          <cell r="I633" t="str">
            <v>STOCK 1022 - BULK KG</v>
          </cell>
        </row>
        <row r="634">
          <cell r="H634" t="str">
            <v>92-1090-000</v>
          </cell>
          <cell r="I634" t="str">
            <v>STOCK 1090 - BULK KG</v>
          </cell>
        </row>
        <row r="635">
          <cell r="H635" t="str">
            <v>92-1096-000</v>
          </cell>
          <cell r="I635" t="str">
            <v>STOCK 1096 - BULK KG</v>
          </cell>
        </row>
        <row r="636">
          <cell r="H636" t="str">
            <v>92-1319-000</v>
          </cell>
          <cell r="I636" t="str">
            <v>STOCK 1319 - BULK KG</v>
          </cell>
        </row>
        <row r="637">
          <cell r="H637" t="str">
            <v>92-1418-000</v>
          </cell>
          <cell r="I637" t="str">
            <v>STOCK 1418 - BULK KG</v>
          </cell>
        </row>
        <row r="638">
          <cell r="H638" t="str">
            <v>92-1443-000</v>
          </cell>
          <cell r="I638" t="str">
            <v>STOCK 1443 - BULK KG</v>
          </cell>
        </row>
        <row r="639">
          <cell r="H639" t="str">
            <v>92-1474-000</v>
          </cell>
          <cell r="I639" t="str">
            <v>STOCK 1474 - BULK KG</v>
          </cell>
        </row>
        <row r="640">
          <cell r="H640" t="str">
            <v>92-1634-000</v>
          </cell>
          <cell r="I640" t="str">
            <v>STOCK 1634 - BULK KG</v>
          </cell>
        </row>
        <row r="641">
          <cell r="H641" t="str">
            <v>92-1634-008</v>
          </cell>
          <cell r="I641" t="str">
            <v>STOCK 1634 - BULK KG</v>
          </cell>
        </row>
        <row r="642">
          <cell r="H642" t="str">
            <v>92-1885-000</v>
          </cell>
          <cell r="I642" t="str">
            <v>STOCK 1885 - BULK KG</v>
          </cell>
        </row>
        <row r="643">
          <cell r="H643" t="str">
            <v>92-1907-000</v>
          </cell>
          <cell r="I643" t="str">
            <v>STOCK 1907 - BULK KG</v>
          </cell>
        </row>
        <row r="644">
          <cell r="H644" t="str">
            <v>92-1953-000</v>
          </cell>
          <cell r="I644" t="str">
            <v>STOCK 1953 - BULK KG</v>
          </cell>
        </row>
        <row r="645">
          <cell r="H645" t="str">
            <v>92-2216-000</v>
          </cell>
          <cell r="I645" t="str">
            <v>STOCK 2216 - BULK KG</v>
          </cell>
        </row>
        <row r="646">
          <cell r="H646" t="str">
            <v>92-2493-000</v>
          </cell>
          <cell r="I646" t="str">
            <v>STOCK 2493 - BULK KG</v>
          </cell>
        </row>
        <row r="647">
          <cell r="H647" t="str">
            <v>92-2514-000</v>
          </cell>
          <cell r="I647" t="str">
            <v>STOCK 2514 - BULK KG</v>
          </cell>
        </row>
        <row r="648">
          <cell r="H648" t="str">
            <v>92-2830-000</v>
          </cell>
          <cell r="I648" t="str">
            <v>STOCK 2830 - BULK KG</v>
          </cell>
        </row>
        <row r="649">
          <cell r="H649" t="str">
            <v>92-2841-000</v>
          </cell>
          <cell r="I649" t="str">
            <v>STOCK 2841 - BULK KG</v>
          </cell>
        </row>
        <row r="650">
          <cell r="H650" t="str">
            <v>92-2989-000</v>
          </cell>
          <cell r="I650" t="str">
            <v>STOCK 2989 - BULK KG</v>
          </cell>
        </row>
        <row r="651">
          <cell r="H651" t="str">
            <v>92-3047-000</v>
          </cell>
          <cell r="I651" t="str">
            <v>STOCK 3047 - BULK KG</v>
          </cell>
        </row>
        <row r="652">
          <cell r="H652" t="str">
            <v>92-3196-000</v>
          </cell>
          <cell r="I652" t="str">
            <v>STOCK 3196 - BULK KG</v>
          </cell>
        </row>
        <row r="653">
          <cell r="H653" t="str">
            <v>92-3208-000</v>
          </cell>
          <cell r="I653" t="str">
            <v>STOCK 3208 - KILOS</v>
          </cell>
        </row>
        <row r="654">
          <cell r="H654" t="str">
            <v>92-3229-000</v>
          </cell>
          <cell r="I654" t="str">
            <v>STOCK 3229 - KILOS</v>
          </cell>
        </row>
        <row r="655">
          <cell r="H655" t="str">
            <v>92-3255-000</v>
          </cell>
          <cell r="I655" t="str">
            <v>STOCK 3255 - BULK KG</v>
          </cell>
        </row>
        <row r="656">
          <cell r="H656" t="str">
            <v>92-3263-000</v>
          </cell>
          <cell r="I656" t="str">
            <v>STOCK 3263 - BULK KG</v>
          </cell>
        </row>
        <row r="657">
          <cell r="H657" t="str">
            <v>92-3288-000</v>
          </cell>
          <cell r="I657" t="str">
            <v>STOCK 3288 - KILOS</v>
          </cell>
        </row>
        <row r="658">
          <cell r="H658" t="str">
            <v>92-3376-000</v>
          </cell>
          <cell r="I658" t="str">
            <v>STOCK 3376 - KILOS</v>
          </cell>
        </row>
        <row r="659">
          <cell r="H659" t="str">
            <v>94-0023-000</v>
          </cell>
          <cell r="I659" t="str">
            <v>ARABIAN HEAVY - KILOS</v>
          </cell>
        </row>
        <row r="660">
          <cell r="H660" t="str">
            <v>94-0080-000</v>
          </cell>
          <cell r="I660" t="str">
            <v>KUWAIT CRUDE - KILOS</v>
          </cell>
        </row>
        <row r="661">
          <cell r="H661" t="str">
            <v>94-1021-000</v>
          </cell>
          <cell r="I661" t="str">
            <v>MURBAN - KILOS</v>
          </cell>
        </row>
        <row r="662">
          <cell r="H662" t="str">
            <v>94-1534-000</v>
          </cell>
          <cell r="I662" t="str">
            <v>ZAKUM CRUDE - KILOS</v>
          </cell>
        </row>
        <row r="663">
          <cell r="H663" t="str">
            <v>94-1765-000</v>
          </cell>
          <cell r="I663" t="str">
            <v>MARIB RECONSTITUTED - KILOS</v>
          </cell>
        </row>
        <row r="664">
          <cell r="H664" t="str">
            <v>94-3514-000</v>
          </cell>
          <cell r="I664" t="str">
            <v>MARIB LIGHT - KILOS</v>
          </cell>
        </row>
        <row r="665">
          <cell r="H665" t="str">
            <v>94-4058-000</v>
          </cell>
          <cell r="I665" t="str">
            <v>SLOPS CRUDE OIL - KILOS</v>
          </cell>
        </row>
        <row r="666">
          <cell r="H666" t="str">
            <v>94-7069-000</v>
          </cell>
          <cell r="I666" t="str">
            <v>FUEL &amp; LOSS - KILOS</v>
          </cell>
        </row>
        <row r="667">
          <cell r="H667" t="str">
            <v>94-7069-001</v>
          </cell>
          <cell r="I667" t="str">
            <v>FUEL &amp; LOSS - LITRES</v>
          </cell>
        </row>
        <row r="668">
          <cell r="H668" t="str">
            <v>94-9000-001</v>
          </cell>
          <cell r="I668" t="str">
            <v>CRUDE SLOPS KPRL - LITRES</v>
          </cell>
        </row>
        <row r="669">
          <cell r="H669" t="str">
            <v>95-8041-000</v>
          </cell>
          <cell r="I669" t="str">
            <v>STOCK 3255 - KILOS</v>
          </cell>
        </row>
        <row r="670">
          <cell r="H670" t="str">
            <v>96-5624-000</v>
          </cell>
          <cell r="I670" t="str">
            <v>STOCK 3196 - KILOS</v>
          </cell>
        </row>
        <row r="671">
          <cell r="H671" t="str">
            <v>97-0000-000</v>
          </cell>
          <cell r="I671" t="str">
            <v>PORT DIFFERENTIAL - LITRE</v>
          </cell>
        </row>
        <row r="672">
          <cell r="H672" t="str">
            <v>97-0355-000</v>
          </cell>
          <cell r="I672" t="str">
            <v>MOBIL 6 KG CYLINDER - ITEMS</v>
          </cell>
        </row>
        <row r="673">
          <cell r="H673" t="str">
            <v>97-1000-000</v>
          </cell>
          <cell r="I673" t="str">
            <v>NEW 210/200 LITRE DRUM  - ITEMS</v>
          </cell>
        </row>
        <row r="674">
          <cell r="H674" t="str">
            <v>97-1019-000</v>
          </cell>
          <cell r="I674" t="str">
            <v>SECOND HAND FUEL SLOPES DRUMS - ITEMS</v>
          </cell>
        </row>
        <row r="675">
          <cell r="H675" t="str">
            <v>97-1028-000</v>
          </cell>
          <cell r="I675" t="str">
            <v>SECOND HND 210/200 LTR DM  - ITEMS</v>
          </cell>
        </row>
        <row r="676">
          <cell r="H676" t="str">
            <v>97-1032-000</v>
          </cell>
          <cell r="I676" t="str">
            <v>NEW 150 K.G. DRUM  - ITEMS</v>
          </cell>
        </row>
        <row r="677">
          <cell r="H677" t="str">
            <v>97-1037-000</v>
          </cell>
          <cell r="I677" t="str">
            <v>NEW 180 K.G. DRUM  - ITEMS</v>
          </cell>
        </row>
        <row r="678">
          <cell r="H678" t="str">
            <v>97-1055-000</v>
          </cell>
          <cell r="I678" t="str">
            <v>DIS DRMS 180 KG. OR 210LT  - ITEMS</v>
          </cell>
        </row>
        <row r="679">
          <cell r="H679" t="str">
            <v>97-1073-000</v>
          </cell>
          <cell r="I679" t="str">
            <v>NEW 20LTR ROUND PAILS  - ITEMS</v>
          </cell>
        </row>
        <row r="680">
          <cell r="H680" t="str">
            <v>97-1082-000</v>
          </cell>
          <cell r="I680" t="str">
            <v>NEW 20 LTR PLASTIC J CANS  - ITEMS</v>
          </cell>
        </row>
        <row r="681">
          <cell r="H681" t="str">
            <v>97-1091-000</v>
          </cell>
          <cell r="I681" t="str">
            <v>EMPTY DRUMS 1X200 RETURNABLE - ITEMS</v>
          </cell>
        </row>
        <row r="682">
          <cell r="H682" t="str">
            <v>97-1100-000</v>
          </cell>
          <cell r="I682" t="str">
            <v>SECOND HAND 20LTR CONTNER  - ITEMS</v>
          </cell>
        </row>
        <row r="683">
          <cell r="H683" t="str">
            <v>97-1119-000</v>
          </cell>
          <cell r="I683" t="str">
            <v>CARTNS 4X5 JERRYCANS/TINS  - ITEMS</v>
          </cell>
        </row>
        <row r="684">
          <cell r="H684" t="str">
            <v>97-1137-000</v>
          </cell>
          <cell r="I684" t="str">
            <v>1X5 LITRE JERRY CAN  - ITEMS</v>
          </cell>
        </row>
        <row r="685">
          <cell r="H685" t="str">
            <v>97-1146-000</v>
          </cell>
          <cell r="I685" t="str">
            <v>EMPTY CARTONS 40X1/2 LTR - ITEMS</v>
          </cell>
        </row>
        <row r="686">
          <cell r="H686" t="str">
            <v>97-1155-000</v>
          </cell>
          <cell r="I686" t="str">
            <v>1X1/2 LITRE TINS  - ITEMS</v>
          </cell>
        </row>
        <row r="687">
          <cell r="H687" t="str">
            <v>97-1173-000</v>
          </cell>
          <cell r="I687" t="str">
            <v>1X17KG PAILS    - ITEMS</v>
          </cell>
        </row>
        <row r="688">
          <cell r="H688" t="str">
            <v>97-1182-000</v>
          </cell>
          <cell r="I688" t="str">
            <v>8X3 KG. CARTON  - ITEMS</v>
          </cell>
        </row>
        <row r="689">
          <cell r="H689" t="str">
            <v>97-1200-000</v>
          </cell>
          <cell r="I689" t="str">
            <v>208 LITRE DRUM - ITEMS</v>
          </cell>
        </row>
        <row r="690">
          <cell r="H690" t="str">
            <v>97-1219-000</v>
          </cell>
          <cell r="I690" t="str">
            <v>36X1/2 LITRE CARTON  - ITEMS</v>
          </cell>
        </row>
        <row r="691">
          <cell r="H691" t="str">
            <v>97-1228-000</v>
          </cell>
          <cell r="I691" t="str">
            <v>32 X 1/2 LITRE CARTON - ITEMS</v>
          </cell>
        </row>
        <row r="692">
          <cell r="H692" t="str">
            <v>97-1237-000</v>
          </cell>
          <cell r="I692" t="str">
            <v>40X1/4 LTR. CARTON  - ITEMS</v>
          </cell>
        </row>
        <row r="693">
          <cell r="H693" t="str">
            <v>97-1246-000</v>
          </cell>
          <cell r="I693" t="str">
            <v>1X1/4 LITRE TIN  - ITEMS</v>
          </cell>
        </row>
        <row r="694">
          <cell r="H694" t="str">
            <v>97-1264-000</v>
          </cell>
          <cell r="I694" t="str">
            <v>1X1 LITRE EMPTY NEW CANS  - ITEMS</v>
          </cell>
        </row>
        <row r="695">
          <cell r="H695" t="str">
            <v>97-1273-000</v>
          </cell>
          <cell r="I695" t="str">
            <v>1X3 KG TINS  - ITEMS</v>
          </cell>
        </row>
        <row r="696">
          <cell r="H696" t="str">
            <v>97-1282-000</v>
          </cell>
          <cell r="I696" t="str">
            <v>1X0.5 KG TINS  - ITEMS</v>
          </cell>
        </row>
        <row r="697">
          <cell r="H697" t="str">
            <v>97-1287-000</v>
          </cell>
          <cell r="I697" t="str">
            <v>200  ML PLASTIC CONTAINER</v>
          </cell>
        </row>
        <row r="698">
          <cell r="H698" t="str">
            <v>97-1291-000</v>
          </cell>
          <cell r="I698" t="str">
            <v>CARTONS WITH 36X1/2 KG TN  - ITEMS</v>
          </cell>
        </row>
        <row r="699">
          <cell r="H699" t="str">
            <v>97-1300-000</v>
          </cell>
          <cell r="I699" t="str">
            <v>24x1 LTR EMPTY CARTONS  - ITEMS</v>
          </cell>
        </row>
        <row r="700">
          <cell r="H700" t="str">
            <v>97-1319-000</v>
          </cell>
          <cell r="I700" t="str">
            <v>12 X 1 LTRS CARTON - ITEMS</v>
          </cell>
        </row>
        <row r="701">
          <cell r="H701" t="str">
            <v>97-1328-000</v>
          </cell>
          <cell r="I701" t="str">
            <v>MOBIL 40KG LPG CYLINDER - ITEMS</v>
          </cell>
        </row>
        <row r="702">
          <cell r="H702" t="str">
            <v>97-1337-000</v>
          </cell>
          <cell r="I702" t="str">
            <v>MOBIL 13KG LPG CYLINDER - ITEMS</v>
          </cell>
        </row>
        <row r="703">
          <cell r="H703" t="str">
            <v>97-1346-000</v>
          </cell>
          <cell r="I703" t="str">
            <v>5KG. L.P. GAS CYLINDER  - ITEMS</v>
          </cell>
        </row>
        <row r="704">
          <cell r="H704" t="str">
            <v>97-1355-000</v>
          </cell>
          <cell r="I704" t="str">
            <v>MOBIL 6KG LPG CYLINDER - ITEMS</v>
          </cell>
        </row>
        <row r="705">
          <cell r="H705" t="str">
            <v>97-1364-000</v>
          </cell>
          <cell r="I705" t="str">
            <v>OTHER CONTAINERS  - ITEMS</v>
          </cell>
        </row>
        <row r="706">
          <cell r="H706" t="str">
            <v>97-1373-000</v>
          </cell>
          <cell r="I706" t="str">
            <v>EMPTY 1X210 BASI-BLENDING  - ITEMS</v>
          </cell>
        </row>
        <row r="707">
          <cell r="H707" t="str">
            <v>97-1464-000</v>
          </cell>
          <cell r="I707" t="str">
            <v>EMPTY 1X20 BASIC-BLENDING  - ITEMS</v>
          </cell>
        </row>
        <row r="708">
          <cell r="H708" t="str">
            <v>97-1482-000</v>
          </cell>
          <cell r="I708" t="str">
            <v>60X200 ENPTY CARTON - ITEMS</v>
          </cell>
        </row>
        <row r="709">
          <cell r="H709" t="str">
            <v>97-1755-000</v>
          </cell>
          <cell r="I709" t="str">
            <v>36 X 1/4LTR CARTON  - ITEMS</v>
          </cell>
        </row>
        <row r="710">
          <cell r="H710" t="str">
            <v>97-1764-000</v>
          </cell>
          <cell r="I710" t="str">
            <v>12 X 1 CORRUGATED CARTON - ITEMS</v>
          </cell>
        </row>
        <row r="711">
          <cell r="H711" t="str">
            <v>97-1773-000</v>
          </cell>
          <cell r="I711" t="str">
            <v>4X4 EMPTY CARTON - ITEMS</v>
          </cell>
        </row>
        <row r="712">
          <cell r="H712" t="str">
            <v>97-1782-000</v>
          </cell>
          <cell r="I712" t="str">
            <v>1X210 S.H.DRUM BLENDING  - ITEMS</v>
          </cell>
        </row>
        <row r="713">
          <cell r="H713" t="str">
            <v>97-1791-000</v>
          </cell>
          <cell r="I713" t="str">
            <v>1X210 EMPTY AGIP BASIC  - ITEMS</v>
          </cell>
        </row>
        <row r="714">
          <cell r="H714" t="str">
            <v>97-1928-000</v>
          </cell>
          <cell r="I714" t="str">
            <v>1X20 EMTY AGIP BASIC PAIL  - ITEMS</v>
          </cell>
        </row>
        <row r="715">
          <cell r="H715" t="str">
            <v>97-2000-000</v>
          </cell>
          <cell r="I715" t="str">
            <v>PACKAGE SURCHARGE DRUMS- KILOS</v>
          </cell>
        </row>
        <row r="716">
          <cell r="H716" t="str">
            <v>97-2055-000</v>
          </cell>
          <cell r="I716" t="str">
            <v>1X5 EMTY AGIP BASIC PAIL  - ITEMS</v>
          </cell>
        </row>
        <row r="717">
          <cell r="H717" t="str">
            <v>97-2128-000</v>
          </cell>
          <cell r="I717" t="str">
            <v>1X210 EMPTY TOTAL DRUMS  - ITEMS</v>
          </cell>
        </row>
        <row r="718">
          <cell r="H718" t="str">
            <v>97-2355-000</v>
          </cell>
          <cell r="I718" t="str">
            <v>1X20 EMT TOTAL BASIC PAIL  - ITEMS</v>
          </cell>
        </row>
        <row r="719">
          <cell r="H719" t="str">
            <v>97-2600-000</v>
          </cell>
          <cell r="I719" t="str">
            <v>HALF LTR CONTAINER LABELS  - ITEMS</v>
          </cell>
        </row>
        <row r="720">
          <cell r="H720" t="str">
            <v>97-2619-000</v>
          </cell>
          <cell r="I720" t="str">
            <v>FIVE LTR CONTAINER LABELS  - ITEMS</v>
          </cell>
        </row>
        <row r="721">
          <cell r="H721" t="str">
            <v>97-2628-000</v>
          </cell>
          <cell r="I721" t="str">
            <v>4X5 CORRUGATED CARTON - ITEMS</v>
          </cell>
        </row>
        <row r="722">
          <cell r="H722" t="str">
            <v>97-2637-000</v>
          </cell>
          <cell r="I722" t="str">
            <v>4X5 LT CORRUGATED CARTONS - ITEMS</v>
          </cell>
        </row>
        <row r="723">
          <cell r="H723" t="str">
            <v>97-2655-000</v>
          </cell>
          <cell r="I723" t="str">
            <v>40 KG.L.P. GAS CYLINDER  - OLD</v>
          </cell>
        </row>
        <row r="724">
          <cell r="H724" t="str">
            <v>97-2664-000</v>
          </cell>
          <cell r="I724" t="str">
            <v>13 KG.L.P. GAS CYLINDER  - OLD</v>
          </cell>
        </row>
        <row r="725">
          <cell r="H725" t="str">
            <v>97-2673-000</v>
          </cell>
          <cell r="I725" t="str">
            <v>5KG. L.P. GAS CYLINDER  - ITEMS</v>
          </cell>
        </row>
        <row r="726">
          <cell r="H726" t="str">
            <v>97-2682-000</v>
          </cell>
          <cell r="I726" t="str">
            <v>LPG LOW PRESS. REGULATOR - ITEMS</v>
          </cell>
        </row>
        <row r="727">
          <cell r="H727" t="str">
            <v>97-2691-000</v>
          </cell>
          <cell r="I727" t="str">
            <v>LPG LOW PRESSURE HOSES - ITEMS</v>
          </cell>
        </row>
        <row r="728">
          <cell r="H728" t="str">
            <v>97-2700-000</v>
          </cell>
          <cell r="I728" t="str">
            <v>LPG HIGH PRESSURE HOSES - ITEMS</v>
          </cell>
        </row>
        <row r="729">
          <cell r="H729" t="str">
            <v>97-2719-000</v>
          </cell>
          <cell r="I729" t="str">
            <v>LPG HIGH PRESS. REGULATOR - ITEMS</v>
          </cell>
        </row>
        <row r="730">
          <cell r="H730" t="str">
            <v>97-2727-000</v>
          </cell>
          <cell r="I730" t="str">
            <v>MOBIL 6 KG LPG LANTERN - ITEMS</v>
          </cell>
        </row>
        <row r="731">
          <cell r="H731" t="str">
            <v>97-2728-000</v>
          </cell>
          <cell r="I731" t="str">
            <v>NOZZLE UNION HP REG. - ITEMS</v>
          </cell>
        </row>
        <row r="732">
          <cell r="H732" t="str">
            <v>97-2737-000</v>
          </cell>
          <cell r="I732" t="str">
            <v>MOBIL 6KG LPG LANTERN - ITEMS</v>
          </cell>
        </row>
        <row r="733">
          <cell r="H733" t="str">
            <v>97-2746-000</v>
          </cell>
          <cell r="I733" t="str">
            <v>MOBIL 6KG LPG GRILL - ITEMS</v>
          </cell>
        </row>
        <row r="734">
          <cell r="H734" t="str">
            <v>97-2755-000</v>
          </cell>
          <cell r="I734" t="str">
            <v>MOBIL 6KG LPG BURNER - ITEMS</v>
          </cell>
        </row>
        <row r="735">
          <cell r="H735" t="str">
            <v>97-2764-000</v>
          </cell>
          <cell r="I735" t="str">
            <v>MOBIL 6KG LPG CARTON - ITEMS</v>
          </cell>
        </row>
        <row r="736">
          <cell r="H736" t="str">
            <v>97-2773-000</v>
          </cell>
          <cell r="I736" t="str">
            <v>MOBIL LPG CYLINDER VALVES - ITEMS</v>
          </cell>
        </row>
        <row r="737">
          <cell r="H737" t="str">
            <v>97-2782-000</v>
          </cell>
          <cell r="I737" t="str">
            <v>MOBIL 6 KG GRILL &amp; CARTON - ITEMS</v>
          </cell>
        </row>
        <row r="738">
          <cell r="H738" t="str">
            <v>97-2791-000</v>
          </cell>
          <cell r="I738" t="str">
            <v>1X4 LITRE PLASTIC CAN  - ITEMS</v>
          </cell>
        </row>
        <row r="739">
          <cell r="H739" t="str">
            <v>97-2800-000</v>
          </cell>
          <cell r="I739" t="str">
            <v>200 ML PLASTIC CONTAINERS</v>
          </cell>
        </row>
        <row r="740">
          <cell r="H740" t="str">
            <v>97-3000-000</v>
          </cell>
          <cell r="I740" t="str">
            <v>PACKAGE SURCHARGE DRUMS- LITRE</v>
          </cell>
        </row>
        <row r="741">
          <cell r="H741" t="str">
            <v>97-4000-000</v>
          </cell>
          <cell r="I741" t="str">
            <v>PACKAGE SURCHARGE - PACKS</v>
          </cell>
        </row>
        <row r="742">
          <cell r="H742" t="str">
            <v>98-0045-000</v>
          </cell>
          <cell r="I742" t="str">
            <v>1200 X 20 RETREAD TYRES - ITEMS</v>
          </cell>
        </row>
        <row r="743">
          <cell r="H743" t="str">
            <v>98-0047-000</v>
          </cell>
          <cell r="I743" t="str">
            <v>3'' FUEL MECAIR VALVE</v>
          </cell>
        </row>
        <row r="744">
          <cell r="H744" t="str">
            <v>98-0048-000</v>
          </cell>
          <cell r="I744" t="str">
            <v>115LTS OIL DRAINING KIT</v>
          </cell>
        </row>
        <row r="745">
          <cell r="H745" t="str">
            <v>98-0049-000</v>
          </cell>
          <cell r="I745" t="str">
            <v>PNEUMATIC RASMA AURAS</v>
          </cell>
        </row>
        <row r="746">
          <cell r="H746" t="str">
            <v>98-0050-000</v>
          </cell>
          <cell r="I746" t="str">
            <v>OIL DRUM PUMP</v>
          </cell>
        </row>
        <row r="747">
          <cell r="H747" t="str">
            <v>98-0051-000</v>
          </cell>
          <cell r="I747" t="str">
            <v>GREASE PUMP S/H</v>
          </cell>
        </row>
        <row r="748">
          <cell r="H748" t="str">
            <v>98-0052-000</v>
          </cell>
          <cell r="I748" t="str">
            <v>J.C. CARTER HOSE END PRES - ITEMS</v>
          </cell>
        </row>
        <row r="749">
          <cell r="H749" t="str">
            <v>98-0053-000</v>
          </cell>
          <cell r="I749" t="str">
            <v>CD 70 MONO PMP S/H</v>
          </cell>
        </row>
        <row r="750">
          <cell r="H750" t="str">
            <v>98-0054-000</v>
          </cell>
          <cell r="I750" t="str">
            <v>CD 60 MONO PMP S/H</v>
          </cell>
        </row>
        <row r="751">
          <cell r="H751" t="str">
            <v>98-0055-000</v>
          </cell>
          <cell r="I751" t="str">
            <v>CD 40 MONO PMP S/H</v>
          </cell>
        </row>
        <row r="752">
          <cell r="H752" t="str">
            <v>98-0056-000</v>
          </cell>
          <cell r="I752" t="str">
            <v>3.0 HP COMPRESSOR S/H</v>
          </cell>
        </row>
        <row r="753">
          <cell r="H753" t="str">
            <v>98-0057-000</v>
          </cell>
          <cell r="I753" t="str">
            <v>ONE DOOR SHILLER FRIDGE S/H</v>
          </cell>
        </row>
        <row r="754">
          <cell r="H754" t="str">
            <v>98-0058-000</v>
          </cell>
          <cell r="I754" t="str">
            <v>TWO DOOR SHILLER FRIDGE S/H</v>
          </cell>
        </row>
        <row r="755">
          <cell r="H755" t="str">
            <v>98-0059-000</v>
          </cell>
          <cell r="I755" t="str">
            <v>HOT DOG STANDS</v>
          </cell>
        </row>
        <row r="756">
          <cell r="H756" t="str">
            <v>98-0060-000</v>
          </cell>
          <cell r="I756" t="str">
            <v>NEW MICHELIN TYRES - ITEMS</v>
          </cell>
        </row>
        <row r="757">
          <cell r="H757" t="str">
            <v>98-0061-000</v>
          </cell>
          <cell r="I757" t="str">
            <v>1 METER WHITE BARRIERS</v>
          </cell>
        </row>
        <row r="758">
          <cell r="H758" t="str">
            <v>98-0062-000</v>
          </cell>
          <cell r="I758" t="str">
            <v>SERVICE STN GIFT BOARDS</v>
          </cell>
        </row>
        <row r="759">
          <cell r="H759" t="str">
            <v>98-0063-000</v>
          </cell>
          <cell r="I759" t="str">
            <v>HYDRAULIC LIFT (PARKLANDS)</v>
          </cell>
        </row>
        <row r="760">
          <cell r="H760" t="str">
            <v>98-0064-000</v>
          </cell>
          <cell r="I760" t="str">
            <v>OSR ENGINE</v>
          </cell>
        </row>
        <row r="761">
          <cell r="H761" t="str">
            <v>98-0065-000</v>
          </cell>
          <cell r="I761" t="str">
            <v>OSR SUCKING UNIT</v>
          </cell>
        </row>
        <row r="762">
          <cell r="H762" t="str">
            <v>98-0070-000</v>
          </cell>
          <cell r="I762" t="str">
            <v>OSR REPAIR KIT BOX</v>
          </cell>
        </row>
        <row r="763">
          <cell r="H763" t="str">
            <v>98-0071-000</v>
          </cell>
          <cell r="I763" t="str">
            <v>LPG FILLING HEAD VALVE</v>
          </cell>
        </row>
        <row r="764">
          <cell r="H764" t="str">
            <v>98-0072-000</v>
          </cell>
          <cell r="I764" t="str">
            <v>LPG CYLINDER CAGE</v>
          </cell>
        </row>
        <row r="765">
          <cell r="H765" t="str">
            <v>98-0073-000</v>
          </cell>
          <cell r="I765" t="str">
            <v>LIFE SAVER CONES</v>
          </cell>
        </row>
        <row r="766">
          <cell r="H766" t="str">
            <v>98-0074-000</v>
          </cell>
          <cell r="I766" t="str">
            <v>2 TON LPG TANK S/H</v>
          </cell>
        </row>
        <row r="767">
          <cell r="H767" t="str">
            <v>98-0075-000</v>
          </cell>
          <cell r="I767" t="str">
            <v>3/4 TON LPG TANK S/H</v>
          </cell>
        </row>
        <row r="768">
          <cell r="H768" t="str">
            <v>98-0076-000</v>
          </cell>
          <cell r="I768" t="str">
            <v>10000 LTS AG TANKS NEW</v>
          </cell>
        </row>
        <row r="769">
          <cell r="H769" t="str">
            <v>98-0077-000</v>
          </cell>
          <cell r="I769" t="str">
            <v>15,000 LTS AG TANKS NEW</v>
          </cell>
        </row>
        <row r="770">
          <cell r="H770" t="str">
            <v>98-0078-000</v>
          </cell>
          <cell r="I770" t="str">
            <v>GEAR BOX FILTER</v>
          </cell>
        </row>
        <row r="771">
          <cell r="H771" t="str">
            <v>98-0079-000</v>
          </cell>
          <cell r="I771" t="str">
            <v>LOADING ARM LINKS</v>
          </cell>
        </row>
        <row r="772">
          <cell r="H772" t="str">
            <v>98-0080-000</v>
          </cell>
          <cell r="I772" t="str">
            <v>6'' GATE VALVES</v>
          </cell>
        </row>
        <row r="773">
          <cell r="H773" t="str">
            <v>98-0081-000</v>
          </cell>
          <cell r="I773" t="str">
            <v>8'' GATE VALVES</v>
          </cell>
        </row>
        <row r="774">
          <cell r="H774" t="str">
            <v>98-0082-000</v>
          </cell>
          <cell r="I774" t="str">
            <v>TANK GAUGES COMPLETE WITH KITS</v>
          </cell>
        </row>
        <row r="775">
          <cell r="H775" t="str">
            <v>98-0083-000</v>
          </cell>
          <cell r="I775" t="str">
            <v>TANK PRESSURE / VACCUM VENT</v>
          </cell>
        </row>
        <row r="776">
          <cell r="H776" t="str">
            <v>98-0084-000</v>
          </cell>
          <cell r="I776" t="str">
            <v>AIR GAUGE S/H</v>
          </cell>
        </row>
        <row r="777">
          <cell r="H777" t="str">
            <v>98-0085-000</v>
          </cell>
          <cell r="I777" t="str">
            <v>AIR HOSE FOR PNEUMATIC OIL PUMPS</v>
          </cell>
        </row>
        <row r="778">
          <cell r="H778" t="str">
            <v>98-0086-000</v>
          </cell>
          <cell r="I778" t="str">
            <v>COALESCER ELEMENTS CA 33 - ITEMS</v>
          </cell>
        </row>
        <row r="779">
          <cell r="H779" t="str">
            <v>98-0087-000</v>
          </cell>
          <cell r="I779" t="str">
            <v>SMITH METER</v>
          </cell>
        </row>
        <row r="780">
          <cell r="H780" t="str">
            <v>98-0088-000</v>
          </cell>
          <cell r="I780" t="str">
            <v>SMITH METER TOTALIZERS</v>
          </cell>
        </row>
        <row r="781">
          <cell r="H781" t="str">
            <v>98-0089-000</v>
          </cell>
          <cell r="I781" t="str">
            <v>L &amp; T PUMP S/H</v>
          </cell>
        </row>
        <row r="782">
          <cell r="H782" t="str">
            <v>98-0090-000</v>
          </cell>
          <cell r="I782" t="str">
            <v>WORTHINGTON SIMPSON 3D4</v>
          </cell>
        </row>
        <row r="783">
          <cell r="H783" t="str">
            <v>98-0091-000</v>
          </cell>
          <cell r="I783" t="str">
            <v>PUMPS S/H</v>
          </cell>
        </row>
        <row r="784">
          <cell r="H784" t="str">
            <v>98-0092-000</v>
          </cell>
          <cell r="I784" t="str">
            <v>MCAIR ACTUTOR VALVE</v>
          </cell>
        </row>
        <row r="785">
          <cell r="H785" t="str">
            <v>98-0093-000</v>
          </cell>
          <cell r="I785" t="str">
            <v>ELECTRICAL MOTORS 5.5 HP</v>
          </cell>
        </row>
        <row r="786">
          <cell r="H786" t="str">
            <v>98-0094-000</v>
          </cell>
          <cell r="I786" t="str">
            <v>ELECTRICAL MOTORS 10 HP</v>
          </cell>
        </row>
        <row r="787">
          <cell r="H787" t="str">
            <v>98-0095-000</v>
          </cell>
          <cell r="I787" t="str">
            <v>SAFE EX MOBIL LONGONOT</v>
          </cell>
        </row>
        <row r="788">
          <cell r="H788" t="str">
            <v>98-0096-000</v>
          </cell>
          <cell r="I788" t="str">
            <v>5.5 HP INGERSOL RAND COMPRESSOR</v>
          </cell>
        </row>
        <row r="789">
          <cell r="H789" t="str">
            <v>98-0097-000</v>
          </cell>
          <cell r="I789" t="str">
            <v>OIL METERS S/H</v>
          </cell>
        </row>
        <row r="790">
          <cell r="H790" t="str">
            <v>98-0098-000</v>
          </cell>
          <cell r="I790" t="str">
            <v>RIM FOR MICHELIN TYRES</v>
          </cell>
        </row>
        <row r="791">
          <cell r="H791" t="str">
            <v>98-0099-000</v>
          </cell>
          <cell r="I791" t="str">
            <v>445/65 22.5 MICHELIN TYRES</v>
          </cell>
        </row>
        <row r="792">
          <cell r="H792" t="str">
            <v>98-0100-000</v>
          </cell>
          <cell r="I792" t="str">
            <v>292/80 22.5 MICHELIN TYRES</v>
          </cell>
        </row>
        <row r="793">
          <cell r="H793" t="str">
            <v>98-0101-000</v>
          </cell>
          <cell r="I793" t="str">
            <v>OIL REELS OLD</v>
          </cell>
        </row>
        <row r="794">
          <cell r="H794" t="str">
            <v>98-0102-000</v>
          </cell>
          <cell r="I794" t="str">
            <v>SEPARATORS ELEMENTS 506364 - ITEMS</v>
          </cell>
        </row>
        <row r="795">
          <cell r="H795" t="str">
            <v>98-0103-000</v>
          </cell>
          <cell r="I795" t="str">
            <v>TIE ROD ENDS</v>
          </cell>
        </row>
        <row r="796">
          <cell r="H796" t="str">
            <v>98-0104-000</v>
          </cell>
          <cell r="I796" t="str">
            <v>WAYNE PUMP PANELS</v>
          </cell>
        </row>
        <row r="797">
          <cell r="H797" t="str">
            <v>98-0110-000</v>
          </cell>
          <cell r="I797" t="str">
            <v>FUELLING METER CARBON - ITEMS</v>
          </cell>
        </row>
        <row r="798">
          <cell r="H798" t="str">
            <v>98-0115-000</v>
          </cell>
          <cell r="I798" t="str">
            <v>OIL PUMP S/H</v>
          </cell>
        </row>
        <row r="799">
          <cell r="H799" t="str">
            <v>98-0116-000</v>
          </cell>
          <cell r="I799" t="str">
            <v>CASH REGISTER</v>
          </cell>
        </row>
        <row r="800">
          <cell r="H800" t="str">
            <v>98-0117-000</v>
          </cell>
          <cell r="I800" t="str">
            <v>COUNTER HEADS S/H</v>
          </cell>
        </row>
        <row r="801">
          <cell r="H801" t="str">
            <v>98-0151-000</v>
          </cell>
          <cell r="I801" t="str">
            <v>FUELLING NOZZLE BUFFER - ITEMS</v>
          </cell>
        </row>
        <row r="802">
          <cell r="H802" t="str">
            <v>98-0169-000</v>
          </cell>
          <cell r="I802" t="str">
            <v>FUELLING NOZZLE SEALS - ITEMS</v>
          </cell>
        </row>
        <row r="803">
          <cell r="H803" t="str">
            <v>98-0177-000</v>
          </cell>
          <cell r="I803" t="str">
            <v>FUELLING NOZZLE VALVES - ITEMS</v>
          </cell>
        </row>
        <row r="804">
          <cell r="H804" t="str">
            <v>98-0185-000</v>
          </cell>
          <cell r="I804" t="str">
            <v>FUELLING NOZZLE SCREENS - ITEMS</v>
          </cell>
        </row>
        <row r="805">
          <cell r="H805" t="str">
            <v>98-0193-000</v>
          </cell>
          <cell r="I805" t="str">
            <v>VELCON MONITOR ELEMENTS - ITEMS</v>
          </cell>
        </row>
        <row r="806">
          <cell r="H806" t="str">
            <v>98-0201-000</v>
          </cell>
          <cell r="I806" t="str">
            <v>ZRB 38J SPOUT ASSEMBLY - ITEMS</v>
          </cell>
        </row>
        <row r="807">
          <cell r="H807" t="str">
            <v>98-0219-000</v>
          </cell>
          <cell r="I807" t="str">
            <v>SPIRAL GEARS - ITEMS</v>
          </cell>
        </row>
        <row r="808">
          <cell r="H808" t="str">
            <v>98-0227-000</v>
          </cell>
          <cell r="I808" t="str">
            <v>SHAFT SPIRAL PINIONS - ITEMS</v>
          </cell>
        </row>
        <row r="809">
          <cell r="H809" t="str">
            <v>98-0235-000</v>
          </cell>
          <cell r="I809" t="str">
            <v>IMPELLERS - ITEMS</v>
          </cell>
        </row>
        <row r="810">
          <cell r="H810" t="str">
            <v>98-0250-000</v>
          </cell>
          <cell r="I810" t="str">
            <v>IMPELLER PRIMING - ITEMS</v>
          </cell>
        </row>
        <row r="811">
          <cell r="H811" t="str">
            <v>98-0268-000</v>
          </cell>
          <cell r="I811" t="str">
            <v>BRAKE LININGS - ITEMS</v>
          </cell>
        </row>
        <row r="812">
          <cell r="H812" t="str">
            <v>98-0292-000</v>
          </cell>
          <cell r="I812" t="str">
            <v>VELCON SEPARATORS - ITEMS</v>
          </cell>
        </row>
        <row r="813">
          <cell r="H813" t="str">
            <v>98-0334-000</v>
          </cell>
          <cell r="I813" t="str">
            <v>POWER TAKE OFF GEAR BOXES - ITEMS</v>
          </cell>
        </row>
        <row r="814">
          <cell r="H814" t="str">
            <v>98-0383-000</v>
          </cell>
          <cell r="I814" t="str">
            <v>BEARING PART NO 3222223 - ITEMS</v>
          </cell>
        </row>
        <row r="815">
          <cell r="H815" t="str">
            <v>98-0425-000</v>
          </cell>
          <cell r="I815" t="str">
            <v>2.5' FILLING HOSE - ITEMS</v>
          </cell>
        </row>
        <row r="816">
          <cell r="H816" t="str">
            <v>98-0433-000</v>
          </cell>
          <cell r="I816" t="str">
            <v>ONE US GALLON CONTAINERS - ITEMS</v>
          </cell>
        </row>
        <row r="817">
          <cell r="H817" t="str">
            <v>98-0441-000</v>
          </cell>
          <cell r="I817" t="str">
            <v>1200 X 20 NEW TYRES - ITEMS</v>
          </cell>
        </row>
        <row r="818">
          <cell r="H818" t="str">
            <v>98-0458-000</v>
          </cell>
          <cell r="I818" t="str">
            <v>DUST CAP ASSY PT NO 41778 - ITEMS</v>
          </cell>
        </row>
        <row r="819">
          <cell r="H819" t="str">
            <v>98-0524-000</v>
          </cell>
          <cell r="I819" t="str">
            <v>OPW TYPE 11 A AUTO. NOZZL - ITEMS</v>
          </cell>
        </row>
        <row r="820">
          <cell r="H820" t="str">
            <v>98-0526-000</v>
          </cell>
          <cell r="I820" t="str">
            <v>GREASE BUCKETS - ITEM</v>
          </cell>
        </row>
        <row r="821">
          <cell r="H821" t="str">
            <v>98-0527-000</v>
          </cell>
          <cell r="I821" t="str">
            <v>COMPUTER UPS</v>
          </cell>
        </row>
        <row r="822">
          <cell r="H822" t="str">
            <v>98-0528-000</v>
          </cell>
          <cell r="I822" t="str">
            <v>GILBACO COMMERCIAL PUMPS (S/H)</v>
          </cell>
        </row>
        <row r="823">
          <cell r="H823" t="str">
            <v>98-0533-000</v>
          </cell>
          <cell r="I823" t="str">
            <v>L.P. GAS TANK THERMOMETORS - ITEMS</v>
          </cell>
        </row>
        <row r="824">
          <cell r="H824" t="str">
            <v>98-0534-000</v>
          </cell>
          <cell r="I824" t="str">
            <v>20 M RABON DIPPING TAPE</v>
          </cell>
        </row>
        <row r="825">
          <cell r="H825" t="str">
            <v>98-0535-000</v>
          </cell>
          <cell r="I825" t="str">
            <v>GAMMON PRESSURE DIFF. GAUGE</v>
          </cell>
        </row>
        <row r="826">
          <cell r="H826" t="str">
            <v>98-0536-000</v>
          </cell>
          <cell r="I826" t="str">
            <v>FIAT REFUELLER OIL SEALS SIZE 105</v>
          </cell>
        </row>
        <row r="827">
          <cell r="H827" t="str">
            <v>98-0537-000</v>
          </cell>
          <cell r="I827" t="str">
            <v>CARTER GROUND FUELING COMPLER</v>
          </cell>
        </row>
        <row r="828">
          <cell r="H828" t="str">
            <v>98-0538-000</v>
          </cell>
          <cell r="I828" t="str">
            <v>VELCON COALESCER FILTERS (SO614C)</v>
          </cell>
        </row>
        <row r="829">
          <cell r="H829" t="str">
            <v>98-0539-000</v>
          </cell>
          <cell r="I829" t="str">
            <v>VELCON FILTERS (CDF 220K)</v>
          </cell>
        </row>
        <row r="830">
          <cell r="H830" t="str">
            <v>98-0540-000</v>
          </cell>
          <cell r="I830" t="str">
            <v>AQUACON MONITORS (ACI 63301FC)</v>
          </cell>
        </row>
        <row r="831">
          <cell r="H831" t="str">
            <v>98-0541-000</v>
          </cell>
          <cell r="I831" t="str">
            <v>COALESCER ELEMENT (1-63887TB)</v>
          </cell>
        </row>
        <row r="832">
          <cell r="H832" t="str">
            <v>98-0542-000</v>
          </cell>
          <cell r="I832" t="str">
            <v>NEOPRENE RUBBER HOSE - ITEMS</v>
          </cell>
        </row>
        <row r="833">
          <cell r="H833" t="str">
            <v>98-0543-000</v>
          </cell>
          <cell r="I833" t="str">
            <v>COALESCER ELEMENT (1-64487TB)</v>
          </cell>
        </row>
        <row r="834">
          <cell r="H834" t="str">
            <v>98-0551-000</v>
          </cell>
          <cell r="I834" t="str">
            <v>OFFMEC GREEN OIL BUCKET - ITEMS</v>
          </cell>
        </row>
        <row r="835">
          <cell r="H835" t="str">
            <v>98-0560-000</v>
          </cell>
          <cell r="I835" t="str">
            <v>ORIM OIL BUCKETS - ITEMS</v>
          </cell>
        </row>
        <row r="836">
          <cell r="H836" t="str">
            <v>98-0579-000</v>
          </cell>
          <cell r="I836" t="str">
            <v>BAELZ RED GEAR OIL BUCKET - ITEMS</v>
          </cell>
        </row>
        <row r="837">
          <cell r="H837" t="str">
            <v>98-0588-000</v>
          </cell>
          <cell r="I837" t="str">
            <v>RED OIL BUCKETS - ITEMS</v>
          </cell>
        </row>
        <row r="838">
          <cell r="H838" t="str">
            <v>98-0597-000</v>
          </cell>
          <cell r="I838" t="str">
            <v>OIL REELS - ITEMS</v>
          </cell>
        </row>
        <row r="839">
          <cell r="H839" t="str">
            <v>98-0606-000</v>
          </cell>
          <cell r="I839" t="str">
            <v>GREASE REELS - ITEMS</v>
          </cell>
        </row>
        <row r="840">
          <cell r="H840" t="str">
            <v>98-0607-000</v>
          </cell>
          <cell r="I840" t="str">
            <v>WAYNE DUAL PUMPS (S/H)</v>
          </cell>
        </row>
        <row r="841">
          <cell r="H841" t="str">
            <v>98-0610-000</v>
          </cell>
          <cell r="I841" t="str">
            <v>GILBARCO PUMP PANELS</v>
          </cell>
        </row>
        <row r="842">
          <cell r="H842" t="str">
            <v>98-0615-000</v>
          </cell>
          <cell r="I842" t="str">
            <v>PCL AIR GAUGES WITH HOSE - ITEMS</v>
          </cell>
        </row>
        <row r="843">
          <cell r="H843" t="str">
            <v>98-0624-000</v>
          </cell>
          <cell r="I843" t="str">
            <v>WATER REELS - ITEMS</v>
          </cell>
        </row>
        <row r="844">
          <cell r="H844" t="str">
            <v>98-0633-000</v>
          </cell>
          <cell r="I844" t="str">
            <v>PNEUMATIC ORION DRUM PUMP - ITEMS</v>
          </cell>
        </row>
        <row r="845">
          <cell r="H845" t="str">
            <v>98-0642-000</v>
          </cell>
          <cell r="I845" t="str">
            <v>TECALMIT DRUM OIL PUMPS - ITEMS</v>
          </cell>
        </row>
        <row r="846">
          <cell r="H846" t="str">
            <v>98-0651-000</v>
          </cell>
          <cell r="I846" t="str">
            <v>MAJOR ID SIGN FACES - ITEMS</v>
          </cell>
        </row>
        <row r="847">
          <cell r="H847" t="str">
            <v>98-0660-000</v>
          </cell>
          <cell r="I847" t="str">
            <v>WAYNE PUMPS - ITEMS</v>
          </cell>
        </row>
        <row r="848">
          <cell r="H848" t="str">
            <v>98-0679-000</v>
          </cell>
          <cell r="I848" t="str">
            <v>RED SINGLE POLE WING SPRD - ITEMS</v>
          </cell>
        </row>
        <row r="849">
          <cell r="H849" t="str">
            <v>98-0688-000</v>
          </cell>
          <cell r="I849" t="str">
            <v>SINGLE POLE DIESEL SPREAD - ITEMS</v>
          </cell>
        </row>
        <row r="850">
          <cell r="H850" t="str">
            <v>98-0697-000</v>
          </cell>
          <cell r="I850" t="str">
            <v>MD 60 MONO PUMP - ITEMS</v>
          </cell>
        </row>
        <row r="851">
          <cell r="H851" t="str">
            <v>98-0706-000</v>
          </cell>
          <cell r="I851" t="str">
            <v>MOBIL OIL DRAIN UNITS - ITEMS</v>
          </cell>
        </row>
        <row r="852">
          <cell r="H852" t="str">
            <v>98-0715-000</v>
          </cell>
          <cell r="I852" t="str">
            <v>TECALMIT OIL METERS - ITEMS</v>
          </cell>
        </row>
        <row r="853">
          <cell r="H853" t="str">
            <v>98-0724-000</v>
          </cell>
          <cell r="I853" t="str">
            <v>SMITH METER - ITEMS</v>
          </cell>
        </row>
        <row r="854">
          <cell r="H854" t="str">
            <v>98-0733-000</v>
          </cell>
          <cell r="I854" t="str">
            <v>MOBILE GREASE LUBRICATOR - ITEMS</v>
          </cell>
        </row>
        <row r="855">
          <cell r="H855" t="str">
            <v>98-0742-000</v>
          </cell>
          <cell r="I855" t="str">
            <v>WAYNE METER UNITS - ITEMS</v>
          </cell>
        </row>
        <row r="856">
          <cell r="H856" t="str">
            <v>98-0751-000</v>
          </cell>
          <cell r="I856" t="str">
            <v>10000 LITRE NEW TANKS  - ITEMS</v>
          </cell>
        </row>
        <row r="857">
          <cell r="H857" t="str">
            <v>98-0760-000</v>
          </cell>
          <cell r="I857" t="str">
            <v>15000 LITRE NEW TANKS  - ITEMS</v>
          </cell>
        </row>
        <row r="858">
          <cell r="H858" t="str">
            <v>98-0779-000</v>
          </cell>
          <cell r="I858" t="str">
            <v>22500 LITRE NEW TANKS  - ITEMS</v>
          </cell>
        </row>
        <row r="859">
          <cell r="H859" t="str">
            <v>98-0788-000</v>
          </cell>
          <cell r="I859" t="str">
            <v>1000 LITRE OLD TANK  - ITEMS</v>
          </cell>
        </row>
        <row r="860">
          <cell r="H860" t="str">
            <v>98-0797-000</v>
          </cell>
          <cell r="I860" t="str">
            <v>9000 LITRE NEW TANK - ITEMS</v>
          </cell>
        </row>
        <row r="861">
          <cell r="H861" t="str">
            <v>98-0806-000</v>
          </cell>
          <cell r="I861" t="str">
            <v>WASTE OIL DRAINER UNITS - ITEMS</v>
          </cell>
        </row>
        <row r="862">
          <cell r="H862" t="str">
            <v>98-0807-000</v>
          </cell>
          <cell r="I862" t="str">
            <v>FIRE SAND BUCKETS</v>
          </cell>
        </row>
        <row r="863">
          <cell r="H863" t="str">
            <v>98-0815-000</v>
          </cell>
          <cell r="I863" t="str">
            <v>OIL FILLERS - ITEMS</v>
          </cell>
        </row>
        <row r="864">
          <cell r="H864" t="str">
            <v>98-0824-000</v>
          </cell>
          <cell r="I864" t="str">
            <v>EMCO WHEATON MANHOLE COVR - ITEMS</v>
          </cell>
        </row>
        <row r="865">
          <cell r="H865" t="str">
            <v>98-0833-000</v>
          </cell>
          <cell r="I865" t="str">
            <v>2.5' HOSES  - ITEMS</v>
          </cell>
        </row>
        <row r="866">
          <cell r="H866" t="str">
            <v>98-0842-000</v>
          </cell>
          <cell r="I866" t="str">
            <v>EMCO WHEATON LD. ARM VALV - ITEMS</v>
          </cell>
        </row>
        <row r="867">
          <cell r="H867" t="str">
            <v>98-0851-000</v>
          </cell>
          <cell r="I867" t="str">
            <v>10' BLADE FLANGES  - ITEMS</v>
          </cell>
        </row>
        <row r="868">
          <cell r="H868" t="str">
            <v>98-0860-000</v>
          </cell>
          <cell r="I868" t="str">
            <v>700 X 15 NEW TYRES FORKLF  - ITEMS</v>
          </cell>
        </row>
        <row r="869">
          <cell r="H869" t="str">
            <v>98-0879-000</v>
          </cell>
          <cell r="I869" t="str">
            <v>700 X 12 NEW FORKLF TYRES  - ITEMS</v>
          </cell>
        </row>
        <row r="870">
          <cell r="H870" t="str">
            <v>98-0888-000</v>
          </cell>
          <cell r="I870" t="str">
            <v>600X9 FORK LIFT TYRES-NEW  - ITEMS</v>
          </cell>
        </row>
        <row r="871">
          <cell r="H871" t="str">
            <v>98-0897-000</v>
          </cell>
          <cell r="I871" t="str">
            <v>650X10FORK LIFT TYRES-NEW  - ITEMS</v>
          </cell>
        </row>
        <row r="872">
          <cell r="H872" t="str">
            <v>98-0906-000</v>
          </cell>
          <cell r="I872" t="str">
            <v>GILBARCO 1/3 HP MOTORS - ITEMS</v>
          </cell>
        </row>
        <row r="873">
          <cell r="H873" t="str">
            <v>98-0907-000</v>
          </cell>
          <cell r="I873" t="str">
            <v>FASTENERS (BOLTS WITH NUTS)</v>
          </cell>
        </row>
        <row r="874">
          <cell r="H874" t="str">
            <v>98-0908-000</v>
          </cell>
          <cell r="I874" t="str">
            <v>GEAR BOX OUTPUT SHAFT (VOLVO)</v>
          </cell>
        </row>
        <row r="875">
          <cell r="H875" t="str">
            <v>98-0909-000</v>
          </cell>
          <cell r="I875" t="str">
            <v>NEW TYRES - SIZE 10R*22.5</v>
          </cell>
        </row>
        <row r="876">
          <cell r="H876" t="str">
            <v>98-0910-000</v>
          </cell>
          <cell r="I876" t="str">
            <v>GILB</v>
          </cell>
        </row>
        <row r="877">
          <cell r="H877" t="str">
            <v>98-0915-000</v>
          </cell>
          <cell r="I877" t="str">
            <v>FRONT WHEEL BEARING - ITEMS</v>
          </cell>
        </row>
        <row r="878">
          <cell r="H878" t="str">
            <v>98-0924-000</v>
          </cell>
          <cell r="I878" t="str">
            <v>BEARING FOR LEYLAND TRUCK - ITEMS</v>
          </cell>
        </row>
        <row r="879">
          <cell r="H879" t="str">
            <v>98-0933-000</v>
          </cell>
          <cell r="I879" t="str">
            <v>CONTROL ARMS - ITEMS</v>
          </cell>
        </row>
        <row r="880">
          <cell r="H880" t="str">
            <v>98-0942-000</v>
          </cell>
          <cell r="I880" t="str">
            <v>BRAKE SHOES FOR TRUCKS - ITEMS</v>
          </cell>
        </row>
        <row r="881">
          <cell r="H881" t="str">
            <v>98-0951-000</v>
          </cell>
          <cell r="I881" t="str">
            <v>1000 X 20 RETREAD TYRES  - ITEMS</v>
          </cell>
        </row>
        <row r="882">
          <cell r="H882" t="str">
            <v>98-0960-000</v>
          </cell>
          <cell r="I882" t="str">
            <v>1100 X 20 NEW TYRES  - ITEMS</v>
          </cell>
        </row>
        <row r="883">
          <cell r="H883" t="str">
            <v>98-0979-000</v>
          </cell>
          <cell r="I883" t="str">
            <v>1200 X 20 NEW TYRES  - ITEMS</v>
          </cell>
        </row>
        <row r="884">
          <cell r="H884" t="str">
            <v>98-0988-000</v>
          </cell>
          <cell r="I884" t="str">
            <v>1000X20 NEW TYRES  - ITEMS</v>
          </cell>
        </row>
        <row r="885">
          <cell r="H885" t="str">
            <v>98-0997-000</v>
          </cell>
          <cell r="I885" t="str">
            <v>1100 X 20 RETREAD TYRES  - ITEMS</v>
          </cell>
        </row>
        <row r="886">
          <cell r="H886" t="str">
            <v>98-1006-000</v>
          </cell>
          <cell r="I886" t="str">
            <v>SAFETY HELMETS - ITEMS</v>
          </cell>
        </row>
        <row r="887">
          <cell r="H887" t="str">
            <v>98-1015-000</v>
          </cell>
          <cell r="I887" t="str">
            <v>STAINLESS STEEL BALL VALVE - ITEMS</v>
          </cell>
        </row>
        <row r="888">
          <cell r="H888" t="str">
            <v>98-1024-000</v>
          </cell>
          <cell r="I888" t="str">
            <v>100 X 2 NEW TUBES  - ITEMS</v>
          </cell>
        </row>
        <row r="889">
          <cell r="H889" t="str">
            <v>98-1033-000</v>
          </cell>
          <cell r="I889" t="str">
            <v>BRAKE DRUMS FOR TRAILERS - ITEMS</v>
          </cell>
        </row>
        <row r="890">
          <cell r="H890" t="str">
            <v>98-1042-000</v>
          </cell>
          <cell r="I890" t="str">
            <v>TRAILER HUBS - ITEMS</v>
          </cell>
        </row>
        <row r="891">
          <cell r="H891" t="str">
            <v>98-1051-000</v>
          </cell>
          <cell r="I891" t="str">
            <v>BRAKE ADJUSTERS - ITEMS</v>
          </cell>
        </row>
        <row r="892">
          <cell r="H892" t="str">
            <v>98-1060-000</v>
          </cell>
          <cell r="I892" t="str">
            <v>REAR VIEW MIRRORS - ITEMS</v>
          </cell>
        </row>
        <row r="893">
          <cell r="H893" t="str">
            <v>98-1079-000</v>
          </cell>
          <cell r="I893" t="str">
            <v>REVOLUTION COUNTERS - ITEMS</v>
          </cell>
        </row>
        <row r="894">
          <cell r="H894" t="str">
            <v>98-1088-000</v>
          </cell>
          <cell r="I894" t="str">
            <v>VOLVO TIMING SHIMS - ITEMS</v>
          </cell>
        </row>
        <row r="895">
          <cell r="H895" t="str">
            <v>98-1097-000</v>
          </cell>
          <cell r="I895" t="str">
            <v>FLASHER UNIT - ITEMS</v>
          </cell>
        </row>
        <row r="896">
          <cell r="H896" t="str">
            <v>98-1106-000</v>
          </cell>
          <cell r="I896" t="str">
            <v>WATER LEVEL SENSOR UNITS - ITEMS</v>
          </cell>
        </row>
        <row r="897">
          <cell r="H897" t="str">
            <v>98-1115-000</v>
          </cell>
          <cell r="I897" t="str">
            <v>CABIN SHOCK-ABSORBER - ITEMS</v>
          </cell>
        </row>
        <row r="898">
          <cell r="H898" t="str">
            <v>98-1124-000</v>
          </cell>
          <cell r="I898" t="str">
            <v>SHOCKS FOR VOLVO TRUCKS - ITEMS</v>
          </cell>
        </row>
        <row r="899">
          <cell r="H899" t="str">
            <v>98-1133-000</v>
          </cell>
          <cell r="I899" t="str">
            <v>HUB CAPS - ITEMS</v>
          </cell>
        </row>
        <row r="900">
          <cell r="H900" t="str">
            <v>98-1142-000</v>
          </cell>
          <cell r="I900" t="str">
            <v>HORN BULTONS - ITEMS</v>
          </cell>
        </row>
        <row r="901">
          <cell r="H901" t="str">
            <v>98-1151-000</v>
          </cell>
          <cell r="I901" t="str">
            <v>STOPER CABLES - ITEMS</v>
          </cell>
        </row>
        <row r="902">
          <cell r="H902" t="str">
            <v>98-1160-000</v>
          </cell>
          <cell r="I902" t="str">
            <v>INJECTOR NOZZLES - ITEMS</v>
          </cell>
        </row>
        <row r="903">
          <cell r="H903" t="str">
            <v>98-1179-000</v>
          </cell>
          <cell r="I903" t="str">
            <v>SELENOID VALVES - ITEMS</v>
          </cell>
        </row>
        <row r="904">
          <cell r="H904" t="str">
            <v>98-1188-000</v>
          </cell>
          <cell r="I904" t="str">
            <v>PUMP KITS - ITEMS</v>
          </cell>
        </row>
        <row r="905">
          <cell r="H905" t="str">
            <v>98-1197-000</v>
          </cell>
          <cell r="I905" t="str">
            <v>CYLINDER LINERS - ITEMS</v>
          </cell>
        </row>
        <row r="906">
          <cell r="H906" t="str">
            <v>98-1206-000</v>
          </cell>
          <cell r="I906" t="str">
            <v>FRONT END LIGHTS - ITEMS</v>
          </cell>
        </row>
        <row r="907">
          <cell r="H907" t="str">
            <v>98-1215-000</v>
          </cell>
          <cell r="I907" t="str">
            <v>MASTER CYLINDERS - ITEMS</v>
          </cell>
        </row>
        <row r="908">
          <cell r="H908" t="str">
            <v>98-1224-000</v>
          </cell>
          <cell r="I908" t="str">
            <v>TACHOGRAPH SENSORS - ITEMS</v>
          </cell>
        </row>
        <row r="909">
          <cell r="H909" t="str">
            <v>98-1233-000</v>
          </cell>
          <cell r="I909" t="str">
            <v>BRAKE BOOSTERS - ITEMS</v>
          </cell>
        </row>
        <row r="910">
          <cell r="H910" t="str">
            <v>98-1242-000</v>
          </cell>
          <cell r="I910" t="str">
            <v>GEAR BOX MOUNTINGS - ITEMS</v>
          </cell>
        </row>
        <row r="911">
          <cell r="H911" t="str">
            <v>98-1251-000</v>
          </cell>
          <cell r="I911" t="str">
            <v>CLUTCH CYL REPAIR KITS  - ITEMS</v>
          </cell>
        </row>
        <row r="912">
          <cell r="H912" t="str">
            <v>98-1260-000</v>
          </cell>
          <cell r="I912" t="str">
            <v>CIRCUIT BOARDS - ITEMS</v>
          </cell>
        </row>
        <row r="913">
          <cell r="H913" t="str">
            <v>98-1279-000</v>
          </cell>
          <cell r="I913" t="str">
            <v>CYLINDER HEAD GASKETS - ITEMS</v>
          </cell>
        </row>
        <row r="914">
          <cell r="H914" t="str">
            <v>98-1288-000</v>
          </cell>
          <cell r="I914" t="str">
            <v>CON-ROD BEARINGS - ITEMS</v>
          </cell>
        </row>
        <row r="915">
          <cell r="H915" t="str">
            <v>98-1297-000</v>
          </cell>
          <cell r="I915" t="str">
            <v>PISTON RINGS - ITEMS</v>
          </cell>
        </row>
        <row r="916">
          <cell r="H916" t="str">
            <v>98-1306-000</v>
          </cell>
          <cell r="I916" t="str">
            <v>BRAKE LININGS - ITEMS</v>
          </cell>
        </row>
        <row r="917">
          <cell r="H917" t="str">
            <v>98-1315-000</v>
          </cell>
          <cell r="I917" t="str">
            <v>ENGINE BRAKES - ITEMS</v>
          </cell>
        </row>
        <row r="918">
          <cell r="H918" t="str">
            <v>98-1324-000</v>
          </cell>
          <cell r="I918" t="str">
            <v>RADIATOR MOUNTINGS - ITEMS</v>
          </cell>
        </row>
        <row r="919">
          <cell r="H919" t="str">
            <v>98-1333-000</v>
          </cell>
          <cell r="I919" t="str">
            <v>CLUTCH PLATES - ITEMS</v>
          </cell>
        </row>
        <row r="920">
          <cell r="H920" t="str">
            <v>98-1342-000</v>
          </cell>
          <cell r="I920" t="str">
            <v>FUEL RETURN PIPES - ITEMS</v>
          </cell>
        </row>
        <row r="921">
          <cell r="H921" t="str">
            <v>98-1351-000</v>
          </cell>
          <cell r="I921" t="str">
            <v>FLEXIBLE EXHAUST - ITEMS</v>
          </cell>
        </row>
        <row r="922">
          <cell r="H922" t="str">
            <v>98-1360-000</v>
          </cell>
          <cell r="I922" t="str">
            <v>DOOR LOCKS ITEMS</v>
          </cell>
        </row>
        <row r="923">
          <cell r="H923" t="str">
            <v>98-1379-000</v>
          </cell>
          <cell r="I923" t="str">
            <v>DOOR HANDLES - ITEMS</v>
          </cell>
        </row>
        <row r="924">
          <cell r="H924" t="str">
            <v>98-1388-000</v>
          </cell>
          <cell r="I924" t="str">
            <v>TURBO HOUSINGS - ITEMS</v>
          </cell>
        </row>
        <row r="925">
          <cell r="H925" t="str">
            <v>98-1397-000</v>
          </cell>
          <cell r="I925" t="str">
            <v>TURBO DEFUSERS - ITEMS</v>
          </cell>
        </row>
        <row r="926">
          <cell r="H926" t="str">
            <v>98-1406-000</v>
          </cell>
          <cell r="I926" t="str">
            <v>RADIATOR HOSES - ITEMS</v>
          </cell>
        </row>
        <row r="927">
          <cell r="H927" t="str">
            <v>98-1415-000</v>
          </cell>
          <cell r="I927" t="str">
            <v>OVER-HAUL GASKET KITS - ITEMS</v>
          </cell>
        </row>
        <row r="928">
          <cell r="H928" t="str">
            <v>98-1424-000</v>
          </cell>
          <cell r="I928" t="str">
            <v>TRUCK GUAGES (PREAS.TEMP.) - ITEMS</v>
          </cell>
        </row>
        <row r="929">
          <cell r="H929" t="str">
            <v>98-1433-000</v>
          </cell>
          <cell r="I929" t="str">
            <v>RELAYS FOR TRUCKS - ITEMS</v>
          </cell>
        </row>
        <row r="930">
          <cell r="H930" t="str">
            <v>98-1442-000</v>
          </cell>
          <cell r="I930" t="str">
            <v>PROPELLER SHAFT UNIV.JOIN - ITEMS</v>
          </cell>
        </row>
        <row r="931">
          <cell r="H931" t="str">
            <v>98-1451-000</v>
          </cell>
          <cell r="I931" t="str">
            <v>SUMP GASKETS - ITEMS</v>
          </cell>
        </row>
        <row r="932">
          <cell r="H932" t="str">
            <v>98-1460-000</v>
          </cell>
          <cell r="I932" t="str">
            <v>CENTRE BEARINGS - ITEMS</v>
          </cell>
        </row>
        <row r="933">
          <cell r="H933" t="str">
            <v>98-1479-000</v>
          </cell>
          <cell r="I933" t="str">
            <v>OIL SEALS - ITEMS</v>
          </cell>
        </row>
        <row r="934">
          <cell r="H934" t="str">
            <v>98-1488-000</v>
          </cell>
          <cell r="I934" t="str">
            <v>FILLER CAPS - ITEMS</v>
          </cell>
        </row>
        <row r="935">
          <cell r="H935" t="str">
            <v>98-1497-000</v>
          </cell>
          <cell r="I935" t="str">
            <v>PROPLELLOR SCREWS - ITEMS</v>
          </cell>
        </row>
        <row r="936">
          <cell r="H936" t="str">
            <v>98-1506-000</v>
          </cell>
          <cell r="I936" t="str">
            <v>BRAKE CUM BUSHES - ITEMS</v>
          </cell>
        </row>
        <row r="937">
          <cell r="H937" t="str">
            <v>98-1507-000</v>
          </cell>
          <cell r="I937" t="str">
            <v>CONTROL HANDLE BUSHES-MALE</v>
          </cell>
        </row>
        <row r="938">
          <cell r="H938" t="str">
            <v>98-1508-000</v>
          </cell>
          <cell r="I938" t="str">
            <v>SWING JOINT RUBBERS</v>
          </cell>
        </row>
        <row r="939">
          <cell r="H939" t="str">
            <v>98-1509-000</v>
          </cell>
          <cell r="I939" t="str">
            <v>SWING JOINT RUBBERS</v>
          </cell>
        </row>
        <row r="940">
          <cell r="H940" t="str">
            <v>98-1510-000</v>
          </cell>
          <cell r="I940" t="str">
            <v>VACUUM BREATHERS</v>
          </cell>
        </row>
        <row r="941">
          <cell r="H941" t="str">
            <v>98-1511-000</v>
          </cell>
          <cell r="I941" t="str">
            <v>VALVE CAMS</v>
          </cell>
        </row>
        <row r="942">
          <cell r="H942" t="str">
            <v>98-1515-000</v>
          </cell>
          <cell r="I942" t="str">
            <v>ROLLER PINS - ITEMS</v>
          </cell>
        </row>
        <row r="943">
          <cell r="H943" t="str">
            <v>98-1524-000</v>
          </cell>
          <cell r="I943" t="str">
            <v>WIPER ARMS - ITEMS</v>
          </cell>
        </row>
        <row r="944">
          <cell r="H944" t="str">
            <v>98-1525-000</v>
          </cell>
          <cell r="I944" t="str">
            <v>LOADING ARM SPRINGS</v>
          </cell>
        </row>
        <row r="945">
          <cell r="H945" t="str">
            <v>98-1528-000</v>
          </cell>
          <cell r="I945" t="str">
            <v>TOP COVER GASKET</v>
          </cell>
        </row>
        <row r="946">
          <cell r="H946" t="str">
            <v>98-1529-000</v>
          </cell>
          <cell r="I946" t="str">
            <v>CONTROL HANDLE BUSHES - FEMALE</v>
          </cell>
        </row>
        <row r="947">
          <cell r="H947" t="str">
            <v>98-1533-000</v>
          </cell>
          <cell r="I947" t="str">
            <v>EXHAUST PIPES - ITEMS</v>
          </cell>
        </row>
        <row r="948">
          <cell r="H948" t="str">
            <v>98-1542-000</v>
          </cell>
          <cell r="I948" t="str">
            <v>3-WAY NIPPLES - ITEMS</v>
          </cell>
        </row>
        <row r="949">
          <cell r="H949" t="str">
            <v>98-1551-000</v>
          </cell>
          <cell r="I949" t="str">
            <v>TEST NIPPLES - ITEMS</v>
          </cell>
        </row>
        <row r="950">
          <cell r="H950" t="str">
            <v>98-1552-000</v>
          </cell>
          <cell r="I950" t="str">
            <v>STD CALIBRATOR GAS CONT.</v>
          </cell>
        </row>
        <row r="951">
          <cell r="H951" t="str">
            <v>98-1560-000</v>
          </cell>
          <cell r="I951" t="str">
            <v>INDUSTRIAL REGULATORS - ITEMS</v>
          </cell>
        </row>
        <row r="952">
          <cell r="H952" t="str">
            <v>98-1579-000</v>
          </cell>
          <cell r="I952" t="str">
            <v>GASKET SHELLACK - ITEMS</v>
          </cell>
        </row>
        <row r="953">
          <cell r="H953" t="str">
            <v>98-1588-000</v>
          </cell>
          <cell r="I953" t="str">
            <v>3' RELIEVE VALVE FOR TNK  - ITEMS</v>
          </cell>
        </row>
        <row r="954">
          <cell r="H954" t="str">
            <v>98-1597-000</v>
          </cell>
          <cell r="I954" t="str">
            <v>2' SHUT OFF VALVES  - ITEMS</v>
          </cell>
        </row>
        <row r="955">
          <cell r="H955" t="str">
            <v>98-1606-000</v>
          </cell>
          <cell r="I955" t="str">
            <v>MECHANICAL SEALS - ITEMS</v>
          </cell>
        </row>
        <row r="956">
          <cell r="H956" t="str">
            <v>98-1615-000</v>
          </cell>
          <cell r="I956" t="str">
            <v>CORKEN GAS PUMP STATOR - ITEMS</v>
          </cell>
        </row>
        <row r="957">
          <cell r="H957" t="str">
            <v>98-1624-000</v>
          </cell>
          <cell r="I957" t="str">
            <v>L.P.G. CYLINDER VALVES - ITEMS</v>
          </cell>
        </row>
        <row r="958">
          <cell r="H958" t="str">
            <v>98-1633-000</v>
          </cell>
          <cell r="I958" t="str">
            <v>2 ' DIAMETER MET. GASKET  - ITEMS</v>
          </cell>
        </row>
        <row r="959">
          <cell r="H959" t="str">
            <v>98-1642-000</v>
          </cell>
          <cell r="I959" t="str">
            <v>3' DIAMETER MET. GASKET  - ITEMS</v>
          </cell>
        </row>
        <row r="960">
          <cell r="H960" t="str">
            <v>98-1651-000</v>
          </cell>
          <cell r="I960" t="str">
            <v>4' DIAMETER MET. GASKET  - ITEMS</v>
          </cell>
        </row>
        <row r="961">
          <cell r="H961" t="str">
            <v>98-1660-000</v>
          </cell>
          <cell r="I961" t="str">
            <v>2' DIAMETER BISCUIT VALVES - ITEMS</v>
          </cell>
        </row>
        <row r="962">
          <cell r="H962" t="str">
            <v>98-1679-000</v>
          </cell>
          <cell r="I962" t="str">
            <v>3' DIAMETER MECAIR C.VALVE - ITEMS</v>
          </cell>
        </row>
        <row r="963">
          <cell r="H963" t="str">
            <v>98-1688-000</v>
          </cell>
          <cell r="I963" t="str">
            <v>3' DIAMETER BISCUIT VALVES - ITEMS</v>
          </cell>
        </row>
        <row r="964">
          <cell r="H964" t="str">
            <v>98-1697-000</v>
          </cell>
          <cell r="I964" t="str">
            <v>4' DIAMETER MECAIR VALVES - ITEMS</v>
          </cell>
        </row>
        <row r="965">
          <cell r="H965" t="str">
            <v>98-1706-000</v>
          </cell>
          <cell r="I965" t="str">
            <v>1.5' DIAMETER MECAIR VALVE - ITEMS</v>
          </cell>
        </row>
        <row r="966">
          <cell r="H966" t="str">
            <v>98-1715-000</v>
          </cell>
          <cell r="I966" t="str">
            <v>J.C. CARTER NOZZLE - ITEMS</v>
          </cell>
        </row>
        <row r="967">
          <cell r="H967" t="str">
            <v>98-1724-000</v>
          </cell>
          <cell r="I967" t="str">
            <v>4' COUPLER BUMPERS  - ITEMS</v>
          </cell>
        </row>
        <row r="968">
          <cell r="H968" t="str">
            <v>98-1733-000</v>
          </cell>
          <cell r="I968" t="str">
            <v>AIR BLOWER - ITEMS</v>
          </cell>
        </row>
        <row r="969">
          <cell r="H969" t="str">
            <v>98-1742-000</v>
          </cell>
          <cell r="I969" t="str">
            <v>2.5' SWIVEL ASSEMBLY  - ITEMS</v>
          </cell>
        </row>
        <row r="970">
          <cell r="H970" t="str">
            <v>98-1751-000</v>
          </cell>
          <cell r="I970" t="str">
            <v>COLLAR 2.5' WITH 2 RINGS - ITEMS</v>
          </cell>
        </row>
        <row r="971">
          <cell r="H971" t="str">
            <v>98-1760-000</v>
          </cell>
          <cell r="I971" t="str">
            <v>JABSCO PUMPS - ITEMS</v>
          </cell>
        </row>
        <row r="972">
          <cell r="H972" t="str">
            <v>98-1779-000</v>
          </cell>
          <cell r="I972" t="str">
            <v>4' SWING JOINT FOR H/S  - ITEMS</v>
          </cell>
        </row>
        <row r="973">
          <cell r="H973" t="str">
            <v>98-1788-000</v>
          </cell>
          <cell r="I973" t="str">
            <v>MESH STRAINER PN41767 - ITEMS</v>
          </cell>
        </row>
        <row r="974">
          <cell r="H974" t="str">
            <v>98-1797-000</v>
          </cell>
          <cell r="I974" t="str">
            <v>COMPLETE REGISTER ASSEMBL - ITEMS</v>
          </cell>
        </row>
        <row r="975">
          <cell r="H975" t="str">
            <v>98-1806-000</v>
          </cell>
          <cell r="I975" t="str">
            <v>4' INLET STRAINER FOR CHV  - ITEMS</v>
          </cell>
        </row>
        <row r="976">
          <cell r="H976" t="str">
            <v>98-1807-000</v>
          </cell>
          <cell r="I976" t="str">
            <v>OIL DRUM PUMP COVER</v>
          </cell>
        </row>
        <row r="977">
          <cell r="H977" t="str">
            <v>98-1808-000</v>
          </cell>
          <cell r="I977" t="str">
            <v>OIL LEAK TRAYS</v>
          </cell>
        </row>
        <row r="978">
          <cell r="H978" t="str">
            <v>98-1809-000</v>
          </cell>
          <cell r="I978" t="str">
            <v>CYLINDER HEAD PLUG</v>
          </cell>
        </row>
        <row r="979">
          <cell r="H979" t="str">
            <v>98-1810-000</v>
          </cell>
          <cell r="I979" t="str">
            <v>1/2'' OIL REEL HOSES</v>
          </cell>
        </row>
        <row r="980">
          <cell r="H980" t="str">
            <v>98-1815-000</v>
          </cell>
          <cell r="I980" t="str">
            <v>PRESSURE PILOT VALVES D F - ITEMS</v>
          </cell>
        </row>
        <row r="981">
          <cell r="H981" t="str">
            <v>98-1824-000</v>
          </cell>
          <cell r="I981" t="str">
            <v>BLOCKOUT DEVICE MODEL GTP1257 - ITEMS</v>
          </cell>
        </row>
        <row r="982">
          <cell r="H982" t="str">
            <v>98-1833-000</v>
          </cell>
          <cell r="I982" t="str">
            <v>VENT POST QD MODEL GTP 771 - ITEMS</v>
          </cell>
        </row>
        <row r="983">
          <cell r="H983" t="str">
            <v>98-1834-000</v>
          </cell>
          <cell r="I983" t="str">
            <v>GARSITE HOSE TESTER - ITEM</v>
          </cell>
        </row>
        <row r="984">
          <cell r="H984" t="str">
            <v>98-1835-000</v>
          </cell>
          <cell r="I984" t="str">
            <v>MATCHED MONITORS - ITEMS</v>
          </cell>
        </row>
        <row r="985">
          <cell r="H985" t="str">
            <v>98-1836-000</v>
          </cell>
          <cell r="I985" t="str">
            <v>BONDING CLAMPS</v>
          </cell>
        </row>
        <row r="986">
          <cell r="H986" t="str">
            <v>98-1837-000</v>
          </cell>
          <cell r="I986" t="str">
            <v>3'' BULK METER CALIBRATOR - ITEM</v>
          </cell>
        </row>
        <row r="987">
          <cell r="H987" t="str">
            <v>98-1838-000</v>
          </cell>
          <cell r="I987" t="str">
            <v>3'' BULK METER OISTER COVER - ITEM</v>
          </cell>
        </row>
        <row r="988">
          <cell r="H988" t="str">
            <v>98-1839-000</v>
          </cell>
          <cell r="I988" t="str">
            <v>1 * 2*2.5'' * 10' HOSE - ITEMS</v>
          </cell>
        </row>
        <row r="989">
          <cell r="H989" t="str">
            <v>98-1842-000</v>
          </cell>
          <cell r="I989" t="str">
            <v>CONDUCTIVITY MEASURING BRIDGE - ITEMS</v>
          </cell>
        </row>
        <row r="990">
          <cell r="H990" t="str">
            <v>98-1851-000</v>
          </cell>
          <cell r="I990" t="str">
            <v>BUMPER PT HO33622 - ITEMS</v>
          </cell>
        </row>
        <row r="991">
          <cell r="H991" t="str">
            <v>98-1860-000</v>
          </cell>
          <cell r="I991" t="str">
            <v>MATCHED WIGHT MONITOR - ITEMS</v>
          </cell>
        </row>
        <row r="992">
          <cell r="H992" t="str">
            <v>98-1879-000</v>
          </cell>
          <cell r="I992" t="str">
            <v>OPW SEMI AUTO NOZZLES - ITEMS</v>
          </cell>
        </row>
        <row r="993">
          <cell r="H993" t="str">
            <v>98-1888-000</v>
          </cell>
          <cell r="I993" t="str">
            <v>NOZZLE SPOUT SUB-ASSEMBLY - ITEMS</v>
          </cell>
        </row>
        <row r="994">
          <cell r="H994" t="str">
            <v>98-1897-000</v>
          </cell>
          <cell r="I994" t="str">
            <v>GREASE HOSES - ITEMS</v>
          </cell>
        </row>
        <row r="995">
          <cell r="H995" t="str">
            <v>98-1906-000</v>
          </cell>
          <cell r="I995" t="str">
            <v>GREASE GUN CONTROL VALVES - ITEMS</v>
          </cell>
        </row>
        <row r="996">
          <cell r="H996" t="str">
            <v>98-1915-000</v>
          </cell>
          <cell r="I996" t="str">
            <v>GREASE PUMP BODIES - ITEMS</v>
          </cell>
        </row>
        <row r="997">
          <cell r="H997" t="str">
            <v>98-1924-000</v>
          </cell>
          <cell r="I997" t="str">
            <v>PUMP AIR SEPARATORS - ITEMS</v>
          </cell>
        </row>
        <row r="998">
          <cell r="H998" t="str">
            <v>98-1933-000</v>
          </cell>
          <cell r="I998" t="str">
            <v>COMPUTER SIDE FRAME - ITEMS</v>
          </cell>
        </row>
        <row r="999">
          <cell r="H999" t="str">
            <v>98-1942-000</v>
          </cell>
          <cell r="I999" t="str">
            <v>PUMP DIAL FRAMES - ITEMS</v>
          </cell>
        </row>
        <row r="1000">
          <cell r="H1000" t="str">
            <v>98-1951-000</v>
          </cell>
          <cell r="I1000" t="str">
            <v>CD 40 MONO PUMP STATOR - ITEMS</v>
          </cell>
        </row>
        <row r="1001">
          <cell r="H1001" t="str">
            <v>98-1960-000</v>
          </cell>
          <cell r="I1001" t="str">
            <v>SEMI ROTARY PUMP ROTORS - ITEMS</v>
          </cell>
        </row>
        <row r="1002">
          <cell r="H1002" t="str">
            <v>98-1979-000</v>
          </cell>
          <cell r="I1002" t="str">
            <v>BUILDING WALL SIGN PANEL - ITEMS</v>
          </cell>
        </row>
        <row r="1003">
          <cell r="H1003" t="str">
            <v>98-1988-000</v>
          </cell>
          <cell r="I1003" t="str">
            <v>CANOPY FASCIA ESSO PANEL - ITEMS</v>
          </cell>
        </row>
        <row r="1004">
          <cell r="H1004" t="str">
            <v>98-1997-000</v>
          </cell>
          <cell r="I1004" t="str">
            <v>BUILDING WALL SIGN RED PN - ITEMS</v>
          </cell>
        </row>
        <row r="1005">
          <cell r="H1005" t="str">
            <v>98-2006-000</v>
          </cell>
          <cell r="I1005" t="str">
            <v>WHITE FIELD SPREADER PAN. - ITEMS</v>
          </cell>
        </row>
        <row r="1006">
          <cell r="H1006" t="str">
            <v>98-2007-000</v>
          </cell>
          <cell r="I1006" t="str">
            <v>1'' FUEL DELIVERY HOSE</v>
          </cell>
        </row>
        <row r="1007">
          <cell r="H1007" t="str">
            <v>98-2008-000</v>
          </cell>
          <cell r="I1007" t="str">
            <v>3/4'' FUEL DELIVERY HOSE</v>
          </cell>
        </row>
        <row r="1008">
          <cell r="H1008" t="str">
            <v>98-2015-000</v>
          </cell>
          <cell r="I1008" t="str">
            <v>3/4' X 12' FUEL DEL. HOSE  - ITEMS</v>
          </cell>
        </row>
        <row r="1009">
          <cell r="H1009" t="str">
            <v>98-2024-000</v>
          </cell>
          <cell r="I1009" t="str">
            <v>60' X 3/4' PET. DEL HOSES  - ITEMS</v>
          </cell>
        </row>
        <row r="1010">
          <cell r="H1010" t="str">
            <v>98-2033-000</v>
          </cell>
          <cell r="I1010" t="str">
            <v>TWIN AIR GAUGE HOSES - ITEMS</v>
          </cell>
        </row>
        <row r="1011">
          <cell r="H1011" t="str">
            <v>98-2042-000</v>
          </cell>
          <cell r="I1011" t="str">
            <v>FLOAT ASSEMBLIES - ITEMS</v>
          </cell>
        </row>
        <row r="1012">
          <cell r="H1012" t="str">
            <v>98-2051-000</v>
          </cell>
          <cell r="I1012" t="str">
            <v>NEW GILBARCO METERING UNT - ITEMS</v>
          </cell>
        </row>
        <row r="1013">
          <cell r="H1013" t="str">
            <v>98-2060-000</v>
          </cell>
          <cell r="I1013" t="str">
            <v>NEW GILBARCO PUMPING UNTS - ITEMS</v>
          </cell>
        </row>
        <row r="1014">
          <cell r="H1014" t="str">
            <v>98-2070-000</v>
          </cell>
          <cell r="I1014" t="str">
            <v>GILBARCO ELECTRIC PUMP</v>
          </cell>
        </row>
        <row r="1015">
          <cell r="H1015" t="str">
            <v>98-2079-000</v>
          </cell>
          <cell r="I1015" t="str">
            <v>OIL NON DRIP NOZZLE TCLMT - ITEMS</v>
          </cell>
        </row>
        <row r="1016">
          <cell r="H1016" t="str">
            <v>98-2088-000</v>
          </cell>
          <cell r="I1016" t="str">
            <v>GILBARCO TRIM PUMP PANEL - ITEMS</v>
          </cell>
        </row>
        <row r="1017">
          <cell r="H1017" t="str">
            <v>98-2097-000</v>
          </cell>
          <cell r="I1017" t="str">
            <v>AUTOMATIC VALUE P.NO.9961 - ITEMS</v>
          </cell>
        </row>
        <row r="1018">
          <cell r="H1018" t="str">
            <v>98-2106-000</v>
          </cell>
          <cell r="I1018" t="str">
            <v>COMPUTER ASSY NO. KG-100 - ITEMS</v>
          </cell>
        </row>
        <row r="1019">
          <cell r="H1019" t="str">
            <v>98-2115-000</v>
          </cell>
          <cell r="I1019" t="str">
            <v>TOTALS KEY SWITCH KG-105 - ITEMS</v>
          </cell>
        </row>
        <row r="1020">
          <cell r="H1020" t="str">
            <v>98-2124-000</v>
          </cell>
          <cell r="I1020" t="str">
            <v>DISPLAY ASSY KG - 124 - ITEMS</v>
          </cell>
        </row>
        <row r="1021">
          <cell r="H1021" t="str">
            <v>98-2133-000</v>
          </cell>
          <cell r="I1021" t="str">
            <v>OILER ASSEMBLY P.NO.9881 - ITEMS</v>
          </cell>
        </row>
        <row r="1022">
          <cell r="H1022" t="str">
            <v>98-2142-000</v>
          </cell>
          <cell r="I1022" t="str">
            <v>MICRO SWITCH KG - 006 - ITEMS</v>
          </cell>
        </row>
        <row r="1023">
          <cell r="H1023" t="str">
            <v>98-2151-000</v>
          </cell>
          <cell r="I1023" t="str">
            <v>MECHANICAL TOTALIZER KG-010 - ITEMS</v>
          </cell>
        </row>
        <row r="1024">
          <cell r="H1024" t="str">
            <v>98-2160-000</v>
          </cell>
          <cell r="I1024" t="str">
            <v>PUMP TUBE PT NO. 9876 - ITEMS</v>
          </cell>
        </row>
        <row r="1025">
          <cell r="H1025" t="str">
            <v>98-2179-000</v>
          </cell>
          <cell r="I1025" t="str">
            <v>3MM PERSPEX SHEETS  - ITEMS</v>
          </cell>
        </row>
        <row r="1026">
          <cell r="H1026" t="str">
            <v>98-2188-000</v>
          </cell>
          <cell r="I1026" t="str">
            <v>CD 60 MONO PUMP STATOR - ITEMS</v>
          </cell>
        </row>
        <row r="1027">
          <cell r="H1027" t="str">
            <v>98-2197-000</v>
          </cell>
          <cell r="I1027" t="str">
            <v>CD 70 MONO PUMP STATOR - ITEMS</v>
          </cell>
        </row>
        <row r="1028">
          <cell r="H1028" t="str">
            <v>98-2206-000</v>
          </cell>
          <cell r="I1028" t="str">
            <v>MD 80 MONOPUMP STATOR - ITEMS</v>
          </cell>
        </row>
        <row r="1029">
          <cell r="H1029" t="str">
            <v>98-2215-000</v>
          </cell>
          <cell r="I1029" t="str">
            <v>AIR GAUGE REMOTE CONTROL VALVE - ITEMS</v>
          </cell>
        </row>
        <row r="1030">
          <cell r="H1030" t="str">
            <v>98-2224-000</v>
          </cell>
          <cell r="I1030" t="str">
            <v>A/C GUAGE TYRE CONNECTOR NOZZL - ITEMS</v>
          </cell>
        </row>
        <row r="1031">
          <cell r="H1031" t="str">
            <v>98-2233-000</v>
          </cell>
          <cell r="I1031" t="str">
            <v>TRIMLINE PUMP PULLEYS - ITEMS</v>
          </cell>
        </row>
        <row r="1032">
          <cell r="H1032" t="str">
            <v>98-2242-000</v>
          </cell>
          <cell r="I1032" t="str">
            <v>PUMP METER SEAL HOUSING - ITEMS</v>
          </cell>
        </row>
        <row r="1033">
          <cell r="H1033" t="str">
            <v>98-2251-000</v>
          </cell>
          <cell r="I1033" t="str">
            <v>PUMP METERING UNIT VALVES - ITEMS</v>
          </cell>
        </row>
        <row r="1034">
          <cell r="H1034" t="str">
            <v>98-2260-000</v>
          </cell>
          <cell r="I1034" t="str">
            <v>TRIMLINE PUMPING UNIT - ITEMS</v>
          </cell>
        </row>
        <row r="1035">
          <cell r="H1035" t="str">
            <v>98-2279-000</v>
          </cell>
          <cell r="I1035" t="str">
            <v>COMPUTER RESET MECHANISM - ITEMS</v>
          </cell>
        </row>
        <row r="1036">
          <cell r="H1036" t="str">
            <v>98-2288-000</v>
          </cell>
          <cell r="I1036" t="str">
            <v>METERING UNIT CROSS MEMB. - ITEMS</v>
          </cell>
        </row>
        <row r="1037">
          <cell r="H1037" t="str">
            <v>98-2297-000</v>
          </cell>
          <cell r="I1037" t="str">
            <v>PUMP STOP - ITEMS</v>
          </cell>
        </row>
        <row r="1038">
          <cell r="H1038" t="str">
            <v>98-2306-000</v>
          </cell>
          <cell r="I1038" t="str">
            <v>METERING UNIT CAM SHAFT - ITEMS</v>
          </cell>
        </row>
        <row r="1039">
          <cell r="H1039" t="str">
            <v>98-2315-000</v>
          </cell>
          <cell r="I1039" t="str">
            <v>1.5' PUMP FLEXIBLE COUP.  - ITEMS</v>
          </cell>
        </row>
        <row r="1040">
          <cell r="H1040" t="str">
            <v>98-2324-000</v>
          </cell>
          <cell r="I1040" t="str">
            <v>METERING UNIT END COVERS - ITEMS</v>
          </cell>
        </row>
        <row r="1041">
          <cell r="H1041" t="str">
            <v>98-2333-000</v>
          </cell>
          <cell r="I1041" t="str">
            <v>VR MONEY WHEELS - ITEMS</v>
          </cell>
        </row>
        <row r="1042">
          <cell r="H1042" t="str">
            <v>98-2342-000</v>
          </cell>
          <cell r="I1042" t="str">
            <v>VR LITRE WHEELS - ITEMS</v>
          </cell>
        </row>
        <row r="1043">
          <cell r="H1043" t="str">
            <v>98-2351-000</v>
          </cell>
          <cell r="I1043" t="str">
            <v>GREASE PUMP COVERS - ITEMS</v>
          </cell>
        </row>
        <row r="1044">
          <cell r="H1044" t="str">
            <v>98-2360-000</v>
          </cell>
          <cell r="I1044" t="str">
            <v>COMPUTER DRIV GEAR &amp; SHAF - ITEMS</v>
          </cell>
        </row>
        <row r="1045">
          <cell r="H1045" t="str">
            <v>98-2379-000</v>
          </cell>
          <cell r="I1045" t="str">
            <v>COMPUTER RESET PLATES - ITEMS</v>
          </cell>
        </row>
        <row r="1046">
          <cell r="H1046" t="str">
            <v>98-2388-000</v>
          </cell>
          <cell r="I1046" t="str">
            <v>COMPUTER WHEEL SHAFT - ITEMS</v>
          </cell>
        </row>
        <row r="1047">
          <cell r="H1047" t="str">
            <v>98-2397-000</v>
          </cell>
          <cell r="I1047" t="str">
            <v>PRICE VARIATION GEARS - ITEMS</v>
          </cell>
        </row>
        <row r="1048">
          <cell r="H1048" t="str">
            <v>98-2406-000</v>
          </cell>
          <cell r="I1048" t="str">
            <v>VR TOTALIZERS - ITEMS</v>
          </cell>
        </row>
        <row r="1049">
          <cell r="H1049" t="str">
            <v>98-2415-000</v>
          </cell>
          <cell r="I1049" t="str">
            <v>AIR SEPARATOR FLOATS - ITEMS</v>
          </cell>
        </row>
        <row r="1050">
          <cell r="H1050" t="str">
            <v>98-2424-000</v>
          </cell>
          <cell r="I1050" t="str">
            <v>COMPUTER RODS - ITEMS</v>
          </cell>
        </row>
        <row r="1051">
          <cell r="H1051" t="str">
            <v>98-2433-000</v>
          </cell>
          <cell r="I1051" t="str">
            <v>NOZZLE TIP RESET - ITEMS</v>
          </cell>
        </row>
        <row r="1052">
          <cell r="H1052" t="str">
            <v>98-2442-000</v>
          </cell>
          <cell r="I1052" t="str">
            <v>METERING UNIT ADJ. WHEEL - ITEMS</v>
          </cell>
        </row>
        <row r="1053">
          <cell r="H1053" t="str">
            <v>98-2451-000</v>
          </cell>
          <cell r="I1053" t="str">
            <v>METERING UNIT PISTON SLEV - ITEMS</v>
          </cell>
        </row>
        <row r="1054">
          <cell r="H1054" t="str">
            <v>98-2460-000</v>
          </cell>
          <cell r="I1054" t="str">
            <v>PUMP MOTOR CAPACITORS - ITEMS</v>
          </cell>
        </row>
        <row r="1055">
          <cell r="H1055" t="str">
            <v>98-2479-000</v>
          </cell>
          <cell r="I1055" t="str">
            <v>PUMP FILTERS - ITEMS</v>
          </cell>
        </row>
        <row r="1056">
          <cell r="H1056" t="str">
            <v>98-2488-000</v>
          </cell>
          <cell r="I1056" t="str">
            <v>METER VALVE SEATS - ITEMS</v>
          </cell>
        </row>
        <row r="1057">
          <cell r="H1057" t="str">
            <v>98-2497-000</v>
          </cell>
          <cell r="I1057" t="str">
            <v>GILBARCO NOZZLE REPAIR - ITEMS</v>
          </cell>
        </row>
        <row r="1058">
          <cell r="H1058" t="str">
            <v>98-2506-000</v>
          </cell>
          <cell r="I1058" t="str">
            <v>SALES MAKER PUMP FILTERS - ITEMS</v>
          </cell>
        </row>
        <row r="1059">
          <cell r="H1059" t="str">
            <v>98-2515-000</v>
          </cell>
          <cell r="I1059" t="str">
            <v>VR COMPUTER SHIFT CAN - ITEMS</v>
          </cell>
        </row>
        <row r="1060">
          <cell r="H1060" t="str">
            <v>98-2524-000</v>
          </cell>
          <cell r="I1060" t="str">
            <v>MAIN VALVE DISC - ITEMS</v>
          </cell>
        </row>
        <row r="1061">
          <cell r="H1061" t="str">
            <v>98-2533-000</v>
          </cell>
          <cell r="I1061" t="str">
            <v>METERING UNIT PISTONS - ITEMS</v>
          </cell>
        </row>
        <row r="1062">
          <cell r="H1062" t="str">
            <v>98-2542-000</v>
          </cell>
          <cell r="I1062" t="str">
            <v>VALVE FORK - ITEMS</v>
          </cell>
        </row>
        <row r="1063">
          <cell r="H1063" t="str">
            <v>98-2551-000</v>
          </cell>
          <cell r="I1063" t="str">
            <v>PLASTIC NOZZLE BOOTS - ITEMS</v>
          </cell>
        </row>
        <row r="1064">
          <cell r="H1064" t="str">
            <v>98-2560-000</v>
          </cell>
          <cell r="I1064" t="str">
            <v>NOZZLE HANDLES - ITEMS</v>
          </cell>
        </row>
        <row r="1065">
          <cell r="H1065" t="str">
            <v>98-2579-000</v>
          </cell>
          <cell r="I1065" t="str">
            <v>PUMP FILTER /SEPARATOR - ITEMS</v>
          </cell>
        </row>
        <row r="1066">
          <cell r="H1066" t="str">
            <v>98-2588-000</v>
          </cell>
          <cell r="I1066" t="str">
            <v>VISUAL DISPLAY INDICATORS - ITEMS</v>
          </cell>
        </row>
        <row r="1067">
          <cell r="H1067" t="str">
            <v>98-2597-000</v>
          </cell>
          <cell r="I1067" t="str">
            <v>.75'/1' NOZZLE REDUC BUSH  - ITEMS</v>
          </cell>
        </row>
        <row r="1068">
          <cell r="H1068" t="str">
            <v>98-2606-000</v>
          </cell>
          <cell r="I1068" t="str">
            <v>PUMPING UNIT BLADE SPACER - ITEMS</v>
          </cell>
        </row>
        <row r="1069">
          <cell r="H1069" t="str">
            <v>98-2615-000</v>
          </cell>
          <cell r="I1069" t="str">
            <v>.75' HOSE COUP(ACT. HOSE)  - ITEMS</v>
          </cell>
        </row>
        <row r="1070">
          <cell r="H1070" t="str">
            <v>98-2624-000</v>
          </cell>
          <cell r="I1070" t="str">
            <v>AIR SEPARATOR VALVES - ITEMS</v>
          </cell>
        </row>
        <row r="1071">
          <cell r="H1071" t="str">
            <v>98-2633-000</v>
          </cell>
          <cell r="I1071" t="str">
            <v>PUMP LOCKS WITH KEYS - ITEMS</v>
          </cell>
        </row>
        <row r="1072">
          <cell r="H1072" t="str">
            <v>98-2642-000</v>
          </cell>
          <cell r="I1072" t="str">
            <v>TRIMELINE PUMP SWITCHES - ITEMS</v>
          </cell>
        </row>
        <row r="1073">
          <cell r="H1073" t="str">
            <v>98-2651-000</v>
          </cell>
          <cell r="I1073" t="str">
            <v>MOTOR SWITCHES - ITEMS</v>
          </cell>
        </row>
        <row r="1074">
          <cell r="H1074" t="str">
            <v>98-2660-000</v>
          </cell>
          <cell r="I1074" t="str">
            <v>GILBARCO TRIMELINE D FACE - ITEMS</v>
          </cell>
        </row>
        <row r="1075">
          <cell r="H1075" t="str">
            <v>98-2679-000</v>
          </cell>
          <cell r="I1075" t="str">
            <v>SEMI ROTARY PUMP VALVES - ITEMS</v>
          </cell>
        </row>
        <row r="1076">
          <cell r="H1076" t="str">
            <v>98-2688-000</v>
          </cell>
          <cell r="I1076" t="str">
            <v>METERING UNIT PISTON SPR. - ITEMS</v>
          </cell>
        </row>
        <row r="1077">
          <cell r="H1077" t="str">
            <v>98-2697-000</v>
          </cell>
          <cell r="I1077" t="str">
            <v>PINION GEARS FOR MET.UNIT - ITEMS</v>
          </cell>
        </row>
        <row r="1078">
          <cell r="H1078" t="str">
            <v>98-2706-000</v>
          </cell>
          <cell r="I1078" t="str">
            <v>METERING UNIT DRIVE GEARS - ITEMS</v>
          </cell>
        </row>
        <row r="1079">
          <cell r="H1079" t="str">
            <v>98-2715-000</v>
          </cell>
          <cell r="I1079" t="str">
            <v>COMPUTER IDLER GEARS - ITEMS</v>
          </cell>
        </row>
        <row r="1080">
          <cell r="H1080" t="str">
            <v>98-2724-000</v>
          </cell>
          <cell r="I1080" t="str">
            <v>COMPUTER DRIVE COUP.&amp; LNK - ITEMS</v>
          </cell>
        </row>
        <row r="1081">
          <cell r="H1081" t="str">
            <v>98-2733-000</v>
          </cell>
          <cell r="I1081" t="str">
            <v>PUMPING UNIT ROTOR BUSHES - ITEMS</v>
          </cell>
        </row>
        <row r="1082">
          <cell r="H1082" t="str">
            <v>98-2742-000</v>
          </cell>
          <cell r="I1082" t="str">
            <v>COMPUTER HANDLE / CONNECT - ITEMS</v>
          </cell>
        </row>
        <row r="1083">
          <cell r="H1083" t="str">
            <v>98-2751-000</v>
          </cell>
          <cell r="I1083" t="str">
            <v>NOZZLE VALVES - ITEMS</v>
          </cell>
        </row>
        <row r="1084">
          <cell r="H1084" t="str">
            <v>98-2760-000</v>
          </cell>
          <cell r="I1084" t="str">
            <v>BYPASS VALVE SPRING - ITEMS</v>
          </cell>
        </row>
        <row r="1085">
          <cell r="H1085" t="str">
            <v>98-2779-000</v>
          </cell>
          <cell r="I1085" t="str">
            <v>OIL POURERS - ITEMS</v>
          </cell>
        </row>
        <row r="1086">
          <cell r="H1086" t="str">
            <v>98-2788-000</v>
          </cell>
          <cell r="I1086" t="str">
            <v>4 LITRE BLACK PAINT  - ITEMS</v>
          </cell>
        </row>
        <row r="1087">
          <cell r="H1087" t="str">
            <v>98-2797-000</v>
          </cell>
          <cell r="I1087" t="str">
            <v>4 LITRE WHITE EMULSION PT  - ITEMS</v>
          </cell>
        </row>
        <row r="1088">
          <cell r="H1088" t="str">
            <v>98-2806-000</v>
          </cell>
          <cell r="I1088" t="str">
            <v>700X12 FORK LIFT TUBES  - ITEMS</v>
          </cell>
        </row>
        <row r="1089">
          <cell r="H1089" t="str">
            <v>98-2815-000</v>
          </cell>
          <cell r="I1089" t="str">
            <v>600X9 FORK LIFT TUBES  - ITEMS</v>
          </cell>
        </row>
        <row r="1090">
          <cell r="H1090" t="str">
            <v>98-2824-000</v>
          </cell>
          <cell r="I1090" t="str">
            <v>650 X 10 FORK LIFT TUBES  - ITEMS</v>
          </cell>
        </row>
        <row r="1091">
          <cell r="H1091" t="str">
            <v>98-2833-000</v>
          </cell>
          <cell r="I1091" t="str">
            <v>1100 X 20 NEW TUBES  - ITEMS</v>
          </cell>
        </row>
        <row r="1092">
          <cell r="H1092" t="str">
            <v>98-2842-000</v>
          </cell>
          <cell r="I1092" t="str">
            <v>700 X 15 FORK LIFT TUBES  - ITEMS</v>
          </cell>
        </row>
        <row r="1093">
          <cell r="H1093" t="str">
            <v>98-2851-000</v>
          </cell>
          <cell r="I1093" t="str">
            <v>FRONT WHEEL STUD FOR VOLV - ITEMS</v>
          </cell>
        </row>
        <row r="1094">
          <cell r="H1094" t="str">
            <v>98-2860-000</v>
          </cell>
          <cell r="I1094" t="str">
            <v>REAR WHELL STUDS FOR VOLV - ITEMS</v>
          </cell>
        </row>
        <row r="1095">
          <cell r="H1095" t="str">
            <v>98-2879-000</v>
          </cell>
          <cell r="I1095" t="str">
            <v>CROSLAND FILTERS - ITEMS</v>
          </cell>
        </row>
        <row r="1096">
          <cell r="H1096" t="str">
            <v>98-2888-000</v>
          </cell>
          <cell r="I1096" t="str">
            <v>FILTERS FOR AIR CLEANERS - ITEMS</v>
          </cell>
        </row>
        <row r="1097">
          <cell r="H1097" t="str">
            <v>98-2897-000</v>
          </cell>
          <cell r="I1097" t="str">
            <v>U-BOLTS FOR TRAILERS - ITEMS</v>
          </cell>
        </row>
        <row r="1098">
          <cell r="H1098" t="str">
            <v>98-2906-000</v>
          </cell>
          <cell r="I1098" t="str">
            <v>1200 X 20 NEW TUBES  - ITEMS</v>
          </cell>
        </row>
        <row r="1099">
          <cell r="H1099" t="str">
            <v>98-2915-000</v>
          </cell>
          <cell r="I1099" t="str">
            <v>BEARING FOR LEYLAND TRUCK - ITEMS</v>
          </cell>
        </row>
        <row r="1100">
          <cell r="H1100" t="str">
            <v>98-2924-000</v>
          </cell>
          <cell r="I1100" t="str">
            <v>BEARING FOR THE TRUCKS - ITEMS</v>
          </cell>
        </row>
        <row r="1101">
          <cell r="H1101" t="str">
            <v>98-2933-000</v>
          </cell>
          <cell r="I1101" t="str">
            <v>CENTRE BOLT FOR TRAILERS - ITEMS</v>
          </cell>
        </row>
        <row r="1102">
          <cell r="H1102" t="str">
            <v>98-2942-000</v>
          </cell>
          <cell r="I1102" t="str">
            <v>VOLVO OIL FILTERS - ITEMS</v>
          </cell>
        </row>
        <row r="1103">
          <cell r="H1103" t="str">
            <v>98-2951-000</v>
          </cell>
          <cell r="I1103" t="str">
            <v>DIESEL FILTERS - ITEMS</v>
          </cell>
        </row>
        <row r="1104">
          <cell r="H1104" t="str">
            <v>98-2960-000</v>
          </cell>
          <cell r="I1104" t="str">
            <v>STEERING POWER FILTERS - ITEMS</v>
          </cell>
        </row>
        <row r="1105">
          <cell r="H1105" t="str">
            <v>98-2979-000</v>
          </cell>
          <cell r="I1105" t="str">
            <v>CROSSLAND FILTERS</v>
          </cell>
        </row>
        <row r="1106">
          <cell r="H1106" t="str">
            <v>98-2988-000</v>
          </cell>
          <cell r="I1106" t="str">
            <v>OIL FILTER OUT OF USE - ITEMS</v>
          </cell>
        </row>
        <row r="1107">
          <cell r="H1107" t="str">
            <v>98-2997-000</v>
          </cell>
          <cell r="I1107" t="str">
            <v>FUEL FILTER OUT OF USE - ITEMS</v>
          </cell>
        </row>
        <row r="1108">
          <cell r="H1108" t="str">
            <v>98-3006-000</v>
          </cell>
          <cell r="I1108" t="str">
            <v>HANGER LOCKER BUSHES - ITEMS</v>
          </cell>
        </row>
        <row r="1109">
          <cell r="H1109" t="str">
            <v>98-3015-000</v>
          </cell>
          <cell r="I1109" t="str">
            <v>CONTROL ARM BUSHES - ITEMS</v>
          </cell>
        </row>
        <row r="1110">
          <cell r="H1110" t="str">
            <v>98-3024-000</v>
          </cell>
          <cell r="I1110" t="str">
            <v>STABILIZER PINS - ITEMS</v>
          </cell>
        </row>
        <row r="1111">
          <cell r="H1111" t="str">
            <v>98-3033-000</v>
          </cell>
          <cell r="I1111" t="str">
            <v>STABILIZER BUSHES - ITEMS</v>
          </cell>
        </row>
        <row r="1112">
          <cell r="H1112" t="str">
            <v>98-3042-000</v>
          </cell>
          <cell r="I1112" t="str">
            <v>CONTROL ARM BOLTS - ITEMS</v>
          </cell>
        </row>
        <row r="1113">
          <cell r="H1113" t="str">
            <v>98-3051-000</v>
          </cell>
          <cell r="I1113" t="str">
            <v>BONNET MOUNTING BUSHES - ITEMS</v>
          </cell>
        </row>
        <row r="1114">
          <cell r="H1114" t="str">
            <v>98-3060-000</v>
          </cell>
          <cell r="I1114" t="str">
            <v>HANGER LOCKERS - ITEMS</v>
          </cell>
        </row>
        <row r="1115">
          <cell r="H1115" t="str">
            <v>98-3079-000</v>
          </cell>
          <cell r="I1115" t="str">
            <v>REAR SPRING BRACKETS - ITEMS</v>
          </cell>
        </row>
        <row r="1116">
          <cell r="H1116" t="str">
            <v>98-3088-000</v>
          </cell>
          <cell r="I1116" t="str">
            <v>PLASTIC SUSPENSE BUSHES - ITEMS</v>
          </cell>
        </row>
        <row r="1117">
          <cell r="H1117" t="str">
            <v>98-3097-000</v>
          </cell>
          <cell r="I1117" t="str">
            <v>FAN BELTS - VOLVO - ITEMS</v>
          </cell>
        </row>
        <row r="1118">
          <cell r="H1118" t="str">
            <v>98-3106-000</v>
          </cell>
          <cell r="I1118" t="str">
            <v>SHOCK ABSORBER - VOLVO - ITEMS</v>
          </cell>
        </row>
        <row r="1119">
          <cell r="H1119" t="str">
            <v>98-3115-000</v>
          </cell>
          <cell r="I1119" t="str">
            <v>SHOCK ABS.CABIN BUSHES - ITEMS</v>
          </cell>
        </row>
        <row r="1120">
          <cell r="H1120" t="str">
            <v>98-3124-000</v>
          </cell>
          <cell r="I1120" t="str">
            <v>SHOCK ABSORBER BUSHES - ITEMS</v>
          </cell>
        </row>
        <row r="1121">
          <cell r="H1121" t="str">
            <v>98-3125-000</v>
          </cell>
          <cell r="I1121" t="str">
            <v>GIGANT COMPLETE SPRING-ITEMS</v>
          </cell>
        </row>
        <row r="1122">
          <cell r="H1122" t="str">
            <v>98-3133-000</v>
          </cell>
          <cell r="I1122" t="str">
            <v>BATTERY BOLTS AND NUTS - ITEMS</v>
          </cell>
        </row>
        <row r="1123">
          <cell r="H1123" t="str">
            <v>98-3134-000</v>
          </cell>
          <cell r="I1123" t="str">
            <v>DRIVE PLATE KIT - LEYLAND</v>
          </cell>
        </row>
        <row r="1124">
          <cell r="H1124" t="str">
            <v>98-3135-000</v>
          </cell>
          <cell r="I1124" t="str">
            <v>RING WIPER ROD</v>
          </cell>
        </row>
        <row r="1125">
          <cell r="H1125" t="str">
            <v>98-3136-000</v>
          </cell>
          <cell r="I1125" t="str">
            <v>REPAIR KIT COMPRESSOR-LEYLAND</v>
          </cell>
        </row>
        <row r="1126">
          <cell r="H1126" t="str">
            <v>98-3137-000</v>
          </cell>
          <cell r="I1126" t="str">
            <v>GEAR BOX TOP COVER-LEYLAND</v>
          </cell>
        </row>
        <row r="1127">
          <cell r="H1127" t="str">
            <v>98-3138-000</v>
          </cell>
          <cell r="I1127" t="str">
            <v>EMERGENCY RUBBER VALVES</v>
          </cell>
        </row>
        <row r="1128">
          <cell r="H1128" t="str">
            <v>98-3139-000</v>
          </cell>
          <cell r="I1128" t="str">
            <v>ALTERNATOR BRACKET</v>
          </cell>
        </row>
        <row r="1129">
          <cell r="H1129" t="str">
            <v>98-3140-000</v>
          </cell>
          <cell r="I1129" t="str">
            <v>LOCAL SIDE MIRROR (S/H)</v>
          </cell>
        </row>
        <row r="1130">
          <cell r="H1130" t="str">
            <v>98-3142-000</v>
          </cell>
          <cell r="I1130" t="str">
            <v>SPRING PINS - ITEMS</v>
          </cell>
        </row>
        <row r="1131">
          <cell r="H1131" t="str">
            <v>98-3151-000</v>
          </cell>
          <cell r="I1131" t="str">
            <v>EQUILIZER PINS - ITEMS</v>
          </cell>
        </row>
        <row r="1132">
          <cell r="H1132" t="str">
            <v>98-3160-000</v>
          </cell>
          <cell r="I1132" t="str">
            <v>RETURN SPRING PINS - ITEMS</v>
          </cell>
        </row>
        <row r="1133">
          <cell r="H1133" t="str">
            <v>98-3179-000</v>
          </cell>
          <cell r="I1133" t="str">
            <v>BRAKE SHOES FOR TRUCKS - ITEMS</v>
          </cell>
        </row>
        <row r="1134">
          <cell r="H1134" t="str">
            <v>98-3188-000</v>
          </cell>
          <cell r="I1134" t="str">
            <v>BRAKE ARMS - ITEMS</v>
          </cell>
        </row>
        <row r="1135">
          <cell r="H1135" t="str">
            <v>98-3197-000</v>
          </cell>
          <cell r="I1135" t="str">
            <v>BRAKESHOE RTN SPRING - ITEMS</v>
          </cell>
        </row>
        <row r="1136">
          <cell r="H1136" t="str">
            <v>98-3206-000</v>
          </cell>
          <cell r="I1136" t="str">
            <v>BRAKE LININGS LEYLAND - ITEMS</v>
          </cell>
        </row>
        <row r="1137">
          <cell r="H1137" t="str">
            <v>98-3215-000</v>
          </cell>
          <cell r="I1137" t="str">
            <v>LIGHT GUARDS - VOLVO - ITEMS</v>
          </cell>
        </row>
        <row r="1138">
          <cell r="H1138" t="str">
            <v>98-3224-000</v>
          </cell>
          <cell r="I1138" t="str">
            <v>DOOR STOPPERS - RUBBER - ITEMS</v>
          </cell>
        </row>
        <row r="1139">
          <cell r="H1139" t="str">
            <v>98-3233-000</v>
          </cell>
          <cell r="I1139" t="str">
            <v>BULBS - ITEMS</v>
          </cell>
        </row>
        <row r="1140">
          <cell r="H1140" t="str">
            <v>98-3242-000</v>
          </cell>
          <cell r="I1140" t="str">
            <v>WIPER SWITCH - ITEMS</v>
          </cell>
        </row>
        <row r="1141">
          <cell r="H1141" t="str">
            <v>98-3251-000</v>
          </cell>
          <cell r="I1141" t="str">
            <v>LENCES FOR TRUCKS - ITEMS</v>
          </cell>
        </row>
        <row r="1142">
          <cell r="H1142" t="str">
            <v>98-3260-000</v>
          </cell>
          <cell r="I1142" t="str">
            <v>LENCES FOR DATSUN - ITEMS</v>
          </cell>
        </row>
        <row r="1143">
          <cell r="H1143" t="str">
            <v>98-3279-000</v>
          </cell>
          <cell r="I1143" t="str">
            <v>OIL RINGS - ITEMS</v>
          </cell>
        </row>
        <row r="1144">
          <cell r="H1144" t="str">
            <v>98-3288-000</v>
          </cell>
          <cell r="I1144" t="str">
            <v>FIX SPANNERS - ITEMS</v>
          </cell>
        </row>
        <row r="1145">
          <cell r="H1145" t="str">
            <v>98-3297-000</v>
          </cell>
          <cell r="I1145" t="str">
            <v>INLINE THERM GLASSES - ITEMS</v>
          </cell>
        </row>
        <row r="1146">
          <cell r="H1146" t="str">
            <v>98-3306-000</v>
          </cell>
          <cell r="I1146" t="str">
            <v>GREASE NIPPLES - ITEMS</v>
          </cell>
        </row>
        <row r="1147">
          <cell r="H1147" t="str">
            <v>98-3315-000</v>
          </cell>
          <cell r="I1147" t="str">
            <v>SIDE MARKERS - VOLVO - ITEMS</v>
          </cell>
        </row>
        <row r="1148">
          <cell r="H1148" t="str">
            <v>98-3324-000</v>
          </cell>
          <cell r="I1148" t="str">
            <v>ANCOR PIN CLIPS - ITEMS</v>
          </cell>
        </row>
        <row r="1149">
          <cell r="H1149" t="str">
            <v>98-3333-000</v>
          </cell>
          <cell r="I1149" t="str">
            <v>EXSAULTOR SEAL - ITEMS</v>
          </cell>
        </row>
        <row r="1150">
          <cell r="H1150" t="str">
            <v>98-3342-000</v>
          </cell>
          <cell r="I1150" t="str">
            <v>OIL SEALS - ITEMS</v>
          </cell>
        </row>
        <row r="1151">
          <cell r="H1151" t="str">
            <v>98-3351-000</v>
          </cell>
          <cell r="I1151" t="str">
            <v>OIL PIPE - ITEMS</v>
          </cell>
        </row>
        <row r="1152">
          <cell r="H1152" t="str">
            <v>98-3360-000</v>
          </cell>
          <cell r="I1152" t="str">
            <v>SAFETY BELTS - ITEMS</v>
          </cell>
        </row>
        <row r="1153">
          <cell r="H1153" t="str">
            <v>98-3379-000</v>
          </cell>
          <cell r="I1153" t="str">
            <v>WHEEL STUDS - ITEMS</v>
          </cell>
        </row>
        <row r="1154">
          <cell r="H1154" t="str">
            <v>98-3388-000</v>
          </cell>
          <cell r="I1154" t="str">
            <v>ENGINE MOUNT-VOLVO/LEY - ITEMS</v>
          </cell>
        </row>
        <row r="1155">
          <cell r="H1155" t="str">
            <v>98-3397-000</v>
          </cell>
          <cell r="I1155" t="str">
            <v>ENGINE COVER GASKETS - ITEMS</v>
          </cell>
        </row>
        <row r="1156">
          <cell r="H1156" t="str">
            <v>98-3406-000</v>
          </cell>
          <cell r="I1156" t="str">
            <v>SHAFT SLEEVE JOINT - ITEMS</v>
          </cell>
        </row>
        <row r="1157">
          <cell r="H1157" t="str">
            <v>98-3415-000</v>
          </cell>
          <cell r="I1157" t="str">
            <v>AXLE RING - ITEMS</v>
          </cell>
        </row>
        <row r="1158">
          <cell r="H1158" t="str">
            <v>98-3424-000</v>
          </cell>
          <cell r="I1158" t="str">
            <v>LIDS - VOLVO - ITEMS</v>
          </cell>
        </row>
        <row r="1159">
          <cell r="H1159" t="str">
            <v>98-3433-000</v>
          </cell>
          <cell r="I1159" t="str">
            <v>CLUNCH FLUID RESERVORS - ITEMS</v>
          </cell>
        </row>
        <row r="1160">
          <cell r="H1160" t="str">
            <v>98-3442-000</v>
          </cell>
          <cell r="I1160" t="str">
            <v>HANGER LOCKER BOLTS/NUTS - ITEMS</v>
          </cell>
        </row>
        <row r="1161">
          <cell r="H1161" t="str">
            <v>98-3451-000</v>
          </cell>
          <cell r="I1161" t="str">
            <v>HOSES - ITEMS</v>
          </cell>
        </row>
        <row r="1162">
          <cell r="H1162" t="str">
            <v>98-3460-000</v>
          </cell>
          <cell r="I1162" t="str">
            <v>STARTER MOTOR STUDS - ITEMS</v>
          </cell>
        </row>
        <row r="1163">
          <cell r="H1163" t="str">
            <v>98-3479-000</v>
          </cell>
          <cell r="I1163" t="str">
            <v>DIST PIECE SPACERS - ITEMS</v>
          </cell>
        </row>
        <row r="1164">
          <cell r="H1164" t="str">
            <v>98-3488-000</v>
          </cell>
          <cell r="I1164" t="str">
            <v>GASKETS - ITEMS</v>
          </cell>
        </row>
        <row r="1165">
          <cell r="H1165" t="str">
            <v>98-3497-000</v>
          </cell>
          <cell r="I1165" t="str">
            <v>COUNTER DRIVE GEAR ASSEMB - ITEMS</v>
          </cell>
        </row>
        <row r="1166">
          <cell r="H1166" t="str">
            <v>98-3506-000</v>
          </cell>
          <cell r="I1166" t="str">
            <v>3 WAY VALVES  - ITEMS</v>
          </cell>
        </row>
        <row r="1167">
          <cell r="H1167" t="str">
            <v>98-3515-000</v>
          </cell>
          <cell r="I1167" t="str">
            <v>LPG STRAINERS - ITEMS</v>
          </cell>
        </row>
        <row r="1168">
          <cell r="H1168" t="str">
            <v>98-3524-000</v>
          </cell>
          <cell r="I1168" t="str">
            <v>1.25' GAS CHECK VALVES  - ITEMS</v>
          </cell>
        </row>
        <row r="1169">
          <cell r="H1169" t="str">
            <v>98-3533-000</v>
          </cell>
          <cell r="I1169" t="str">
            <v>HIGH PRESSURE REGULATORS - ITEMS</v>
          </cell>
        </row>
        <row r="1170">
          <cell r="H1170" t="str">
            <v>98-3542-000</v>
          </cell>
          <cell r="I1170" t="str">
            <v>2' OUTLET NIP HEAD &amp; CAP  - ITEMS</v>
          </cell>
        </row>
        <row r="1171">
          <cell r="H1171" t="str">
            <v>98-3551-000</v>
          </cell>
          <cell r="I1171" t="str">
            <v>FLOATS FOR NEPTUNE METERS - ITEMS</v>
          </cell>
        </row>
        <row r="1172">
          <cell r="H1172" t="str">
            <v>98-3560-000</v>
          </cell>
          <cell r="I1172" t="str">
            <v>NEPTUNE METER DIAPHRAM - ITEMS</v>
          </cell>
        </row>
        <row r="1173">
          <cell r="H1173" t="str">
            <v>98-3579-000</v>
          </cell>
          <cell r="I1173" t="str">
            <v>LPG REPAIR KITS - ITEMS</v>
          </cell>
        </row>
        <row r="1174">
          <cell r="H1174" t="str">
            <v>98-3588-000</v>
          </cell>
          <cell r="I1174" t="str">
            <v>2' REGO ONE WAY VALVES  - ITEMS</v>
          </cell>
        </row>
        <row r="1175">
          <cell r="H1175" t="str">
            <v>98-3597-000</v>
          </cell>
          <cell r="I1175" t="str">
            <v>MAIN AND SEC.SPRINGS - ITEMS</v>
          </cell>
        </row>
        <row r="1176">
          <cell r="H1176" t="str">
            <v>98-3606-000</v>
          </cell>
          <cell r="I1176" t="str">
            <v>RUBBER BUARWES - VOLVO - ITEMS</v>
          </cell>
        </row>
        <row r="1177">
          <cell r="H1177" t="str">
            <v>98-3607-000</v>
          </cell>
          <cell r="I1177" t="str">
            <v>4'' CUSTOMED QUICK COUPLINGS</v>
          </cell>
        </row>
        <row r="1178">
          <cell r="H1178" t="str">
            <v>98-3608-000</v>
          </cell>
          <cell r="I1178" t="str">
            <v>4'' CUSTOMED QUICK COUPLING LIDS</v>
          </cell>
        </row>
        <row r="1179">
          <cell r="H1179" t="str">
            <v>98-3615-000</v>
          </cell>
          <cell r="I1179" t="str">
            <v>HOSE COUPLINGS 4' - ITEMS</v>
          </cell>
        </row>
        <row r="1180">
          <cell r="H1180" t="str">
            <v>98-3624-000</v>
          </cell>
          <cell r="I1180" t="str">
            <v>EMCO VALVES 4' - ITEMS</v>
          </cell>
        </row>
        <row r="1181">
          <cell r="H1181" t="str">
            <v>98-3633-000</v>
          </cell>
          <cell r="I1181" t="str">
            <v>PETROL DELIVERY HOSES 4' - ITEMS</v>
          </cell>
        </row>
        <row r="1182">
          <cell r="H1182" t="str">
            <v>98-3642-000</v>
          </cell>
          <cell r="I1182" t="str">
            <v>NEW LPG CYLINDER VALVES - ITEMS</v>
          </cell>
        </row>
        <row r="1183">
          <cell r="H1183" t="str">
            <v>98-3651-000</v>
          </cell>
          <cell r="I1183" t="str">
            <v>2ND HAND LPG CYL.VALVES  - ITEMS</v>
          </cell>
        </row>
        <row r="1184">
          <cell r="H1184" t="str">
            <v>98-3660-000</v>
          </cell>
          <cell r="I1184" t="str">
            <v>LAODING ARM SEALS (VITON) - ITEMS</v>
          </cell>
        </row>
        <row r="1185">
          <cell r="H1185" t="str">
            <v>98-3679-000</v>
          </cell>
          <cell r="I1185" t="str">
            <v>ACME LEAD SEALS - ITEMS</v>
          </cell>
        </row>
        <row r="1186">
          <cell r="H1186" t="str">
            <v>98-3688-000</v>
          </cell>
          <cell r="I1186" t="str">
            <v>SWITCH RED ASSEMBLY - ITEMS</v>
          </cell>
        </row>
        <row r="1187">
          <cell r="H1187" t="str">
            <v>98-3697-000</v>
          </cell>
          <cell r="I1187" t="str">
            <v>SPARE PACKET KIT PT 9850 - ITEMS</v>
          </cell>
        </row>
        <row r="1188">
          <cell r="H1188" t="str">
            <v>98-3706-000</v>
          </cell>
          <cell r="I1188" t="str">
            <v>CLUTCH HOUSING TENS. PINS - ITEMS</v>
          </cell>
        </row>
        <row r="1189">
          <cell r="H1189" t="str">
            <v>98-3715-000</v>
          </cell>
          <cell r="I1189" t="str">
            <v>RESET HANDLE PINS - ITEMS</v>
          </cell>
        </row>
        <row r="1190">
          <cell r="H1190" t="str">
            <v>98-3724-000</v>
          </cell>
          <cell r="I1190" t="str">
            <v>BONDING CLAMPS - ITEMS</v>
          </cell>
        </row>
        <row r="1191">
          <cell r="H1191" t="str">
            <v>98-3733-000</v>
          </cell>
          <cell r="I1191" t="str">
            <v>3 " BULK METER CALIBRATOR - ITEMS</v>
          </cell>
        </row>
        <row r="1192">
          <cell r="H1192" t="str">
            <v>98-3742-000</v>
          </cell>
          <cell r="I1192" t="str">
            <v>3" BULK METER OUTER COVER - ITEMS</v>
          </cell>
        </row>
        <row r="1193">
          <cell r="H1193" t="str">
            <v>98-3751-000</v>
          </cell>
          <cell r="I1193" t="str">
            <v>1 X 2 1/2 " X 10 ' ELAFLEX HOSE - ITEM</v>
          </cell>
        </row>
        <row r="1194">
          <cell r="H1194" t="str">
            <v>98-3760-000</v>
          </cell>
          <cell r="I1194" t="str">
            <v>GARSITE HOSE TESTER - ITEM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xxx"/>
      <sheetName val="Marine Gasoil Rebrand Document"/>
      <sheetName val="xxxx"/>
      <sheetName val="Lookup Tables"/>
      <sheetName val="Sheet2"/>
      <sheetName val="additional charge"/>
      <sheetName val="Product Receipt Document"/>
      <sheetName val="Receipt Recon Document"/>
      <sheetName val="GAPCO Hospitality Document"/>
      <sheetName val="MASI Sales Document"/>
      <sheetName val="MASI Imports Document"/>
      <sheetName val="Bitumen Drumming Document"/>
      <sheetName val="Fuel Oil Other Rebrand Document"/>
      <sheetName val="KPRL Rebrand Document"/>
      <sheetName val="KPRL Transfers Document"/>
      <sheetName val="Transport Cost Document - OTHER"/>
      <sheetName val="KOSF Transfers Document"/>
      <sheetName val="KOSF Kero Delvrs Rbrnd Document"/>
      <sheetName val="Trpt Cost Document - Airports"/>
      <sheetName val="JetE to Kero Rbrnd Document"/>
      <sheetName val="WKna KPC Transfers Document"/>
      <sheetName val="Transport Cost Document - NKU"/>
      <sheetName val="Transport Cost Document - ELD"/>
      <sheetName val="Transport Cost Document - KSU"/>
      <sheetName val="WKna Jet Rbrnd Delvrs Document"/>
      <sheetName val="Transport Cost Document"/>
      <sheetName val="Fuel Oil 1% Rebrand Document"/>
      <sheetName val="LPG Filling Document"/>
      <sheetName val="Mogas Rebrand Document"/>
      <sheetName val="Borrow Loan Document"/>
      <sheetName val="Borrow Loan MKTrs Document"/>
      <sheetName val="Prod Var KOSF+Mainline Document"/>
      <sheetName val="Own use Document"/>
      <sheetName val="KPC Local Reconciliation"/>
      <sheetName val="KPC Export Reconciliation"/>
      <sheetName val="Prod Var WKna Document"/>
      <sheetName val="Buffer Stock Document"/>
      <sheetName val="GAPCO Exchange Document"/>
      <sheetName val="MASI Exchanges Document"/>
      <sheetName val="Misc Items Document (3)"/>
      <sheetName val="Misc Items Document (2)"/>
      <sheetName val="Misc Items Document"/>
      <sheetName val="Stock Booking Procedures"/>
      <sheetName val="BKup"/>
    </sheetNames>
    <sheetDataSet>
      <sheetData sheetId="0"/>
      <sheetData sheetId="1"/>
      <sheetData sheetId="2"/>
      <sheetData sheetId="3" refreshError="1">
        <row r="3">
          <cell r="H3" t="str">
            <v>FMTITEMNO</v>
          </cell>
          <cell r="I3" t="str">
            <v>DESC</v>
          </cell>
        </row>
        <row r="4">
          <cell r="H4" t="str">
            <v>01-0095-001</v>
          </cell>
          <cell r="I4" t="str">
            <v>CONTAMINATED MOBIL PREMIUM - LITRES</v>
          </cell>
        </row>
        <row r="5">
          <cell r="H5" t="str">
            <v>01-0116-000</v>
          </cell>
          <cell r="I5" t="str">
            <v>MOBIL SUPER R 91/93 - KILOS</v>
          </cell>
        </row>
        <row r="6">
          <cell r="H6" t="str">
            <v>01-0116-001</v>
          </cell>
          <cell r="I6" t="str">
            <v>MOBIL SUPER R 91/93 - LITRES</v>
          </cell>
        </row>
        <row r="7">
          <cell r="H7" t="str">
            <v>01-0116-063</v>
          </cell>
          <cell r="I7" t="str">
            <v>MOBIL SUPER R 91/93 - 200 LT</v>
          </cell>
        </row>
        <row r="8">
          <cell r="H8" t="str">
            <v>01-1122-001</v>
          </cell>
          <cell r="I8" t="str">
            <v>MOBIL SUPER R 95 - LITRES</v>
          </cell>
        </row>
        <row r="9">
          <cell r="H9" t="str">
            <v>01-1122-063</v>
          </cell>
          <cell r="I9" t="str">
            <v>MOBIL SUPER R 95 - 200 LT</v>
          </cell>
        </row>
        <row r="10">
          <cell r="H10" t="str">
            <v>01-1205-001</v>
          </cell>
          <cell r="I10" t="str">
            <v>MOBIL GASOHOL - LITRES</v>
          </cell>
        </row>
        <row r="11">
          <cell r="H11" t="str">
            <v>02-0016-000</v>
          </cell>
          <cell r="I11" t="str">
            <v>MOBIL REGULAR - KILOS</v>
          </cell>
        </row>
        <row r="12">
          <cell r="H12" t="str">
            <v>02-0016-001</v>
          </cell>
          <cell r="I12" t="str">
            <v>MOBIL REGULAR - LITRES</v>
          </cell>
        </row>
        <row r="13">
          <cell r="H13" t="str">
            <v>02-0095-001</v>
          </cell>
          <cell r="I13" t="str">
            <v>CONTAMINATED MOBIL REGULAR - LITRES</v>
          </cell>
        </row>
        <row r="14">
          <cell r="H14" t="str">
            <v>02-1873-001</v>
          </cell>
          <cell r="I14" t="str">
            <v>REGULAR GASOHOL - LITRES</v>
          </cell>
        </row>
        <row r="15">
          <cell r="H15" t="str">
            <v>12-1020-000</v>
          </cell>
          <cell r="I15" t="str">
            <v>MOBIL JET A-1 - KILOS</v>
          </cell>
        </row>
        <row r="16">
          <cell r="H16" t="str">
            <v>12-1020-001</v>
          </cell>
          <cell r="I16" t="str">
            <v>MOBIL JET A-1 - LITRES</v>
          </cell>
        </row>
        <row r="17">
          <cell r="H17" t="str">
            <v>12-1020-063</v>
          </cell>
          <cell r="I17" t="str">
            <v>MOBIL JET A-1 - 200 LT</v>
          </cell>
        </row>
        <row r="18">
          <cell r="H18" t="str">
            <v>13-0095-001</v>
          </cell>
          <cell r="I18" t="str">
            <v>CONTAMINATED MOBIL KEROSENE - LITRES</v>
          </cell>
        </row>
        <row r="19">
          <cell r="H19" t="str">
            <v>13-3108-000</v>
          </cell>
          <cell r="I19" t="str">
            <v>MOBIL KEROSENE - KILOS</v>
          </cell>
        </row>
        <row r="20">
          <cell r="H20" t="str">
            <v>13-3108-001</v>
          </cell>
          <cell r="I20" t="str">
            <v>MOBIL KEROSENE - BULK LT</v>
          </cell>
        </row>
        <row r="21">
          <cell r="H21" t="str">
            <v>13-3108-020</v>
          </cell>
          <cell r="I21" t="str">
            <v>MOBIL KEROSENE - 20 LT</v>
          </cell>
        </row>
        <row r="22">
          <cell r="H22" t="str">
            <v>13-3108-063</v>
          </cell>
          <cell r="I22" t="str">
            <v>MOBIL KEROSENE - 200 LT</v>
          </cell>
        </row>
        <row r="23">
          <cell r="H23" t="str">
            <v>15-2066-000</v>
          </cell>
          <cell r="I23" t="str">
            <v>MOBIL DIESEL (GAS-OIL) - KILOS</v>
          </cell>
        </row>
        <row r="24">
          <cell r="H24" t="str">
            <v>15-2066-001</v>
          </cell>
          <cell r="I24" t="str">
            <v>MOBIL DIESEL (GAS-OIL) - BULK LT</v>
          </cell>
        </row>
        <row r="25">
          <cell r="H25" t="str">
            <v>15-2066-063</v>
          </cell>
          <cell r="I25" t="str">
            <v>MOBIL DIESEL (GAS-OIL) - 200 LT</v>
          </cell>
        </row>
        <row r="26">
          <cell r="H26" t="str">
            <v>16-0028-001</v>
          </cell>
          <cell r="I26" t="str">
            <v>MOBIL MARINE DIESEL - LITRES</v>
          </cell>
        </row>
        <row r="27">
          <cell r="H27" t="str">
            <v>16-0028-063</v>
          </cell>
          <cell r="I27" t="str">
            <v>MOBIL MARINE DIESEL - 200 LT</v>
          </cell>
        </row>
        <row r="28">
          <cell r="H28" t="str">
            <v>16-0095-001</v>
          </cell>
          <cell r="I28" t="str">
            <v>CONTAMINATED MOBIL DIESEL - LITRES</v>
          </cell>
        </row>
        <row r="31">
          <cell r="H31" t="str">
            <v>17-0019-000</v>
          </cell>
          <cell r="I31" t="str">
            <v>MOBIL HEAVY DIESEL OIL - KILOS</v>
          </cell>
        </row>
        <row r="32">
          <cell r="H32" t="str">
            <v>17-0019-001</v>
          </cell>
          <cell r="I32" t="str">
            <v>MOBIL HEAVY DIESEL OIL - BULK LT</v>
          </cell>
        </row>
        <row r="33">
          <cell r="H33" t="str">
            <v>17-0019-063</v>
          </cell>
          <cell r="I33" t="str">
            <v>MOBIL HEAVY DIESEL OIL - 200 LT</v>
          </cell>
        </row>
        <row r="34">
          <cell r="H34" t="str">
            <v>20-0022-000</v>
          </cell>
          <cell r="I34" t="str">
            <v>FUELOIL 125CS (2.5% SULP) - KILOS</v>
          </cell>
        </row>
        <row r="35">
          <cell r="H35" t="str">
            <v>20-0022-001</v>
          </cell>
          <cell r="I35" t="str">
            <v>FUEL OIL 125 CS - BULK LT</v>
          </cell>
        </row>
        <row r="36">
          <cell r="H36" t="str">
            <v>21-0294-001</v>
          </cell>
          <cell r="I36" t="str">
            <v>MOBIL MARINE FUEL OIL 280 CST - LITRES</v>
          </cell>
        </row>
        <row r="37">
          <cell r="H37" t="str">
            <v>21-2712-000</v>
          </cell>
          <cell r="I37" t="str">
            <v>LOW SULPHUR FUEL OIL (1.0%) - KILOS</v>
          </cell>
        </row>
        <row r="38">
          <cell r="H38" t="str">
            <v>21-2712-001</v>
          </cell>
          <cell r="I38" t="str">
            <v>LOW SULPHUR FUEL OIL (1.0%) - LITRES</v>
          </cell>
        </row>
        <row r="39">
          <cell r="H39" t="str">
            <v>21-2761-000</v>
          </cell>
          <cell r="I39" t="str">
            <v>FUEL OIL 180 CST - KILOS</v>
          </cell>
        </row>
        <row r="40">
          <cell r="H40" t="str">
            <v>21-2761-001</v>
          </cell>
          <cell r="I40" t="str">
            <v>FUEL OIL 180 CST - LITRES</v>
          </cell>
        </row>
        <row r="41">
          <cell r="H41" t="str">
            <v>22-4006-000</v>
          </cell>
          <cell r="I41" t="str">
            <v>ASPHALTS - KILOS</v>
          </cell>
        </row>
        <row r="42">
          <cell r="H42" t="str">
            <v>24-0101-000</v>
          </cell>
          <cell r="I42" t="str">
            <v>MOBIL LPG - KILOS</v>
          </cell>
        </row>
        <row r="43">
          <cell r="H43" t="str">
            <v>24-0101-001</v>
          </cell>
          <cell r="I43" t="str">
            <v>MOBIL LPG - LITRES</v>
          </cell>
        </row>
        <row r="44">
          <cell r="H44" t="str">
            <v>24-0101-325</v>
          </cell>
          <cell r="I44" t="str">
            <v>MOBIL GAS - 40 KG BOTTLE</v>
          </cell>
        </row>
        <row r="45">
          <cell r="H45" t="str">
            <v>24-0101-326</v>
          </cell>
          <cell r="I45" t="str">
            <v>MOBIL GAS - 13 KG BOTTLE</v>
          </cell>
        </row>
        <row r="46">
          <cell r="H46" t="str">
            <v>24-0101-327</v>
          </cell>
          <cell r="I46" t="str">
            <v>MOBIL LPG - 6KG BOTTLE</v>
          </cell>
        </row>
        <row r="47">
          <cell r="H47" t="str">
            <v>28-1048-000</v>
          </cell>
          <cell r="I47" t="str">
            <v>PENETRATN ASPHALT 80/100 - KILOS</v>
          </cell>
        </row>
        <row r="48">
          <cell r="H48" t="str">
            <v>28-1048-009</v>
          </cell>
          <cell r="I48" t="str">
            <v>PENETRATN ASPHALT 80/100 - 150 KG DRUM</v>
          </cell>
        </row>
        <row r="49">
          <cell r="H49" t="str">
            <v>28-4398-000</v>
          </cell>
          <cell r="I49" t="str">
            <v>CUTBACK ASPHALT MC3000 - KILOS</v>
          </cell>
        </row>
        <row r="50">
          <cell r="H50" t="str">
            <v>30-0202-001</v>
          </cell>
          <cell r="I50" t="str">
            <v>PERMAZONE - LITRES</v>
          </cell>
        </row>
        <row r="51">
          <cell r="H51" t="str">
            <v>30-0202-008</v>
          </cell>
          <cell r="I51" t="str">
            <v>PERMAZONE - 208 LT</v>
          </cell>
        </row>
        <row r="52">
          <cell r="H52" t="str">
            <v>30-0202-121</v>
          </cell>
          <cell r="I52" t="str">
            <v>PERMAZONE - 12 X 1 LT</v>
          </cell>
        </row>
        <row r="53">
          <cell r="H53" t="str">
            <v>33-0095-001</v>
          </cell>
          <cell r="I53" t="str">
            <v>OTHERS (SPECIALITIES) - LITRES</v>
          </cell>
        </row>
        <row r="54">
          <cell r="H54" t="str">
            <v>33-0993-000</v>
          </cell>
          <cell r="I54" t="str">
            <v>MOBIL BRAKE FLUID UNIV. - KILOS</v>
          </cell>
        </row>
        <row r="55">
          <cell r="H55" t="str">
            <v>33-0993-001</v>
          </cell>
          <cell r="I55" t="str">
            <v>MOBIL BRAKE FLUID UNIV. - LITRES</v>
          </cell>
        </row>
        <row r="56">
          <cell r="H56" t="str">
            <v>33-0993-008</v>
          </cell>
          <cell r="I56" t="str">
            <v>MOBIL BRAKE FLUID UNIV. - 208 LT</v>
          </cell>
        </row>
        <row r="57">
          <cell r="H57" t="str">
            <v>33-0993-009</v>
          </cell>
          <cell r="I57" t="str">
            <v>MOBIL BRAKE FLUID UNIV. - 200 KG</v>
          </cell>
        </row>
        <row r="59">
          <cell r="H59" t="str">
            <v>33-0993-020</v>
          </cell>
          <cell r="I59" t="str">
            <v>MOBIL BRAKE FLUID UNIV. - 20 LT PAIL</v>
          </cell>
        </row>
        <row r="60">
          <cell r="H60" t="str">
            <v>33-0993-240</v>
          </cell>
          <cell r="I60" t="str">
            <v>MOBIL BRAKE FLUID UNIV. - 36X0.25 LT CAR</v>
          </cell>
        </row>
        <row r="61">
          <cell r="H61" t="str">
            <v>33-0993-242</v>
          </cell>
          <cell r="I61" t="str">
            <v>MOBIL BRAKE FLUID UNIV. - 0.5 LT</v>
          </cell>
        </row>
        <row r="62">
          <cell r="H62" t="str">
            <v>33-0993-245</v>
          </cell>
          <cell r="I62" t="str">
            <v>MOBIL BRAKE FLUID UNIV. - 32 X 1/2 LT</v>
          </cell>
        </row>
        <row r="63">
          <cell r="H63" t="str">
            <v>33-0993-247</v>
          </cell>
          <cell r="I63" t="str">
            <v>MOBIL BRAKE FLUID UNIV. - 60X0.2 LT</v>
          </cell>
        </row>
        <row r="64">
          <cell r="H64" t="str">
            <v>33-0993-905</v>
          </cell>
          <cell r="I64" t="str">
            <v>MOBIL BRAKE FLUID UNIV. - 205 LT</v>
          </cell>
        </row>
        <row r="65">
          <cell r="H65" t="str">
            <v>33-0993-920</v>
          </cell>
          <cell r="I65" t="str">
            <v>MOBIL BRAKE FLUID UNIV. - 220 KG DRUM</v>
          </cell>
        </row>
        <row r="66">
          <cell r="H66" t="str">
            <v>33-0994-020</v>
          </cell>
          <cell r="I66" t="str">
            <v>MOBIL BRAKE FLUID DOT 3 20 LT</v>
          </cell>
        </row>
        <row r="67">
          <cell r="H67" t="str">
            <v>33-2312-248</v>
          </cell>
          <cell r="I67" t="str">
            <v>MOBIL INSECTICIDE AEROSOL - 100X7.2 LT</v>
          </cell>
        </row>
        <row r="68">
          <cell r="H68" t="str">
            <v>33-2312-249</v>
          </cell>
          <cell r="I68" t="str">
            <v>MOBIL INSECTICIDE AEROSOL - 7X7.2 LT</v>
          </cell>
        </row>
        <row r="69">
          <cell r="H69" t="str">
            <v>33-3286-001</v>
          </cell>
          <cell r="I69" t="str">
            <v>MOBIL FLUSHING OIL - LITRES</v>
          </cell>
        </row>
        <row r="70">
          <cell r="H70" t="str">
            <v>33-3286-008</v>
          </cell>
          <cell r="I70" t="str">
            <v>MOBIL FLUSHING OIL - 208 LT</v>
          </cell>
        </row>
        <row r="71">
          <cell r="H71" t="str">
            <v>33-3286-020</v>
          </cell>
          <cell r="I71" t="str">
            <v>MOBIL FLUSHING OIL - 20 LT</v>
          </cell>
        </row>
        <row r="72">
          <cell r="H72" t="str">
            <v>33-3286-910</v>
          </cell>
          <cell r="I72" t="str">
            <v>MOBIL FLUSHING OIL - 210 LT</v>
          </cell>
        </row>
        <row r="73">
          <cell r="H73" t="str">
            <v>33-8806-001</v>
          </cell>
          <cell r="I73" t="str">
            <v>MOBIL DE-IONIZED WATER - LITRES</v>
          </cell>
        </row>
        <row r="74">
          <cell r="H74" t="str">
            <v>33-8806-121</v>
          </cell>
          <cell r="I74" t="str">
            <v>MOBIL DE-IONIZED WATER - 24 X 1 LT CARTO</v>
          </cell>
        </row>
        <row r="75">
          <cell r="H75" t="str">
            <v>33-8806-921</v>
          </cell>
          <cell r="I75" t="str">
            <v>MOBIL DE-IONIZED WATER - 1 LT</v>
          </cell>
        </row>
        <row r="76">
          <cell r="H76" t="str">
            <v>33-9140-001</v>
          </cell>
          <cell r="I76" t="str">
            <v>MOBIL BRAKEFLUID UNIVERSAL-LITRES</v>
          </cell>
        </row>
        <row r="77">
          <cell r="H77" t="str">
            <v>33-9140-008</v>
          </cell>
          <cell r="I77" t="str">
            <v>MOBIL BRAKE FLUID UNIVERSAL - 208 LT DRU</v>
          </cell>
        </row>
        <row r="78">
          <cell r="H78" t="str">
            <v>33-9140-020</v>
          </cell>
          <cell r="I78" t="str">
            <v>MOBIL BRAKE FLUID UNIVERSAL - 20 LT</v>
          </cell>
        </row>
        <row r="79">
          <cell r="H79" t="str">
            <v>41-0134-001</v>
          </cell>
          <cell r="I79" t="str">
            <v>MOBIL HEAVY DUTY 40 - LITRE</v>
          </cell>
        </row>
        <row r="80">
          <cell r="H80" t="str">
            <v>41-0134-008</v>
          </cell>
          <cell r="I80" t="str">
            <v>MOBIL HEAVY DUTY 40 - 208 LT DRUM</v>
          </cell>
        </row>
        <row r="81">
          <cell r="H81" t="str">
            <v>41-0134-020</v>
          </cell>
          <cell r="I81" t="str">
            <v>MOBIL HEAVY DUTY 40 - 20 LT PAIL</v>
          </cell>
        </row>
        <row r="82">
          <cell r="H82" t="str">
            <v>41-0134-121</v>
          </cell>
          <cell r="I82" t="str">
            <v>MOBIL HEAVY DUTY 40 - 12 X 1 LT CARTON</v>
          </cell>
        </row>
        <row r="83">
          <cell r="H83" t="str">
            <v>41-0134-144</v>
          </cell>
          <cell r="I83" t="str">
            <v>MOBIL HEAVY DUTY 40 - 4 X 4 LT CARTON</v>
          </cell>
        </row>
        <row r="84">
          <cell r="H84" t="str">
            <v>41-0134-145</v>
          </cell>
          <cell r="I84" t="str">
            <v>MOBIL HEAVY DUTY 40 - 4 X 5 LT</v>
          </cell>
        </row>
        <row r="85">
          <cell r="H85" t="str">
            <v>41-0134-240</v>
          </cell>
          <cell r="I85" t="str">
            <v>MOBIL HEAVY DUTY 40 - 40X0.5 LT</v>
          </cell>
        </row>
        <row r="86">
          <cell r="H86" t="str">
            <v>41-0134-242</v>
          </cell>
          <cell r="I86" t="str">
            <v>MOBIL HEAVY DUTY 40 - 0.5 LT</v>
          </cell>
        </row>
        <row r="87">
          <cell r="H87" t="str">
            <v>41-0134-245</v>
          </cell>
          <cell r="I87" t="str">
            <v>MOBIL HEAVY DUTY 40 - 32 X 1/2 LT</v>
          </cell>
        </row>
        <row r="88">
          <cell r="H88" t="str">
            <v>41-0134-910</v>
          </cell>
          <cell r="I88" t="str">
            <v>MOBIL HEAVY DUTY 40 - 210 LT</v>
          </cell>
        </row>
        <row r="89">
          <cell r="H89" t="str">
            <v>41-0134-921</v>
          </cell>
          <cell r="I89" t="str">
            <v>MOBIL HEAVY DUTY 40 - 1 LT CAN</v>
          </cell>
        </row>
        <row r="90">
          <cell r="H90" t="str">
            <v>41-0134-944</v>
          </cell>
          <cell r="I90" t="str">
            <v>MOBIL HEAVY DUTY 40 - 4 LT</v>
          </cell>
        </row>
        <row r="91">
          <cell r="H91" t="str">
            <v>41-0134-945</v>
          </cell>
          <cell r="I91" t="str">
            <v>MOBIL HEAVY DUTY 40 - 5 LT CAN</v>
          </cell>
        </row>
        <row r="92">
          <cell r="H92" t="str">
            <v>41-0142-001</v>
          </cell>
          <cell r="I92" t="str">
            <v>MOBIL HEAVY DUTY 50 - LITRES</v>
          </cell>
        </row>
        <row r="93">
          <cell r="H93" t="str">
            <v>41-0142-008</v>
          </cell>
          <cell r="I93" t="str">
            <v>MOBIL HEAVY DUTY 50 - 208 LT</v>
          </cell>
        </row>
        <row r="94">
          <cell r="H94" t="str">
            <v>41-0142-121</v>
          </cell>
          <cell r="I94" t="str">
            <v>MOBIL HEAVY DUTY 50 - 12 X 1 LT</v>
          </cell>
        </row>
        <row r="95">
          <cell r="H95" t="str">
            <v>41-0332-001</v>
          </cell>
          <cell r="I95" t="str">
            <v>MOBIL HD 40 (EXPORT) - LITRES</v>
          </cell>
        </row>
        <row r="96">
          <cell r="H96" t="str">
            <v>41-0332-008</v>
          </cell>
          <cell r="I96" t="str">
            <v>MOBIL HD 40 (EXPORT) - 208 LT DRUM</v>
          </cell>
        </row>
        <row r="97">
          <cell r="H97" t="str">
            <v>41-0332-020</v>
          </cell>
          <cell r="I97" t="str">
            <v>MOBIL HD 40 (EXPORT) - 20 LT</v>
          </cell>
        </row>
        <row r="98">
          <cell r="H98" t="str">
            <v>41-0332-121</v>
          </cell>
          <cell r="I98" t="str">
            <v>MOBIL HD 40 (EXPORT) - 12 X 1 LT</v>
          </cell>
        </row>
        <row r="99">
          <cell r="H99" t="str">
            <v>41-0332-144</v>
          </cell>
          <cell r="I99" t="str">
            <v>MOBIL HD 40 (EXPORT) - 4 X 4 LT</v>
          </cell>
        </row>
        <row r="100">
          <cell r="H100" t="str">
            <v>41-0332-245</v>
          </cell>
          <cell r="I100" t="str">
            <v>MOBIL HD 40 (EXPORT) - 32 X 1/2 LT</v>
          </cell>
        </row>
        <row r="101">
          <cell r="H101" t="str">
            <v>41-0332-921</v>
          </cell>
          <cell r="I101" t="str">
            <v>MOBIL HD 40 (EXPORT) - 1 LT</v>
          </cell>
        </row>
        <row r="102">
          <cell r="H102" t="str">
            <v>41-0332-944</v>
          </cell>
          <cell r="I102" t="str">
            <v>MOBIL HD 40 (EXPORT) - 4 LT</v>
          </cell>
        </row>
        <row r="103">
          <cell r="H103" t="str">
            <v>41-0506-000</v>
          </cell>
          <cell r="I103" t="str">
            <v>MOBIL SPECIAL 2T - KILOS</v>
          </cell>
        </row>
        <row r="104">
          <cell r="H104" t="str">
            <v>41-0506-001</v>
          </cell>
          <cell r="I104" t="str">
            <v>MOBIL SPECIAL 2T - LITRES</v>
          </cell>
        </row>
        <row r="105">
          <cell r="H105" t="str">
            <v>41-0506-008</v>
          </cell>
          <cell r="I105" t="str">
            <v>MOBIL SPECIAL 2T - 208 LT</v>
          </cell>
        </row>
        <row r="106">
          <cell r="H106" t="str">
            <v>41-0506-020</v>
          </cell>
          <cell r="I106" t="str">
            <v>MOBIL SPECIAL 2T - 20LT PAIL</v>
          </cell>
        </row>
        <row r="107">
          <cell r="H107" t="str">
            <v>41-0506-121</v>
          </cell>
          <cell r="I107" t="str">
            <v>MOBIL SPECIAL 2T - 12 X 1 LT CARTON</v>
          </cell>
        </row>
        <row r="108">
          <cell r="H108" t="str">
            <v>41-0506-144</v>
          </cell>
          <cell r="I108" t="str">
            <v>MOBIL SPECIAL 2T - 4 X 4 LT CARTON</v>
          </cell>
        </row>
        <row r="109">
          <cell r="H109" t="str">
            <v>41-0506-242</v>
          </cell>
          <cell r="I109" t="str">
            <v>MOBIL SPECIAL 2T - 0.5 KG</v>
          </cell>
        </row>
        <row r="110">
          <cell r="H110" t="str">
            <v>41-0506-245</v>
          </cell>
          <cell r="I110" t="str">
            <v>MOBIL SPECIAL 2T - 32 X 1/2 LT</v>
          </cell>
        </row>
        <row r="111">
          <cell r="H111" t="str">
            <v>41-0506-910</v>
          </cell>
          <cell r="I111" t="str">
            <v>MOBIL SPECIAL 2T - 210 LT</v>
          </cell>
        </row>
        <row r="112">
          <cell r="H112" t="str">
            <v>41-0506-921</v>
          </cell>
          <cell r="I112" t="str">
            <v>MOBIL SPECIAL 2T - 1 LT CAN</v>
          </cell>
        </row>
        <row r="113">
          <cell r="H113" t="str">
            <v>41-0514-001</v>
          </cell>
          <cell r="I113" t="str">
            <v>MOBIL SUPER 2T - LITRES</v>
          </cell>
        </row>
        <row r="114">
          <cell r="H114" t="str">
            <v>41-0514-008</v>
          </cell>
          <cell r="I114" t="str">
            <v>MOBIL SUPER 2T - 208 LT</v>
          </cell>
        </row>
        <row r="115">
          <cell r="H115" t="str">
            <v>41-0514-020</v>
          </cell>
          <cell r="I115" t="str">
            <v>MOBIL SUPER 2T - 20 LT</v>
          </cell>
        </row>
        <row r="116">
          <cell r="H116" t="str">
            <v>41-0514-144</v>
          </cell>
          <cell r="I116" t="str">
            <v>MOBIL SUPER 2T - 4 X 4 LT</v>
          </cell>
        </row>
        <row r="117">
          <cell r="H117" t="str">
            <v>41-2056-001</v>
          </cell>
          <cell r="I117" t="str">
            <v>MOBIL OUTBOARD PLUS - LITRES</v>
          </cell>
        </row>
        <row r="118">
          <cell r="H118" t="str">
            <v>41-2056-008</v>
          </cell>
          <cell r="I118" t="str">
            <v>MOBIL OUTBOARD PLUS - 208 LT DRUM</v>
          </cell>
        </row>
        <row r="119">
          <cell r="H119" t="str">
            <v>41-2056-145</v>
          </cell>
          <cell r="I119" t="str">
            <v>MOBIL OUTBOARD PLUS - 4 X 5 LT CARTON</v>
          </cell>
        </row>
        <row r="120">
          <cell r="H120" t="str">
            <v>41-2841-001</v>
          </cell>
          <cell r="I120" t="str">
            <v>MOBILAND SUPER UNIVERSAL 20W40 - LITRES</v>
          </cell>
        </row>
        <row r="121">
          <cell r="H121" t="str">
            <v>41-2841-008</v>
          </cell>
          <cell r="I121" t="str">
            <v>MOBILAND SUPER UNIVERSAL 20W40 -208 LT D</v>
          </cell>
        </row>
        <row r="122">
          <cell r="H122" t="str">
            <v>41-2841-020</v>
          </cell>
          <cell r="I122" t="str">
            <v>MOBILAND SUPER UNIVERSAL 20W40 - 20 LT</v>
          </cell>
        </row>
        <row r="123">
          <cell r="H123" t="str">
            <v>43-0132-008</v>
          </cell>
          <cell r="I123" t="str">
            <v>MOBIL AERO RED BRAND - 208 LT</v>
          </cell>
        </row>
        <row r="124">
          <cell r="H124" t="str">
            <v>43-0207-001</v>
          </cell>
          <cell r="I124" t="str">
            <v>MOBIL JET OIL II - LITRES</v>
          </cell>
        </row>
        <row r="125">
          <cell r="H125" t="str">
            <v>43-0207-002</v>
          </cell>
          <cell r="I125" t="str">
            <v>MOBIL JET OIL II - 24X0.95 LT CARTON</v>
          </cell>
        </row>
        <row r="126">
          <cell r="H126" t="str">
            <v>43-0207-121</v>
          </cell>
          <cell r="I126" t="str">
            <v>MOBIL JET OIL II - 12 X 1 LT</v>
          </cell>
        </row>
        <row r="127">
          <cell r="H127" t="str">
            <v>43-2161-002</v>
          </cell>
          <cell r="I127" t="str">
            <v>MOBIL AERO 100 - 24X0.95 LT CARTON</v>
          </cell>
        </row>
        <row r="128">
          <cell r="H128" t="str">
            <v>43-2161-003</v>
          </cell>
          <cell r="I128" t="str">
            <v>MOBIL AERO 100 - 12X0.95 LT CARTON</v>
          </cell>
        </row>
        <row r="129">
          <cell r="H129" t="str">
            <v>43-2161-008</v>
          </cell>
          <cell r="I129" t="str">
            <v>MOBIL AERO 100 - 208 LT</v>
          </cell>
        </row>
        <row r="130">
          <cell r="H130" t="str">
            <v>43-2179-002</v>
          </cell>
          <cell r="I130" t="str">
            <v>MOBIL AERO 120 - 24X0.95 LT CARTON</v>
          </cell>
        </row>
        <row r="131">
          <cell r="H131" t="str">
            <v>43-2179-003</v>
          </cell>
          <cell r="I131" t="str">
            <v>MOBIL AERO 120 - 12X0.95 LT CARTON</v>
          </cell>
        </row>
        <row r="132">
          <cell r="H132" t="str">
            <v>43-2179-008</v>
          </cell>
          <cell r="I132" t="str">
            <v>MOBIL AERO OIL 120 - 208 LT DRUM</v>
          </cell>
        </row>
        <row r="133">
          <cell r="H133" t="str">
            <v>44-0586-001</v>
          </cell>
          <cell r="I133" t="str">
            <v>MOBIL DELVAC 1140 - LITRES</v>
          </cell>
        </row>
        <row r="134">
          <cell r="H134" t="str">
            <v>44-0586-008</v>
          </cell>
          <cell r="I134" t="str">
            <v>MOBIL DELVAC 1140 - 208 LT</v>
          </cell>
        </row>
        <row r="135">
          <cell r="H135" t="str">
            <v>44-0586-020</v>
          </cell>
          <cell r="I135" t="str">
            <v>MOBIL DELVAC 1140 - 20 LT</v>
          </cell>
        </row>
        <row r="136">
          <cell r="H136" t="str">
            <v>44-0586-121</v>
          </cell>
          <cell r="I136" t="str">
            <v>MOBIL DELVAC 1140 - 12 X 1 LT</v>
          </cell>
        </row>
        <row r="137">
          <cell r="H137" t="str">
            <v>44-0586-145</v>
          </cell>
          <cell r="I137" t="str">
            <v>MOBIL DELVAC 1140 - 6 X 5 LT</v>
          </cell>
        </row>
        <row r="138">
          <cell r="H138" t="str">
            <v>44-0586-240</v>
          </cell>
          <cell r="I138" t="str">
            <v>MOBIL DELVAC 1140 - 40X0.5 LT</v>
          </cell>
        </row>
        <row r="139">
          <cell r="H139" t="str">
            <v>44-0586-242</v>
          </cell>
          <cell r="I139" t="str">
            <v>MOBIL DELVAC 1140 - 0.5 LT</v>
          </cell>
        </row>
        <row r="140">
          <cell r="H140" t="str">
            <v>44-0586-910</v>
          </cell>
          <cell r="I140" t="str">
            <v>MOBIL DELVAC 1140 - 210 LT</v>
          </cell>
        </row>
        <row r="141">
          <cell r="H141" t="str">
            <v>44-0586-945</v>
          </cell>
          <cell r="I141" t="str">
            <v>MOBIL DELVAC 1140 - 5 LT</v>
          </cell>
        </row>
        <row r="142">
          <cell r="H142" t="str">
            <v>44-0594-001</v>
          </cell>
          <cell r="I142" t="str">
            <v>MOBIL DELVAC 1150 - LITRES</v>
          </cell>
        </row>
        <row r="143">
          <cell r="H143" t="str">
            <v>44-0594-145</v>
          </cell>
          <cell r="I143" t="str">
            <v>MOBIL DELVAC 1150 - 4 X 5 LT</v>
          </cell>
        </row>
        <row r="144">
          <cell r="H144" t="str">
            <v>44-0594-945</v>
          </cell>
          <cell r="I144" t="str">
            <v>MOBIL DELVAC 1150 - 5 LT</v>
          </cell>
        </row>
        <row r="145">
          <cell r="H145" t="str">
            <v>44-0701-001</v>
          </cell>
          <cell r="I145" t="str">
            <v>MOBIL DELVAC 1310 - LITRES</v>
          </cell>
        </row>
        <row r="146">
          <cell r="H146" t="str">
            <v>44-0701-008</v>
          </cell>
          <cell r="I146" t="str">
            <v>MOBIL DELVAC 1310 - 208 LT DRUM</v>
          </cell>
        </row>
        <row r="147">
          <cell r="H147" t="str">
            <v>44-0701-020</v>
          </cell>
          <cell r="I147" t="str">
            <v>MOBIL DELVAC 1310 - 20 LT PAIL</v>
          </cell>
        </row>
        <row r="148">
          <cell r="H148" t="str">
            <v>44-0701-063</v>
          </cell>
          <cell r="I148" t="str">
            <v>MOBIL DELVAC 1310 - 200 LT</v>
          </cell>
        </row>
        <row r="149">
          <cell r="H149" t="str">
            <v>44-0727-001</v>
          </cell>
          <cell r="I149" t="str">
            <v/>
          </cell>
        </row>
        <row r="150">
          <cell r="H150" t="str">
            <v>44-0727-008</v>
          </cell>
          <cell r="I150" t="str">
            <v>MOBIL DELVAC 1330 - 208 LT DRUM</v>
          </cell>
        </row>
        <row r="151">
          <cell r="H151" t="str">
            <v>44-0727-020</v>
          </cell>
          <cell r="I151" t="str">
            <v>MOBIL DELVAC 1330 - 20 LT PAIL</v>
          </cell>
        </row>
        <row r="152">
          <cell r="H152" t="str">
            <v>44-0727-145</v>
          </cell>
          <cell r="I152" t="str">
            <v>MOBIL DELVAC 1330 - 4 X 5 LT</v>
          </cell>
        </row>
        <row r="153">
          <cell r="H153" t="str">
            <v>44-0727-905</v>
          </cell>
          <cell r="I153" t="str">
            <v>MOBIL DELVAC 1330 - 205 LT</v>
          </cell>
        </row>
        <row r="154">
          <cell r="H154" t="str">
            <v>44-0735-001</v>
          </cell>
          <cell r="I154" t="str">
            <v>MOBIL DELVAC 1340 - LITRES</v>
          </cell>
        </row>
        <row r="155">
          <cell r="H155" t="str">
            <v>44-0735-008</v>
          </cell>
          <cell r="I155" t="str">
            <v>MOBIL DELVAC 1340 - 208 LT DRUM</v>
          </cell>
        </row>
        <row r="156">
          <cell r="H156" t="str">
            <v>44-0735-020</v>
          </cell>
          <cell r="I156" t="str">
            <v>MOBIL DELVAC 1340 - 20 LT PAIL</v>
          </cell>
        </row>
        <row r="157">
          <cell r="H157" t="str">
            <v>44-0735-121</v>
          </cell>
          <cell r="I157" t="str">
            <v>MOBIL DELVAC 1340 - 12 X 1 LT CARTON</v>
          </cell>
        </row>
        <row r="158">
          <cell r="H158" t="str">
            <v>44-0735-144</v>
          </cell>
          <cell r="I158" t="str">
            <v>MOBIL DELVAC 1340 - 4 X 4 LT CARTON</v>
          </cell>
        </row>
        <row r="159">
          <cell r="H159" t="str">
            <v>44-0735-145</v>
          </cell>
          <cell r="I159" t="str">
            <v>MOBIL DELVAC 1340 - 4 X 5 LT</v>
          </cell>
        </row>
        <row r="160">
          <cell r="H160" t="str">
            <v>44-0735-910</v>
          </cell>
          <cell r="I160" t="str">
            <v>MOBIL DELVAC 1340 - 210 LT</v>
          </cell>
        </row>
        <row r="161">
          <cell r="H161" t="str">
            <v>44-0735-921</v>
          </cell>
          <cell r="I161" t="str">
            <v>MOBIL DELVAC 1340 - 1 LT CAN</v>
          </cell>
        </row>
        <row r="162">
          <cell r="H162" t="str">
            <v>44-0735-944</v>
          </cell>
          <cell r="I162" t="str">
            <v>MOBIL DELVAC 1340 - 4 LT CAN</v>
          </cell>
        </row>
        <row r="163">
          <cell r="H163" t="str">
            <v>44-0743-001</v>
          </cell>
          <cell r="I163" t="str">
            <v>MOBIL DELVAC 1350 - LITRES</v>
          </cell>
        </row>
        <row r="164">
          <cell r="H164" t="str">
            <v>44-0743-008</v>
          </cell>
          <cell r="I164" t="str">
            <v>MOBIL DELVAC 1350 - 208 LT DRUM</v>
          </cell>
        </row>
        <row r="165">
          <cell r="H165" t="str">
            <v>44-0743-020</v>
          </cell>
          <cell r="I165" t="str">
            <v>MOBIL DELVAC 1350 - 20 LT PAIL</v>
          </cell>
        </row>
        <row r="166">
          <cell r="H166" t="str">
            <v>44-0743-121</v>
          </cell>
          <cell r="I166" t="str">
            <v>MOBIL DELVAC 1350 - 12 X 1 LT CARTON</v>
          </cell>
        </row>
        <row r="167">
          <cell r="H167" t="str">
            <v>44-0743-144</v>
          </cell>
          <cell r="I167" t="str">
            <v>MOBIL DELVAC 1350 - 4 X 4 LT CARTON</v>
          </cell>
        </row>
        <row r="168">
          <cell r="H168" t="str">
            <v>44-0826-144</v>
          </cell>
          <cell r="I168" t="str">
            <v>MOBIL DELVAC 1430 - 4 X 4 LT</v>
          </cell>
        </row>
        <row r="169">
          <cell r="H169" t="str">
            <v>44-0834-001</v>
          </cell>
          <cell r="I169" t="str">
            <v>MOBIL DELVAC 1440 - LITRES</v>
          </cell>
        </row>
        <row r="170">
          <cell r="H170" t="str">
            <v>44-0834-008</v>
          </cell>
          <cell r="I170" t="str">
            <v>MOBIL DELVAC 1440 - 208 LT DRUM</v>
          </cell>
        </row>
        <row r="171">
          <cell r="H171" t="str">
            <v>44-0834-020</v>
          </cell>
          <cell r="I171" t="str">
            <v>MOBIL DELVAC 1440 - 20 LT PAIL</v>
          </cell>
        </row>
        <row r="172">
          <cell r="H172" t="str">
            <v>44-1048-000</v>
          </cell>
          <cell r="I172" t="str">
            <v>MOBIL DELVAC MX 15W 40 -BULK</v>
          </cell>
        </row>
        <row r="173">
          <cell r="H173" t="str">
            <v>44-1048-001</v>
          </cell>
          <cell r="I173" t="str">
            <v>MOBIL DELVAC MX 15W-40 - LITRES</v>
          </cell>
        </row>
        <row r="174">
          <cell r="H174" t="str">
            <v>44-1048-008</v>
          </cell>
          <cell r="I174" t="str">
            <v>MOBIL DELVAC MX 15W-40 - 208 LT DRUM</v>
          </cell>
        </row>
        <row r="175">
          <cell r="H175" t="str">
            <v>44-1048-020</v>
          </cell>
          <cell r="I175" t="str">
            <v>MOBIL DELVAC MX 15W-40 - 20 LT PAIL</v>
          </cell>
        </row>
        <row r="176">
          <cell r="H176" t="str">
            <v>44-1048-121</v>
          </cell>
          <cell r="I176" t="str">
            <v>MOBIL DELVAC MX 15W-40 - 12 X 1 LT CARTO</v>
          </cell>
        </row>
        <row r="177">
          <cell r="H177" t="str">
            <v>44-1048-144</v>
          </cell>
          <cell r="I177" t="str">
            <v>MOBIL DELVAC MX 15W-40 - 4 X 4 LT CARTON</v>
          </cell>
        </row>
        <row r="178">
          <cell r="H178" t="str">
            <v>44-1048-910</v>
          </cell>
          <cell r="I178" t="str">
            <v>MOBIL DELVAC MX 15W-40 - 210 LT</v>
          </cell>
        </row>
        <row r="179">
          <cell r="H179" t="str">
            <v>44-1048-944</v>
          </cell>
          <cell r="I179" t="str">
            <v>MOBIL DELVAC MX 15W-40 - 4 LT CAN</v>
          </cell>
        </row>
        <row r="180">
          <cell r="H180" t="str">
            <v>44-1204-020</v>
          </cell>
          <cell r="I180" t="str">
            <v>MOBIL DELVAC XHP SAE 15W-40 - 20 LT</v>
          </cell>
        </row>
        <row r="181">
          <cell r="H181" t="str">
            <v>44-1428-008</v>
          </cell>
          <cell r="I181" t="str">
            <v>MOBIL DELVAC 1 SHC - 208 LT DRUM</v>
          </cell>
        </row>
        <row r="182">
          <cell r="H182" t="str">
            <v>44-1428-020</v>
          </cell>
          <cell r="I182" t="str">
            <v>MOBIL DELVAC 1 SHC - 20 LT</v>
          </cell>
        </row>
        <row r="183">
          <cell r="H183" t="str">
            <v>47-5087-001</v>
          </cell>
          <cell r="I183" t="str">
            <v>MOBIL MOTOR OIL SAE 40 - LITRES</v>
          </cell>
        </row>
        <row r="184">
          <cell r="H184" t="str">
            <v>47-5087-020</v>
          </cell>
          <cell r="I184" t="str">
            <v>MOBIL MOTOR OIL SAE 40 - 20 LT</v>
          </cell>
        </row>
        <row r="185">
          <cell r="H185" t="str">
            <v>47-5087-121</v>
          </cell>
          <cell r="I185" t="str">
            <v>MOBIL MOTOR OIL SAE 40 - 12 X 1 LT</v>
          </cell>
        </row>
        <row r="186">
          <cell r="H186" t="str">
            <v>47-5087-144</v>
          </cell>
          <cell r="I186" t="str">
            <v>MOBIL MOTOR OIL SAE 40 - 4 X 4 LT</v>
          </cell>
        </row>
        <row r="187">
          <cell r="H187" t="str">
            <v>47-5087-145</v>
          </cell>
          <cell r="I187" t="str">
            <v>MOBIL MOTOR OIL SAE 40 - 4 X 5 LT</v>
          </cell>
        </row>
        <row r="188">
          <cell r="H188" t="str">
            <v>47-5087-245</v>
          </cell>
          <cell r="I188" t="str">
            <v>MOBIL MOTOR OIL SAE 40 - 32 X 1/2 LT</v>
          </cell>
        </row>
        <row r="189">
          <cell r="H189" t="str">
            <v>47-5090-020</v>
          </cell>
          <cell r="I189" t="str">
            <v>MOBIL MOTOR OIL SAE 50 - 20 LT</v>
          </cell>
        </row>
        <row r="190">
          <cell r="H190" t="str">
            <v>47-5095-001</v>
          </cell>
          <cell r="I190" t="str">
            <v>MOBIL MOTOR OIL SAE 50 - LITRES</v>
          </cell>
        </row>
        <row r="191">
          <cell r="H191" t="str">
            <v>47-5095-008</v>
          </cell>
          <cell r="I191" t="str">
            <v>MOBIL MOTOR OIL SAE 50 - 208 LT</v>
          </cell>
        </row>
        <row r="192">
          <cell r="H192" t="str">
            <v>47-5095-020</v>
          </cell>
          <cell r="I192" t="str">
            <v>MOBIL MOTOR OIL SAE 50 - 20 LT</v>
          </cell>
        </row>
        <row r="193">
          <cell r="H193" t="str">
            <v>47-5095-121</v>
          </cell>
          <cell r="I193" t="str">
            <v>MOBIL MOTOR OIL SAE 50 - 12 X 1 LT</v>
          </cell>
        </row>
        <row r="194">
          <cell r="H194" t="str">
            <v>47-5095-144</v>
          </cell>
          <cell r="I194" t="str">
            <v>MOBIL MOTOR OIL SAE 50 - 4 X 4 LT</v>
          </cell>
        </row>
        <row r="195">
          <cell r="H195" t="str">
            <v>47-5095-145</v>
          </cell>
          <cell r="I195" t="str">
            <v>MOBIL MOTOR OIL SAE 50 - 4 X 5 LT</v>
          </cell>
        </row>
        <row r="196">
          <cell r="H196" t="str">
            <v>47-5095-245</v>
          </cell>
          <cell r="I196" t="str">
            <v>MOBIL MOTOR OIL SAE 50 - 32  X 1/2 LT</v>
          </cell>
        </row>
        <row r="197">
          <cell r="H197" t="str">
            <v>47-5095-910</v>
          </cell>
          <cell r="I197" t="str">
            <v>MOBIL MOTOR OIL SAE 50 - 210 LT</v>
          </cell>
        </row>
        <row r="198">
          <cell r="H198" t="str">
            <v>47-8784-001</v>
          </cell>
          <cell r="I198" t="str">
            <v>CAT DEO CG-4 15W40 - BULK LTRS</v>
          </cell>
        </row>
        <row r="199">
          <cell r="H199" t="str">
            <v>47-8784-008</v>
          </cell>
          <cell r="I199" t="str">
            <v>CAT DEO CG-4 15W40 - 208 LT</v>
          </cell>
        </row>
        <row r="200">
          <cell r="H200" t="str">
            <v>47-8784-020</v>
          </cell>
          <cell r="I200" t="str">
            <v>CAT DEO CG-4 15W40 - 20 LT</v>
          </cell>
        </row>
        <row r="201">
          <cell r="H201" t="str">
            <v>47-8784-144</v>
          </cell>
          <cell r="I201" t="str">
            <v>CAT DEO CG-4 15W40 - 4 X 4 LT</v>
          </cell>
        </row>
        <row r="202">
          <cell r="H202" t="str">
            <v>47-8909-008</v>
          </cell>
          <cell r="I202" t="str">
            <v>CAT HYDO 10W - 208 LT</v>
          </cell>
        </row>
        <row r="203">
          <cell r="H203" t="str">
            <v>47-8909-020</v>
          </cell>
          <cell r="I203" t="str">
            <v>CAT HYDO 10W - 20 LT</v>
          </cell>
        </row>
        <row r="204">
          <cell r="H204" t="str">
            <v>48-0269-001</v>
          </cell>
          <cell r="I204" t="str">
            <v>MOBIL SUPER 20W - 50 - LITRES</v>
          </cell>
        </row>
        <row r="205">
          <cell r="H205" t="str">
            <v>48-0269-008</v>
          </cell>
          <cell r="I205" t="str">
            <v>MOBIL SUPER 20W - 50 - 208 LT DRUM</v>
          </cell>
        </row>
        <row r="206">
          <cell r="H206" t="str">
            <v>48-0269-020</v>
          </cell>
          <cell r="I206" t="str">
            <v>MOBIL SUPER 20W - 50 - 20 LT PAIL</v>
          </cell>
        </row>
        <row r="207">
          <cell r="H207" t="str">
            <v>48-0269-121</v>
          </cell>
          <cell r="I207" t="str">
            <v>MOBIL SUPER 20W - 50 - 12 X 1 LT CARTON</v>
          </cell>
        </row>
        <row r="208">
          <cell r="H208" t="str">
            <v>48-0269-144</v>
          </cell>
          <cell r="I208" t="str">
            <v>MOBIL SUPER 20W - 50 - 4 X 4 LT CARTON</v>
          </cell>
        </row>
        <row r="209">
          <cell r="H209" t="str">
            <v>48-0269-910</v>
          </cell>
          <cell r="I209" t="str">
            <v>MOBIL SUPER 20W - 50 - 210 LT</v>
          </cell>
        </row>
        <row r="210">
          <cell r="H210" t="str">
            <v>48-0269-921</v>
          </cell>
          <cell r="I210" t="str">
            <v>MOBIL SUPER 20W - 50 - 1 LT CAN</v>
          </cell>
        </row>
        <row r="211">
          <cell r="H211" t="str">
            <v>48-0269-944</v>
          </cell>
          <cell r="I211" t="str">
            <v>MOBIL SUPER 20W - 50 - 4 LT CAN</v>
          </cell>
        </row>
        <row r="212">
          <cell r="H212" t="str">
            <v>48-0269-945</v>
          </cell>
          <cell r="I212" t="str">
            <v>MOBIL SUPER 20W - 50 - 5 LT</v>
          </cell>
        </row>
        <row r="213">
          <cell r="H213" t="str">
            <v>48-0426-144</v>
          </cell>
          <cell r="I213" t="str">
            <v>MOBIL SUPER S 15W40 - 4 X 4 LT</v>
          </cell>
        </row>
        <row r="214">
          <cell r="H214" t="str">
            <v>48-0566-001</v>
          </cell>
          <cell r="I214" t="str">
            <v>MOBIL SUPER XHP 20W - 50 - LITRES</v>
          </cell>
        </row>
        <row r="215">
          <cell r="H215" t="str">
            <v>48-0566-008</v>
          </cell>
          <cell r="I215" t="str">
            <v>MOBIL SUPER XHP 20W - 50 - 208 LT DRUM</v>
          </cell>
        </row>
        <row r="216">
          <cell r="H216" t="str">
            <v>48-0566-020</v>
          </cell>
          <cell r="I216" t="str">
            <v>MOBIL SUPER XHP 20W - 50 - 20 LT PAIL</v>
          </cell>
        </row>
        <row r="217">
          <cell r="H217" t="str">
            <v>48-1184-001</v>
          </cell>
          <cell r="I217" t="str">
            <v>MOBIL 1 15W - 50 - LITRES</v>
          </cell>
        </row>
        <row r="218">
          <cell r="H218" t="str">
            <v>48-1184-008</v>
          </cell>
          <cell r="I218" t="str">
            <v>MOBIL 1 15W - 50 - 208 LT DRUM</v>
          </cell>
        </row>
        <row r="219">
          <cell r="H219" t="str">
            <v>48-1184-020</v>
          </cell>
          <cell r="I219" t="str">
            <v>MOBIL 1 15W - 50 - 20 LT PAIL</v>
          </cell>
        </row>
        <row r="220">
          <cell r="H220" t="str">
            <v>48-1184-121</v>
          </cell>
          <cell r="I220" t="str">
            <v>MOBIL 1 15W - 50 - 12 X 1 LT CARTON</v>
          </cell>
        </row>
        <row r="221">
          <cell r="H221" t="str">
            <v>48-1184-144</v>
          </cell>
          <cell r="I221" t="str">
            <v>MOBIL 1 15W - 50 - 4 X 4 LT CARTON</v>
          </cell>
        </row>
        <row r="222">
          <cell r="H222" t="str">
            <v>49-0128-002</v>
          </cell>
          <cell r="I222" t="str">
            <v>MOBIL AERO HF - 24X0.95 LT CARTON</v>
          </cell>
        </row>
        <row r="223">
          <cell r="H223" t="str">
            <v>49-0128-020</v>
          </cell>
          <cell r="I223" t="str">
            <v>MOBIL AERO HF - 6 X 1USG CARTON</v>
          </cell>
        </row>
        <row r="224">
          <cell r="H224" t="str">
            <v>49-0128-021</v>
          </cell>
          <cell r="I224" t="str">
            <v>MOBIL AERO HF - 1X5USG PAIL</v>
          </cell>
        </row>
        <row r="225">
          <cell r="H225" t="str">
            <v>49-0128-144</v>
          </cell>
          <cell r="I225" t="str">
            <v>MOBIL AERO HF - 4 X 4 LT</v>
          </cell>
        </row>
        <row r="226">
          <cell r="H226" t="str">
            <v>49-0128-241</v>
          </cell>
          <cell r="I226" t="str">
            <v>MOBIL AERO HF - 6X3.79 LT CARTON</v>
          </cell>
        </row>
        <row r="227">
          <cell r="H227" t="str">
            <v>49-1280-020</v>
          </cell>
          <cell r="I227" t="str">
            <v>MOBIL AERO HF - 18.9 LITRES</v>
          </cell>
        </row>
        <row r="228">
          <cell r="H228" t="str">
            <v>51-0156-001</v>
          </cell>
          <cell r="I228" t="str">
            <v>MOBILUBE HD 80W90 - LITRES</v>
          </cell>
        </row>
        <row r="229">
          <cell r="H229" t="str">
            <v>51-0156-008</v>
          </cell>
          <cell r="I229" t="str">
            <v>MOBILUBE HD 80W90 - 208 LT DRUM</v>
          </cell>
        </row>
        <row r="230">
          <cell r="H230" t="str">
            <v>51-0156-020</v>
          </cell>
          <cell r="I230" t="str">
            <v>MOBILUBE HD 80W90 - 20 LT PAIL</v>
          </cell>
        </row>
        <row r="231">
          <cell r="H231" t="str">
            <v>51-0156-121</v>
          </cell>
          <cell r="I231" t="str">
            <v>MOBILUBE HD 80W90 - 12 X 1 LT CARTON</v>
          </cell>
        </row>
        <row r="232">
          <cell r="H232" t="str">
            <v>51-0156-144</v>
          </cell>
          <cell r="I232" t="str">
            <v>MOBILUBE HD 80W90 - 4 X 4 LT CARTON</v>
          </cell>
        </row>
        <row r="233">
          <cell r="H233" t="str">
            <v>51-0156-145</v>
          </cell>
          <cell r="I233" t="str">
            <v>MOBILUBE HD 80W90 - 4 X 5 LT CARTON</v>
          </cell>
        </row>
        <row r="234">
          <cell r="H234" t="str">
            <v>51-0156-910</v>
          </cell>
          <cell r="I234" t="str">
            <v>MOBILUBE HD 80W90 - 210 LT</v>
          </cell>
        </row>
        <row r="235">
          <cell r="H235" t="str">
            <v>51-0156-921</v>
          </cell>
          <cell r="I235" t="str">
            <v>MOBILUBE HD 80W90 - 1 LT CAN</v>
          </cell>
        </row>
        <row r="236">
          <cell r="H236" t="str">
            <v>51-0156-945</v>
          </cell>
          <cell r="I236" t="str">
            <v>MOBILUBE HD 80W90 - 5 LT</v>
          </cell>
        </row>
        <row r="237">
          <cell r="H237" t="str">
            <v>51-0198-001</v>
          </cell>
          <cell r="I237" t="str">
            <v>MOBILUBE HD85W140 - LITRES</v>
          </cell>
        </row>
        <row r="238">
          <cell r="H238" t="str">
            <v>51-0198-008</v>
          </cell>
          <cell r="I238" t="str">
            <v>MOBILUBE HD85W140 - 208 LT DRUM</v>
          </cell>
        </row>
        <row r="239">
          <cell r="H239" t="str">
            <v>51-0198-020</v>
          </cell>
          <cell r="I239" t="str">
            <v>MOBILUBE HD85W140 - 20 LT PAIL</v>
          </cell>
        </row>
        <row r="240">
          <cell r="H240" t="str">
            <v>51-0198-121</v>
          </cell>
          <cell r="I240" t="str">
            <v>MOBILUBE HD85W140 - 12 X 1 LT CARTON</v>
          </cell>
        </row>
        <row r="241">
          <cell r="H241" t="str">
            <v>51-0198-144</v>
          </cell>
          <cell r="I241" t="str">
            <v>MOBILUBE HD85W140 - 4 X 4 LT CARTON</v>
          </cell>
        </row>
        <row r="242">
          <cell r="H242" t="str">
            <v>51-0198-145</v>
          </cell>
          <cell r="I242" t="str">
            <v>MOBILUBE HD85W140 - 4 X 5 LT CARTON</v>
          </cell>
        </row>
        <row r="243">
          <cell r="H243" t="str">
            <v>51-0198-240</v>
          </cell>
          <cell r="I243" t="str">
            <v>MOBILUBE HD85W140 - 40X0.5 LT</v>
          </cell>
        </row>
        <row r="244">
          <cell r="H244" t="str">
            <v>51-0198-910</v>
          </cell>
          <cell r="I244" t="str">
            <v>MOBIL HD 80W140 - 210 LT</v>
          </cell>
        </row>
        <row r="245">
          <cell r="H245" t="str">
            <v>51-0198-944</v>
          </cell>
          <cell r="I245" t="str">
            <v>MOBILUBE HD85W140 - 4 LT CAN</v>
          </cell>
        </row>
        <row r="246">
          <cell r="H246" t="str">
            <v>51-0198-945</v>
          </cell>
          <cell r="I246" t="str">
            <v>MOBIL HD 80W140 - 5 LT</v>
          </cell>
        </row>
        <row r="247">
          <cell r="H247" t="str">
            <v>51-0222-020</v>
          </cell>
          <cell r="I247" t="str">
            <v>MOBILUBE GX 80W-A - 20 LT PAIL</v>
          </cell>
        </row>
        <row r="248">
          <cell r="H248" t="str">
            <v>51-0263-008</v>
          </cell>
          <cell r="I248" t="str">
            <v>MOBIL GL4 85W140 - 208 LT DRUM</v>
          </cell>
        </row>
        <row r="249">
          <cell r="H249" t="str">
            <v>51-1006-020</v>
          </cell>
          <cell r="I249" t="str">
            <v>MOBILUBE SHC 75W-90 - 20 LT</v>
          </cell>
        </row>
        <row r="250">
          <cell r="H250" t="str">
            <v>51-1008-020</v>
          </cell>
          <cell r="I250" t="str">
            <v>MOBILUBE 1 SHC 75W-90 - 20 LT</v>
          </cell>
        </row>
        <row r="251">
          <cell r="H251" t="str">
            <v>51-1014-020</v>
          </cell>
          <cell r="I251" t="str">
            <v>MOBILUBE SHC 80W - 140 - 20 LT</v>
          </cell>
        </row>
        <row r="252">
          <cell r="H252" t="str">
            <v>51-1014-021</v>
          </cell>
          <cell r="I252" t="str">
            <v>MOBILUBE SHC 80W - 140 - 1 X 25 LT</v>
          </cell>
        </row>
        <row r="253">
          <cell r="H253" t="str">
            <v>51-1014-022</v>
          </cell>
          <cell r="I253" t="str">
            <v>MOBILUBE SHC 80W - 140 - 17.2 LT PAIL</v>
          </cell>
        </row>
        <row r="254">
          <cell r="H254" t="str">
            <v>51-1139-001</v>
          </cell>
          <cell r="I254" t="str">
            <v>MOBILTRANS HD30 - LITRES</v>
          </cell>
        </row>
        <row r="255">
          <cell r="H255" t="str">
            <v>51-1139-008</v>
          </cell>
          <cell r="I255" t="str">
            <v>MOBILTRANS HD30 - 208 LT</v>
          </cell>
        </row>
        <row r="256">
          <cell r="H256" t="str">
            <v>51-1139-020</v>
          </cell>
          <cell r="I256" t="str">
            <v>MOBILTRANS HD30 - 20 LT</v>
          </cell>
        </row>
        <row r="257">
          <cell r="H257" t="str">
            <v>51-1147-001</v>
          </cell>
          <cell r="I257" t="str">
            <v>MOBILTRANS HD50 - LITRES</v>
          </cell>
        </row>
        <row r="258">
          <cell r="H258" t="str">
            <v>51-1147-008</v>
          </cell>
          <cell r="I258" t="str">
            <v>MOBILTRANS HD50 - 208 LT DRUM</v>
          </cell>
        </row>
        <row r="259">
          <cell r="H259" t="str">
            <v>51-1147-020</v>
          </cell>
          <cell r="I259" t="str">
            <v>MOBILTRANS HD50 - 20 LT</v>
          </cell>
        </row>
        <row r="260">
          <cell r="H260" t="str">
            <v>51-1147-144</v>
          </cell>
          <cell r="I260" t="str">
            <v>MOBILTRANS HD50 - 4 X 4 LT</v>
          </cell>
        </row>
        <row r="261">
          <cell r="H261" t="str">
            <v>51-1280-008</v>
          </cell>
          <cell r="I261" t="str">
            <v>MOBILUBE LS 85W90 - 208 LT</v>
          </cell>
        </row>
        <row r="262">
          <cell r="H262" t="str">
            <v>51-1280-020</v>
          </cell>
          <cell r="I262" t="str">
            <v>MOBILUBE LS 85W90 - 20 LT</v>
          </cell>
        </row>
        <row r="263">
          <cell r="H263" t="str">
            <v>51-1287-008</v>
          </cell>
          <cell r="I263" t="str">
            <v>MOBILUBE LS 85W90 - 208 LT</v>
          </cell>
        </row>
        <row r="264">
          <cell r="H264" t="str">
            <v>51-1287-020</v>
          </cell>
          <cell r="I264" t="str">
            <v>MOBILUBE LS 85W90 - 20 LT</v>
          </cell>
        </row>
        <row r="265">
          <cell r="H265" t="str">
            <v>52-0254-008</v>
          </cell>
          <cell r="I265" t="str">
            <v>MOBIL ATF DEXTRON 111 - 208 LT DRUM</v>
          </cell>
        </row>
        <row r="266">
          <cell r="H266" t="str">
            <v>52-0254-121</v>
          </cell>
          <cell r="I266" t="str">
            <v>MOBIL ATF DEXTRON 111 - 12X1 LT CARTON</v>
          </cell>
        </row>
        <row r="267">
          <cell r="H267" t="str">
            <v>52-2177-000</v>
          </cell>
          <cell r="I267" t="str">
            <v>MOBIL ATF 220 - KILOS</v>
          </cell>
        </row>
        <row r="268">
          <cell r="H268" t="str">
            <v>52-2177-001</v>
          </cell>
          <cell r="I268" t="str">
            <v>MOBIL ATF 220 - LITRES</v>
          </cell>
        </row>
        <row r="269">
          <cell r="H269" t="str">
            <v>52-2177-008</v>
          </cell>
          <cell r="I269" t="str">
            <v>MOBIL ATF 220 - 208 LT DRUM</v>
          </cell>
        </row>
        <row r="270">
          <cell r="H270" t="str">
            <v>52-2177-020</v>
          </cell>
          <cell r="I270" t="str">
            <v>MOBIL ATF 220 - 20 LT PAIL</v>
          </cell>
        </row>
        <row r="271">
          <cell r="H271" t="str">
            <v>52-2177-121</v>
          </cell>
          <cell r="I271" t="str">
            <v>MOBIL ATF 220 - 12 X 1 LT CARTON</v>
          </cell>
        </row>
        <row r="272">
          <cell r="H272" t="str">
            <v>52-2177-144</v>
          </cell>
          <cell r="I272" t="str">
            <v>MOBIL ATF 220 - 4 X 4 LT CARTON</v>
          </cell>
        </row>
        <row r="273">
          <cell r="H273" t="str">
            <v>52-2177-921</v>
          </cell>
          <cell r="I273" t="str">
            <v>MOBIL ATF 220 - 1 LT CAN</v>
          </cell>
        </row>
        <row r="274">
          <cell r="H274" t="str">
            <v>52-2177-944</v>
          </cell>
          <cell r="I274" t="str">
            <v>MOBIL ATF 220 - 4 LT CAN</v>
          </cell>
        </row>
        <row r="275">
          <cell r="H275" t="str">
            <v>52-2334-001</v>
          </cell>
          <cell r="I275" t="str">
            <v>MOBILFLUID 424 - LITRES</v>
          </cell>
        </row>
        <row r="276">
          <cell r="H276" t="str">
            <v>52-2334-008</v>
          </cell>
          <cell r="I276" t="str">
            <v>MOBILFLUID 424 - 208 LT DRUM</v>
          </cell>
        </row>
        <row r="277">
          <cell r="H277" t="str">
            <v>52-2334-020</v>
          </cell>
          <cell r="I277" t="str">
            <v>MOBILFLUID 424 - 20 LT PAIL</v>
          </cell>
        </row>
        <row r="278">
          <cell r="H278" t="str">
            <v>52-5014-020</v>
          </cell>
          <cell r="I278" t="str">
            <v>MOBIL ATF D 21412 - 20 LT</v>
          </cell>
        </row>
        <row r="279">
          <cell r="H279" t="str">
            <v>53-0204-050</v>
          </cell>
          <cell r="I279" t="str">
            <v>MOBIL GREASE MP - 1 X 50 KG  KEG</v>
          </cell>
        </row>
        <row r="280">
          <cell r="H280" t="str">
            <v>53-0204-123</v>
          </cell>
          <cell r="I280" t="str">
            <v>MOBIL GREASE MP - 12 X 1 KG</v>
          </cell>
        </row>
        <row r="281">
          <cell r="H281" t="str">
            <v>53-0204-163</v>
          </cell>
          <cell r="I281" t="str">
            <v>MOBIL GREASE MP - 6 X 3 KG</v>
          </cell>
        </row>
        <row r="282">
          <cell r="H282" t="str">
            <v>53-0220-009</v>
          </cell>
          <cell r="I282" t="str">
            <v>MOBILGREASE HP 103 - 180 KG DRUM</v>
          </cell>
        </row>
        <row r="283">
          <cell r="H283" t="str">
            <v>53-0220-020</v>
          </cell>
          <cell r="I283" t="str">
            <v>MOBILGREASE HP 103 - 18 KG</v>
          </cell>
        </row>
        <row r="284">
          <cell r="H284" t="str">
            <v>53-0220-021</v>
          </cell>
          <cell r="I284" t="str">
            <v>MOBILGREASE HP 103 - 20 KG BAG</v>
          </cell>
        </row>
        <row r="285">
          <cell r="H285" t="str">
            <v>53-0220-990</v>
          </cell>
          <cell r="I285" t="str">
            <v>MOBILGREASE HP 103 - 190 KG</v>
          </cell>
        </row>
        <row r="286">
          <cell r="H286" t="str">
            <v>53-0311-009</v>
          </cell>
          <cell r="I286" t="str">
            <v>MOBILGREASE HP 222 - 180 KG DRUM</v>
          </cell>
        </row>
        <row r="287">
          <cell r="H287" t="str">
            <v>53-0311-020</v>
          </cell>
          <cell r="I287" t="str">
            <v>MOBILGREASE HP 222 - 18 KG</v>
          </cell>
        </row>
        <row r="288">
          <cell r="H288" t="str">
            <v>53-0311-021</v>
          </cell>
          <cell r="I288" t="str">
            <v>MOBILGREASE HP 222 - 20 KG BAG</v>
          </cell>
        </row>
        <row r="289">
          <cell r="H289" t="str">
            <v>53-0345-009</v>
          </cell>
          <cell r="I289" t="str">
            <v>MOBILGREASE HP 322 SPECIAL - 180 KG</v>
          </cell>
        </row>
        <row r="290">
          <cell r="H290" t="str">
            <v>53-0626-246</v>
          </cell>
          <cell r="I290" t="str">
            <v>MOBIL GREASE 28 - 6 X 2.27 KG</v>
          </cell>
        </row>
        <row r="291">
          <cell r="H291" t="str">
            <v>55-4154-008</v>
          </cell>
          <cell r="I291" t="str">
            <v>INFILREX 33 - 208 LT DRUM</v>
          </cell>
        </row>
        <row r="292">
          <cell r="H292" t="str">
            <v>55-4154-020</v>
          </cell>
          <cell r="I292" t="str">
            <v>INFILREX 33 - 20 LT PAIL</v>
          </cell>
        </row>
        <row r="293">
          <cell r="H293" t="str">
            <v>56-4666-008</v>
          </cell>
          <cell r="I293" t="str">
            <v>TDTO TO - 4 SAE 30 - 208 LT</v>
          </cell>
        </row>
        <row r="294">
          <cell r="H294" t="str">
            <v>56-4666-020</v>
          </cell>
          <cell r="I294" t="str">
            <v>TDTO TO - 4 SAE 30 - 20 LT</v>
          </cell>
        </row>
        <row r="295">
          <cell r="H295" t="str">
            <v>56-4674-008</v>
          </cell>
          <cell r="I295" t="str">
            <v>TDTO TO - 4 SAE 50 - 208 LT</v>
          </cell>
        </row>
        <row r="296">
          <cell r="H296" t="str">
            <v>56-4674-020</v>
          </cell>
          <cell r="I296" t="str">
            <v>TDTO TO - 4 SAE 50 - 20 LT</v>
          </cell>
        </row>
        <row r="297">
          <cell r="H297" t="str">
            <v>60-0148-008</v>
          </cell>
          <cell r="I297" t="str">
            <v>MOBIL DTE OIL LIGHT - 208 LT DRUM</v>
          </cell>
        </row>
        <row r="298">
          <cell r="H298" t="str">
            <v>60-0155-008</v>
          </cell>
          <cell r="I298" t="str">
            <v>MOBIL DTE OIL MEDIUM - 208 LT DRUM</v>
          </cell>
        </row>
        <row r="299">
          <cell r="H299" t="str">
            <v>60-0163-008</v>
          </cell>
          <cell r="I299" t="str">
            <v>MOBIL DTE OIL HEAVY MEDIUM - 208 LT DRUM</v>
          </cell>
        </row>
        <row r="300">
          <cell r="H300" t="str">
            <v>60-0189-001</v>
          </cell>
          <cell r="I300" t="str">
            <v>MOBIL DTE OIL HEAVY - LITRES</v>
          </cell>
        </row>
        <row r="301">
          <cell r="H301" t="str">
            <v>60-0189-008</v>
          </cell>
          <cell r="I301" t="str">
            <v>MOBIL DTE OIL HEAVY - 208 LT</v>
          </cell>
        </row>
        <row r="302">
          <cell r="H302" t="str">
            <v>60-0205-001</v>
          </cell>
          <cell r="I302" t="str">
            <v>MOBIL DTE OIL EXTRA HEAVY - LITRES</v>
          </cell>
        </row>
        <row r="303">
          <cell r="H303" t="str">
            <v>60-0205-008</v>
          </cell>
          <cell r="I303" t="str">
            <v>MOBIL DTE OIL EXTRA HEAVY - 208 LT DRUM</v>
          </cell>
        </row>
        <row r="304">
          <cell r="H304" t="str">
            <v>60-0510-008</v>
          </cell>
          <cell r="I304" t="str">
            <v>MOBIL VACTRA OIL NO. 4 - 208 LT DRUM</v>
          </cell>
        </row>
        <row r="305">
          <cell r="H305" t="str">
            <v>60-0510-020</v>
          </cell>
          <cell r="I305" t="str">
            <v>MOBIL VACTRA OIL NO. 4 - 20 LTR</v>
          </cell>
        </row>
        <row r="306">
          <cell r="H306" t="str">
            <v>60-0668-008</v>
          </cell>
          <cell r="I306" t="str">
            <v>MOBIL VELOCITE OIL NO. 6 - 208 LT DRUM</v>
          </cell>
        </row>
        <row r="307">
          <cell r="H307" t="str">
            <v>60-0668-018</v>
          </cell>
          <cell r="I307" t="str">
            <v>VELOCITE NO. 6 18 KG</v>
          </cell>
        </row>
        <row r="308">
          <cell r="H308" t="str">
            <v>60-0668-020</v>
          </cell>
          <cell r="I308" t="str">
            <v>MOBIL VELOCITE OIL NO. 6 - 20 LT PAIL</v>
          </cell>
        </row>
        <row r="309">
          <cell r="H309" t="str">
            <v>60-0791-020</v>
          </cell>
          <cell r="I309" t="str">
            <v>MOBIL GARGOYLE ARCTIC SHC 226E - 20 LT P</v>
          </cell>
        </row>
        <row r="310">
          <cell r="H310" t="str">
            <v>60-1021-020</v>
          </cell>
          <cell r="I310" t="str">
            <v>GARGOYLE ARCTIC SHC 426 - 20 LT</v>
          </cell>
        </row>
        <row r="311">
          <cell r="H311" t="str">
            <v>60-1211-008</v>
          </cell>
          <cell r="I311" t="str">
            <v>MOBIL 600W SUPER CYLINDER OIL -208 LT DR</v>
          </cell>
        </row>
        <row r="312">
          <cell r="H312" t="str">
            <v>60-1732-020</v>
          </cell>
          <cell r="I312" t="str">
            <v>GARGOYLE ARCTIC 300 - 20 LT</v>
          </cell>
        </row>
        <row r="313">
          <cell r="H313" t="str">
            <v>60-1740-008</v>
          </cell>
          <cell r="I313" t="str">
            <v>MOBIL GARGOYLE ARCTIC OIL 300 -208 LT DR</v>
          </cell>
        </row>
        <row r="314">
          <cell r="H314" t="str">
            <v>60-1740-020</v>
          </cell>
          <cell r="I314" t="str">
            <v>MOBIL GARGOYLE ARCTIC OIL 300 - 20 LT PA</v>
          </cell>
        </row>
        <row r="315">
          <cell r="H315" t="str">
            <v>60-1997-001</v>
          </cell>
          <cell r="I315" t="str">
            <v>MOBIL STERN TUBE LUBRICANT - LITRES</v>
          </cell>
        </row>
        <row r="316">
          <cell r="H316" t="str">
            <v>60-1997-008</v>
          </cell>
          <cell r="I316" t="str">
            <v>MOBIL STERN TUBE LUBRICANT - 208 LT DRUM</v>
          </cell>
        </row>
        <row r="317">
          <cell r="H317" t="str">
            <v>60-1997-020</v>
          </cell>
          <cell r="I317" t="str">
            <v>MOBIL STERN TUBE LUBRICANT - 20 LT PAIL</v>
          </cell>
        </row>
        <row r="318">
          <cell r="H318" t="str">
            <v>60-2177-001</v>
          </cell>
          <cell r="I318" t="str">
            <v>MOBILGARD 330 - LITRES</v>
          </cell>
        </row>
        <row r="319">
          <cell r="H319" t="str">
            <v>60-2177-008</v>
          </cell>
          <cell r="I319" t="str">
            <v>MOBILGARD 330 - 208 LT DRUM</v>
          </cell>
        </row>
        <row r="320">
          <cell r="H320" t="str">
            <v>60-2177-910</v>
          </cell>
          <cell r="I320" t="str">
            <v>MOBILGARD 330 - 210 LT</v>
          </cell>
        </row>
        <row r="321">
          <cell r="H321" t="str">
            <v>60-2219-001</v>
          </cell>
          <cell r="I321" t="str">
            <v>MOBILGARD 440 - LITRES</v>
          </cell>
        </row>
        <row r="322">
          <cell r="H322" t="str">
            <v>60-2219-008</v>
          </cell>
          <cell r="I322" t="str">
            <v>MOBILGARD 440 - 208 LT DRUM</v>
          </cell>
        </row>
        <row r="323">
          <cell r="H323" t="str">
            <v>60-2219-020</v>
          </cell>
          <cell r="I323" t="str">
            <v>MOBILGARD 440 - 20 LT</v>
          </cell>
        </row>
        <row r="324">
          <cell r="H324" t="str">
            <v>60-2391-001</v>
          </cell>
          <cell r="I324" t="str">
            <v>MOBILGARD ADL 30 - LITRES</v>
          </cell>
        </row>
        <row r="325">
          <cell r="H325" t="str">
            <v>60-2391-008</v>
          </cell>
          <cell r="I325" t="str">
            <v>MOBILGARD ADL 30 - 208 LT</v>
          </cell>
        </row>
        <row r="326">
          <cell r="H326" t="str">
            <v>60-2391-020</v>
          </cell>
          <cell r="I326" t="str">
            <v>MOBILGARD ADL 30 - 20 LT</v>
          </cell>
        </row>
        <row r="327">
          <cell r="H327" t="str">
            <v>60-2417-001</v>
          </cell>
          <cell r="I327" t="str">
            <v>MOBILGARD ADL 40 - LITRES</v>
          </cell>
        </row>
        <row r="328">
          <cell r="H328" t="str">
            <v>60-2417-008</v>
          </cell>
          <cell r="I328" t="str">
            <v>MOBILGARD ADL 40 - 208 LT DRUM</v>
          </cell>
        </row>
        <row r="329">
          <cell r="H329" t="str">
            <v>60-2417-020</v>
          </cell>
          <cell r="I329" t="str">
            <v>MOBILGARD ADL 40 - 20 LT</v>
          </cell>
        </row>
        <row r="330">
          <cell r="H330" t="str">
            <v>60-2474-001</v>
          </cell>
          <cell r="I330" t="str">
            <v>MOBILGARD 312 - LITRES</v>
          </cell>
        </row>
        <row r="331">
          <cell r="H331" t="str">
            <v>60-2474-008</v>
          </cell>
          <cell r="I331" t="str">
            <v>MOBILGARD 312 - 208 LT DRUM</v>
          </cell>
        </row>
        <row r="332">
          <cell r="H332" t="str">
            <v>60-2474-020</v>
          </cell>
          <cell r="I332" t="str">
            <v>MOBILGARD 312 - 20 LT PAIL</v>
          </cell>
        </row>
        <row r="333">
          <cell r="H333" t="str">
            <v>60-2474-910</v>
          </cell>
          <cell r="I333" t="str">
            <v>MOBILGARD 312 - 210 LT</v>
          </cell>
        </row>
        <row r="334">
          <cell r="H334" t="str">
            <v>60-2482-000</v>
          </cell>
          <cell r="I334" t="str">
            <v>MOBILGARD 412 - KILOS</v>
          </cell>
        </row>
        <row r="335">
          <cell r="H335" t="str">
            <v>60-2482-001</v>
          </cell>
          <cell r="I335" t="str">
            <v>MOBILGARD 412 - LITRES</v>
          </cell>
        </row>
        <row r="336">
          <cell r="H336" t="str">
            <v>60-2482-008</v>
          </cell>
          <cell r="I336" t="str">
            <v>MOBILGARD 412 - 208 LT DRUM</v>
          </cell>
        </row>
        <row r="337">
          <cell r="H337" t="str">
            <v>60-2482-020</v>
          </cell>
          <cell r="I337" t="str">
            <v>MOBILGARD 412 - 20 LT</v>
          </cell>
        </row>
        <row r="338">
          <cell r="H338" t="str">
            <v>60-2482-905</v>
          </cell>
          <cell r="I338" t="str">
            <v>MOBILGARD 412 - 205 LT</v>
          </cell>
        </row>
        <row r="339">
          <cell r="H339" t="str">
            <v>60-2482-910</v>
          </cell>
          <cell r="I339" t="str">
            <v>MOBILGARD 412 - 210 LT</v>
          </cell>
        </row>
        <row r="340">
          <cell r="H340" t="str">
            <v>60-2557-008</v>
          </cell>
          <cell r="I340" t="str">
            <v>MOBILGARD 324 - 208 LT</v>
          </cell>
        </row>
        <row r="341">
          <cell r="H341" t="str">
            <v>60-2560-000</v>
          </cell>
          <cell r="I341" t="str">
            <v>MOBILGARD 430 - BULK KILOS</v>
          </cell>
        </row>
        <row r="342">
          <cell r="H342" t="str">
            <v>60-2560-001</v>
          </cell>
          <cell r="I342" t="str">
            <v>MOBILGARD 430 - BULK LT</v>
          </cell>
        </row>
        <row r="343">
          <cell r="H343" t="str">
            <v>60-2560-008</v>
          </cell>
          <cell r="I343" t="str">
            <v>MOBILGARD 430 - 208 LT</v>
          </cell>
        </row>
        <row r="344">
          <cell r="H344" t="str">
            <v>60-2565-000</v>
          </cell>
          <cell r="I344" t="str">
            <v>MOBILGARD 430 - KILOS</v>
          </cell>
        </row>
        <row r="345">
          <cell r="H345" t="str">
            <v>60-2565-001</v>
          </cell>
          <cell r="I345" t="str">
            <v>MOBILGARD 430 - BULK LT</v>
          </cell>
        </row>
        <row r="346">
          <cell r="H346" t="str">
            <v>60-2565-008</v>
          </cell>
          <cell r="I346" t="str">
            <v>MOBILGARD 430 - 208 LT</v>
          </cell>
        </row>
        <row r="347">
          <cell r="H347" t="str">
            <v>60-2565-020</v>
          </cell>
          <cell r="I347" t="str">
            <v>MOBILGARD 430 - 20 LT</v>
          </cell>
        </row>
        <row r="348">
          <cell r="H348" t="str">
            <v>60-2565-910</v>
          </cell>
          <cell r="I348" t="str">
            <v>MOBILGARD 430 - 210 LT</v>
          </cell>
        </row>
        <row r="349">
          <cell r="H349" t="str">
            <v>60-2623-001</v>
          </cell>
          <cell r="I349" t="str">
            <v>MOBIL DTE 24 - LITRES</v>
          </cell>
        </row>
        <row r="350">
          <cell r="H350" t="str">
            <v>60-2623-008</v>
          </cell>
          <cell r="I350" t="str">
            <v>MOBIL DTE 24 - 208 LT DRUM</v>
          </cell>
        </row>
        <row r="351">
          <cell r="H351" t="str">
            <v>60-2623-020</v>
          </cell>
          <cell r="I351" t="str">
            <v>MOBIL DTE 24 - 20 LT PAIL</v>
          </cell>
        </row>
        <row r="352">
          <cell r="H352" t="str">
            <v>60-2623-910</v>
          </cell>
          <cell r="I352" t="str">
            <v>MOBIL DTE 24 - 210 LT</v>
          </cell>
        </row>
        <row r="353">
          <cell r="H353" t="str">
            <v>60-2631-001</v>
          </cell>
          <cell r="I353" t="str">
            <v>MOBIL DTE 25 - LITRES</v>
          </cell>
        </row>
        <row r="354">
          <cell r="H354" t="str">
            <v>60-2631-008</v>
          </cell>
          <cell r="I354" t="str">
            <v>MOBIL DTE 25 - 208 LT DRUM</v>
          </cell>
        </row>
        <row r="355">
          <cell r="H355" t="str">
            <v>60-2631-020</v>
          </cell>
          <cell r="I355" t="str">
            <v>MOBIL DTE 25 - 20 LT</v>
          </cell>
        </row>
        <row r="356">
          <cell r="H356" t="str">
            <v>60-2649-001</v>
          </cell>
          <cell r="I356" t="str">
            <v>MOBIL DTE 26 - LITRES</v>
          </cell>
        </row>
        <row r="357">
          <cell r="H357" t="str">
            <v>60-2649-008</v>
          </cell>
          <cell r="I357" t="str">
            <v>MOBIL DTE 26 - 208 LT DRUM</v>
          </cell>
        </row>
        <row r="358">
          <cell r="H358" t="str">
            <v>60-2649-020</v>
          </cell>
          <cell r="I358" t="str">
            <v>MOBIL DTE 26 - 20 LT PAIL</v>
          </cell>
        </row>
        <row r="359">
          <cell r="H359" t="str">
            <v>60-2649-145</v>
          </cell>
          <cell r="I359" t="str">
            <v>MOBIL DTE 26 - 4 X 5 LT</v>
          </cell>
        </row>
        <row r="360">
          <cell r="H360" t="str">
            <v>60-2649-910</v>
          </cell>
          <cell r="I360" t="str">
            <v>MOBIL DTE 26 - 210 LT</v>
          </cell>
        </row>
        <row r="361">
          <cell r="H361" t="str">
            <v>60-2656-001</v>
          </cell>
          <cell r="I361" t="str">
            <v>MOBIL DTE 27 - LITRES</v>
          </cell>
        </row>
        <row r="362">
          <cell r="H362" t="str">
            <v>60-2656-008</v>
          </cell>
          <cell r="I362" t="str">
            <v>MOBIL DTE 27 - 208 LT DRUM</v>
          </cell>
        </row>
        <row r="363">
          <cell r="H363" t="str">
            <v>60-2656-020</v>
          </cell>
          <cell r="I363" t="str">
            <v>MOBIL DTE 27 - 20 LT PAIL</v>
          </cell>
        </row>
        <row r="364">
          <cell r="H364" t="str">
            <v>60-2698-008</v>
          </cell>
          <cell r="I364" t="str">
            <v>MOBIL DTE 13M - 208 LT DRUM</v>
          </cell>
        </row>
        <row r="365">
          <cell r="H365" t="str">
            <v>60-2722-008</v>
          </cell>
          <cell r="I365" t="str">
            <v>MOBIL DTE 15M - 208 LT DRUM</v>
          </cell>
        </row>
        <row r="366">
          <cell r="H366" t="str">
            <v>60-2771-008</v>
          </cell>
          <cell r="I366" t="str">
            <v>MOBIL DTE 16M - 208 LT DRUM</v>
          </cell>
        </row>
        <row r="367">
          <cell r="H367" t="str">
            <v>60-2789-008</v>
          </cell>
          <cell r="I367" t="str">
            <v>MOBIL DTE 18M - 208 LT DRUM</v>
          </cell>
        </row>
        <row r="368">
          <cell r="H368" t="str">
            <v>60-2904-008</v>
          </cell>
          <cell r="I368" t="str">
            <v>MOBIL SHC 639 - 208 LT DRUM</v>
          </cell>
        </row>
        <row r="369">
          <cell r="H369" t="str">
            <v>60-2904-020</v>
          </cell>
          <cell r="I369" t="str">
            <v>MOBIL SHC 639 - 20 LT PAIL</v>
          </cell>
        </row>
        <row r="370">
          <cell r="H370" t="str">
            <v>60-2912-008</v>
          </cell>
          <cell r="I370" t="str">
            <v>MOBIL SHC 634 - 208 LT DRUM</v>
          </cell>
        </row>
        <row r="371">
          <cell r="H371" t="str">
            <v>60-2912-020</v>
          </cell>
          <cell r="I371" t="str">
            <v>MOBIL SHC 634 - 20 LT PAIL</v>
          </cell>
        </row>
        <row r="372">
          <cell r="H372" t="str">
            <v>60-2938-008</v>
          </cell>
          <cell r="I372" t="str">
            <v>MOBIL SHC 626 - 208 LT</v>
          </cell>
        </row>
        <row r="373">
          <cell r="H373" t="str">
            <v>60-2938-020</v>
          </cell>
          <cell r="I373" t="str">
            <v>MOBIL SHC 626 - 20 LT</v>
          </cell>
        </row>
        <row r="374">
          <cell r="H374" t="str">
            <v>60-2946-008</v>
          </cell>
          <cell r="I374" t="str">
            <v>MOBIL SHC 629 - 208 LT DRUM</v>
          </cell>
        </row>
        <row r="375">
          <cell r="H375" t="str">
            <v>60-2946-020</v>
          </cell>
          <cell r="I375" t="str">
            <v>MOBIL SHC 629 - 20 LT PAIL</v>
          </cell>
        </row>
        <row r="376">
          <cell r="H376" t="str">
            <v>60-2953-008</v>
          </cell>
          <cell r="I376" t="str">
            <v>MOBIL SHC 630 - 208 LT DRUM</v>
          </cell>
        </row>
        <row r="377">
          <cell r="H377" t="str">
            <v>60-2953-020</v>
          </cell>
          <cell r="I377" t="str">
            <v>MOBIL SHC 630 - 20 LT PAIL</v>
          </cell>
        </row>
        <row r="378">
          <cell r="H378" t="str">
            <v>60-2987-008</v>
          </cell>
          <cell r="I378" t="str">
            <v>MOBIL SHC 632 - 208 LT DRUM</v>
          </cell>
        </row>
        <row r="379">
          <cell r="H379" t="str">
            <v>60-2987-020</v>
          </cell>
          <cell r="I379" t="str">
            <v>MOBIL SHC 632 - 20 LT PAIL</v>
          </cell>
        </row>
        <row r="380">
          <cell r="H380" t="str">
            <v>60-2995-008</v>
          </cell>
          <cell r="I380" t="str">
            <v>MOBIL SHC 636 - 208 LT DRUM</v>
          </cell>
        </row>
        <row r="381">
          <cell r="H381" t="str">
            <v>60-2995-020</v>
          </cell>
          <cell r="I381" t="str">
            <v>MOBIL SHC 636 - 18.9 KG PAIL</v>
          </cell>
        </row>
        <row r="382">
          <cell r="H382" t="str">
            <v>60-2995-021</v>
          </cell>
          <cell r="I382" t="str">
            <v>MOBIL SHC 636 - 20 LT PAIL</v>
          </cell>
        </row>
        <row r="383">
          <cell r="H383" t="str">
            <v>60-3191-008</v>
          </cell>
          <cell r="I383" t="str">
            <v>MOBIL ALMO 527 - 208 LT DRUM</v>
          </cell>
        </row>
        <row r="384">
          <cell r="H384" t="str">
            <v>60-3373-020</v>
          </cell>
          <cell r="I384" t="str">
            <v>PYROLUBE 830 (DUTY PAID) - 20 LT PAIL</v>
          </cell>
        </row>
        <row r="385">
          <cell r="H385" t="str">
            <v>60-3381-020</v>
          </cell>
          <cell r="I385" t="str">
            <v>MOBIL PYROLUBE 830 - 20 LT PAIL</v>
          </cell>
        </row>
        <row r="386">
          <cell r="H386" t="str">
            <v>60-6194-008</v>
          </cell>
          <cell r="I386" t="str">
            <v>MOBIL RARUS 425 - 208 LT DRUM</v>
          </cell>
        </row>
        <row r="387">
          <cell r="H387" t="str">
            <v>60-6194-020</v>
          </cell>
          <cell r="I387" t="str">
            <v>MOBIL RARUS 425 - 20 LT PAIL</v>
          </cell>
        </row>
        <row r="388">
          <cell r="H388" t="str">
            <v>60-6202-001</v>
          </cell>
          <cell r="I388" t="str">
            <v>MOBIL RARUS 427 - LITRES</v>
          </cell>
        </row>
        <row r="389">
          <cell r="H389" t="str">
            <v>60-6202-008</v>
          </cell>
          <cell r="I389" t="str">
            <v>MOBIL RARUS 427 - 208 LT DRUM</v>
          </cell>
        </row>
        <row r="390">
          <cell r="H390" t="str">
            <v>60-6202-020</v>
          </cell>
          <cell r="I390" t="str">
            <v>MOBIL RARUS 427 - 20 LT PAIL</v>
          </cell>
        </row>
        <row r="391">
          <cell r="H391" t="str">
            <v>60-6244-001</v>
          </cell>
          <cell r="I391" t="str">
            <v>MOBIL RARUS 827 - LITRES</v>
          </cell>
        </row>
        <row r="392">
          <cell r="H392" t="str">
            <v>60-6244-008</v>
          </cell>
          <cell r="I392" t="str">
            <v>MOBIL RARUS 827 - 208 LT DRUM</v>
          </cell>
        </row>
        <row r="393">
          <cell r="H393" t="str">
            <v>60-6244-020</v>
          </cell>
          <cell r="I393" t="str">
            <v>MOBIL RARUS 827 - 20 LT PAIL</v>
          </cell>
        </row>
        <row r="394">
          <cell r="H394" t="str">
            <v>60-6343-000</v>
          </cell>
          <cell r="I394" t="str">
            <v>MOBIL RARUS SHC 1025 - KILOS</v>
          </cell>
        </row>
        <row r="395">
          <cell r="H395" t="str">
            <v>60-6343-008</v>
          </cell>
          <cell r="I395" t="str">
            <v>MOBIL RARUS SHC 1025 - 208 LT DRUM</v>
          </cell>
        </row>
        <row r="396">
          <cell r="H396" t="str">
            <v>60-6343-009</v>
          </cell>
          <cell r="I396" t="str">
            <v>MOBIL RARUS SHC 1025 - 165 KG</v>
          </cell>
        </row>
        <row r="397">
          <cell r="H397" t="str">
            <v>60-6343-020</v>
          </cell>
          <cell r="I397" t="str">
            <v>MOBIL RARUS SHC 1025 - 20 LT PAIL</v>
          </cell>
        </row>
        <row r="398">
          <cell r="H398" t="str">
            <v>60-6350-008</v>
          </cell>
          <cell r="I398" t="str">
            <v>MOBIL RARUS SHC 1026 - 208 LT DRUM</v>
          </cell>
        </row>
        <row r="399">
          <cell r="H399" t="str">
            <v>60-6350-020</v>
          </cell>
          <cell r="I399" t="str">
            <v>MOBIL RARUS SHC 1026 - 20 LT PAIL</v>
          </cell>
        </row>
        <row r="400">
          <cell r="H400" t="str">
            <v>60-6665-001</v>
          </cell>
          <cell r="I400" t="str">
            <v>MOBILGARD 300 - LITRES</v>
          </cell>
        </row>
        <row r="401">
          <cell r="H401" t="str">
            <v>60-6665-008</v>
          </cell>
          <cell r="I401" t="str">
            <v>MOBILGARD 300 - 208 LT DRUM</v>
          </cell>
        </row>
        <row r="402">
          <cell r="H402" t="str">
            <v>60-6665-905</v>
          </cell>
          <cell r="I402" t="str">
            <v>MOBILGARD 300 - 205 LT DRUM</v>
          </cell>
        </row>
        <row r="403">
          <cell r="H403" t="str">
            <v>60-6806-001</v>
          </cell>
          <cell r="I403" t="str">
            <v>MOBILGARD 570 - LITRES</v>
          </cell>
        </row>
        <row r="404">
          <cell r="H404" t="str">
            <v>60-6806-008</v>
          </cell>
          <cell r="I404" t="str">
            <v>MOBILGARD 570 - 208 LT DRUM</v>
          </cell>
        </row>
        <row r="405">
          <cell r="H405" t="str">
            <v>60-6806-910</v>
          </cell>
          <cell r="I405" t="str">
            <v>MOBILGARD 570 - 210 LT</v>
          </cell>
        </row>
        <row r="406">
          <cell r="H406" t="str">
            <v>61-0857-001</v>
          </cell>
          <cell r="I406" t="str">
            <v>MOBIL GEAR 626 - LITRES</v>
          </cell>
        </row>
        <row r="407">
          <cell r="H407" t="str">
            <v>61-0857-008</v>
          </cell>
          <cell r="I407" t="str">
            <v>MOBIL GEAR 626 - 208 LT DRUM</v>
          </cell>
        </row>
        <row r="408">
          <cell r="H408" t="str">
            <v>61-0857-009</v>
          </cell>
          <cell r="I408" t="str">
            <v>MOBIL GEAR 626 - 183.5 KG DRUM</v>
          </cell>
        </row>
        <row r="409">
          <cell r="H409" t="str">
            <v>61-0857-020</v>
          </cell>
          <cell r="I409" t="str">
            <v>MOBIL GEAR 626 - 20 LT</v>
          </cell>
        </row>
        <row r="410">
          <cell r="H410" t="str">
            <v>61-0865-001</v>
          </cell>
          <cell r="I410" t="str">
            <v>MOBIL GEAR 629 - LITRES</v>
          </cell>
        </row>
        <row r="411">
          <cell r="H411" t="str">
            <v>61-0865-008</v>
          </cell>
          <cell r="I411" t="str">
            <v>MOBIL GEAR 629 - 208 LT DRUM</v>
          </cell>
        </row>
        <row r="412">
          <cell r="H412" t="str">
            <v>61-0865-020</v>
          </cell>
          <cell r="I412" t="str">
            <v>MOBIL GEAR 629 - 20 LT PAIL</v>
          </cell>
        </row>
        <row r="413">
          <cell r="H413" t="str">
            <v>61-0873-001</v>
          </cell>
          <cell r="I413" t="str">
            <v>MOBILGEAR 630 - LITRES</v>
          </cell>
        </row>
        <row r="414">
          <cell r="H414" t="str">
            <v>61-0873-008</v>
          </cell>
          <cell r="I414" t="str">
            <v>MOBILGEAR 630 - 208 LT DRUM</v>
          </cell>
        </row>
        <row r="415">
          <cell r="H415" t="str">
            <v>61-0873-020</v>
          </cell>
          <cell r="I415" t="str">
            <v>MOBILGEAR 630 - 20 LT</v>
          </cell>
        </row>
        <row r="416">
          <cell r="H416" t="str">
            <v>61-0881-001</v>
          </cell>
          <cell r="I416" t="str">
            <v>MOBIL GEAR 632 - LITRES</v>
          </cell>
        </row>
        <row r="417">
          <cell r="H417" t="str">
            <v>61-0881-008</v>
          </cell>
          <cell r="I417" t="str">
            <v>MOBIL GEAR 632 - 208 LT DRUM</v>
          </cell>
        </row>
        <row r="418">
          <cell r="H418" t="str">
            <v>61-0881-020</v>
          </cell>
          <cell r="I418" t="str">
            <v>MOBIL GEAR 632 - 20 LT</v>
          </cell>
        </row>
        <row r="419">
          <cell r="H419" t="str">
            <v>61-0907-001</v>
          </cell>
          <cell r="I419" t="str">
            <v>MOBILGEAR 634 - LITRES</v>
          </cell>
        </row>
        <row r="420">
          <cell r="H420" t="str">
            <v>61-0907-008</v>
          </cell>
          <cell r="I420" t="str">
            <v>MOBILGEAR 634 - 208 LT DRUM</v>
          </cell>
        </row>
        <row r="421">
          <cell r="H421" t="str">
            <v>61-0907-020</v>
          </cell>
          <cell r="I421" t="str">
            <v>MOBILGEAR 634 - 20 LT</v>
          </cell>
        </row>
        <row r="422">
          <cell r="H422" t="str">
            <v>61-0931-009</v>
          </cell>
          <cell r="I422" t="str">
            <v>MOBILGEAR SHC 6800 - 181.44 KG</v>
          </cell>
        </row>
        <row r="423">
          <cell r="H423" t="str">
            <v>61-0931-020</v>
          </cell>
          <cell r="I423" t="str">
            <v>MOBILGEAR SHC 6800 - 6 X 23 LT</v>
          </cell>
        </row>
        <row r="424">
          <cell r="H424" t="str">
            <v>61-0931-022</v>
          </cell>
          <cell r="I424" t="str">
            <v>MOBILGEAR SHC 6800 - 1 X 54.4 KG</v>
          </cell>
        </row>
        <row r="425">
          <cell r="H425" t="str">
            <v>61-1400-009</v>
          </cell>
          <cell r="I425" t="str">
            <v>MOBILGEAR OGL 007 - 180 KG DRUM</v>
          </cell>
        </row>
        <row r="426">
          <cell r="H426" t="str">
            <v>61-1400-020</v>
          </cell>
          <cell r="I426" t="str">
            <v>MOBILGEAR OGL 007 - 17 KG</v>
          </cell>
        </row>
        <row r="427">
          <cell r="H427" t="str">
            <v>62-1847-020</v>
          </cell>
          <cell r="I427" t="str">
            <v>MOBIL FLUSHING OIL - 20 LT</v>
          </cell>
        </row>
        <row r="428">
          <cell r="H428" t="str">
            <v>64-1274-009</v>
          </cell>
          <cell r="I428" t="str">
            <v>MOBILUX EP2 - 180 KG DRUM</v>
          </cell>
        </row>
        <row r="429">
          <cell r="H429" t="str">
            <v>64-1274-020</v>
          </cell>
          <cell r="I429" t="str">
            <v>MOBILUX EP2 - 18 KG PAIL</v>
          </cell>
        </row>
        <row r="430">
          <cell r="H430" t="str">
            <v>64-1274-021</v>
          </cell>
          <cell r="I430" t="str">
            <v>MOBILUX EP2 - 20 KG PAIL</v>
          </cell>
        </row>
        <row r="431">
          <cell r="H431" t="str">
            <v>64-1274-024</v>
          </cell>
          <cell r="I431" t="str">
            <v>MOBILUX EP2 - 15 KG</v>
          </cell>
        </row>
        <row r="432">
          <cell r="H432" t="str">
            <v>64-1274-050</v>
          </cell>
          <cell r="I432" t="str">
            <v>MOBILUX EP2 - 50 KG KEG</v>
          </cell>
        </row>
        <row r="433">
          <cell r="H433" t="str">
            <v>64-1274-123</v>
          </cell>
          <cell r="I433" t="str">
            <v>MOBILUX EP2 - 12 X 1 KG CARTON</v>
          </cell>
        </row>
        <row r="434">
          <cell r="H434" t="str">
            <v>64-1274-163</v>
          </cell>
          <cell r="I434" t="str">
            <v>MOBILUX EP2 - 6 X 3 KG</v>
          </cell>
        </row>
        <row r="435">
          <cell r="H435" t="str">
            <v>64-1274-244</v>
          </cell>
          <cell r="I435" t="str">
            <v>MOBILUX EP2 - 24 X 0.4 KG</v>
          </cell>
        </row>
        <row r="436">
          <cell r="H436" t="str">
            <v>64-1274-245</v>
          </cell>
          <cell r="I436" t="str">
            <v>MOBILUX EP2 - 24 X 1/2 KG</v>
          </cell>
        </row>
        <row r="437">
          <cell r="H437" t="str">
            <v>64-1274-962</v>
          </cell>
          <cell r="I437" t="str">
            <v>MOBILUX EP2 - 8 X 3 KG</v>
          </cell>
        </row>
        <row r="438">
          <cell r="H438" t="str">
            <v>64-2363-009</v>
          </cell>
          <cell r="I438" t="str">
            <v>MOBILGREASE FM 102 - 180 KG</v>
          </cell>
        </row>
        <row r="439">
          <cell r="H439" t="str">
            <v>64-3551-008</v>
          </cell>
          <cell r="I439" t="str">
            <v>MOBILITH SHC 460 - 208 LTR</v>
          </cell>
        </row>
        <row r="440">
          <cell r="H440" t="str">
            <v>64-3551-020</v>
          </cell>
          <cell r="I440" t="str">
            <v>MOBILITH SHC 460 - 20 LT</v>
          </cell>
        </row>
        <row r="441">
          <cell r="H441" t="str">
            <v>64-3551-021</v>
          </cell>
          <cell r="I441" t="str">
            <v>MOBILITH SHC 460 - 20 KG</v>
          </cell>
        </row>
        <row r="442">
          <cell r="H442" t="str">
            <v>64-3569-009</v>
          </cell>
          <cell r="I442" t="str">
            <v>MOBILITH SHC 007 - 165 KG DRUM</v>
          </cell>
        </row>
        <row r="443">
          <cell r="H443" t="str">
            <v>64-3569-020</v>
          </cell>
          <cell r="I443" t="str">
            <v>MOBILITH SHC 007 - 18 KG PAIL</v>
          </cell>
        </row>
        <row r="444">
          <cell r="H444" t="str">
            <v>64-3569-021</v>
          </cell>
          <cell r="I444" t="str">
            <v>MOBILITH SHC 007 - 20 KG PAIL</v>
          </cell>
        </row>
        <row r="445">
          <cell r="H445" t="str">
            <v>64-3569-045</v>
          </cell>
          <cell r="I445" t="str">
            <v>MOBILITH SHC 007 - 45 KG KEG</v>
          </cell>
        </row>
        <row r="446">
          <cell r="H446" t="str">
            <v>64-4039-000</v>
          </cell>
          <cell r="I446" t="str">
            <v>MOBILITH SHC 1500 - KILOS</v>
          </cell>
        </row>
        <row r="447">
          <cell r="H447" t="str">
            <v>64-4039-008</v>
          </cell>
          <cell r="I447" t="str">
            <v>MOBILITH SHC 1500 - 208 LT</v>
          </cell>
        </row>
        <row r="448">
          <cell r="H448" t="str">
            <v>64-4039-009</v>
          </cell>
          <cell r="I448" t="str">
            <v>MOBILITH SHC 1500 - 165 KG DRUM</v>
          </cell>
        </row>
        <row r="449">
          <cell r="H449" t="str">
            <v>64-4039-020</v>
          </cell>
          <cell r="I449" t="str">
            <v>MOBILITH SHC 1500 - 17 KG PAIL</v>
          </cell>
        </row>
        <row r="450">
          <cell r="H450" t="str">
            <v>66-1314-008</v>
          </cell>
          <cell r="I450" t="str">
            <v>MOBILMET 324 - 208 LT DRUM</v>
          </cell>
        </row>
        <row r="451">
          <cell r="H451" t="str">
            <v>66-7212-008</v>
          </cell>
          <cell r="I451" t="str">
            <v>MOBILARMA 798 - 208 LT</v>
          </cell>
        </row>
        <row r="452">
          <cell r="H452" t="str">
            <v>66-7212-009</v>
          </cell>
          <cell r="I452" t="str">
            <v>MOBILARMA 798 - 170 KG DRUM</v>
          </cell>
        </row>
        <row r="453">
          <cell r="H453" t="str">
            <v>66-7212-020</v>
          </cell>
          <cell r="I453" t="str">
            <v>MOBILARMA 798 - 20 LT PAIL</v>
          </cell>
        </row>
        <row r="454">
          <cell r="H454" t="str">
            <v>66-7212-021</v>
          </cell>
          <cell r="I454" t="str">
            <v>MOBILARMA 798 - 20 KG BAG</v>
          </cell>
        </row>
        <row r="455">
          <cell r="H455" t="str">
            <v>66-8004-008</v>
          </cell>
          <cell r="I455" t="str">
            <v>MOBILTHERM D - 208 LT</v>
          </cell>
        </row>
        <row r="456">
          <cell r="H456" t="str">
            <v>67-0158-008</v>
          </cell>
          <cell r="I456" t="str">
            <v>SOLVAC 1533 - 208 LT DRUM</v>
          </cell>
        </row>
        <row r="457">
          <cell r="H457" t="str">
            <v>67-0158-009</v>
          </cell>
          <cell r="I457" t="str">
            <v>SOLVAC 1533 - 180 KG</v>
          </cell>
        </row>
        <row r="458">
          <cell r="H458" t="str">
            <v>67-0158-020</v>
          </cell>
          <cell r="I458" t="str">
            <v>SOLVAC 1533 - 20 LT PAIL</v>
          </cell>
        </row>
        <row r="459">
          <cell r="H459" t="str">
            <v>67-6502-008</v>
          </cell>
          <cell r="I459" t="str">
            <v>GENREX 56 - 208 LT</v>
          </cell>
        </row>
        <row r="460">
          <cell r="H460" t="str">
            <v>68-0538-001</v>
          </cell>
          <cell r="I460" t="str">
            <v>MOBILTHERM 605 - LITRES</v>
          </cell>
        </row>
        <row r="461">
          <cell r="H461" t="str">
            <v>68-0538-008</v>
          </cell>
          <cell r="I461" t="str">
            <v>MOBILTHERM 605 - 208 LT DRUM</v>
          </cell>
        </row>
        <row r="462">
          <cell r="H462" t="str">
            <v>70-2233-008</v>
          </cell>
          <cell r="I462" t="str">
            <v>MOBILECT 35 - 208 LT</v>
          </cell>
        </row>
        <row r="463">
          <cell r="H463" t="str">
            <v>70-2233-063</v>
          </cell>
          <cell r="I463" t="str">
            <v>MOBILECT 35 - 200 LT DRUM</v>
          </cell>
        </row>
        <row r="464">
          <cell r="H464" t="str">
            <v>71-2257-001</v>
          </cell>
          <cell r="I464" t="str">
            <v>300 SOLVENT NEUTRAL - LITRES</v>
          </cell>
        </row>
        <row r="465">
          <cell r="H465" t="str">
            <v>71-2406-001</v>
          </cell>
          <cell r="I465" t="str">
            <v>600 SOLVENT NEUTRAL - LITRES</v>
          </cell>
        </row>
        <row r="466">
          <cell r="H466" t="str">
            <v>71-2455-001</v>
          </cell>
          <cell r="I466" t="str">
            <v>700 SOLVENT NEUTRAL - LITRES</v>
          </cell>
        </row>
        <row r="467">
          <cell r="H467" t="str">
            <v>71-2521-001</v>
          </cell>
          <cell r="I467" t="str">
            <v>850 SOLVENT NEUTRAL - LITRES</v>
          </cell>
        </row>
        <row r="468">
          <cell r="H468" t="str">
            <v>71-3057-001</v>
          </cell>
          <cell r="I468" t="str">
            <v>150 SOLVENT NEUTRAL - LITRES</v>
          </cell>
        </row>
        <row r="469">
          <cell r="H469" t="str">
            <v>71-3123-001</v>
          </cell>
          <cell r="I469" t="str">
            <v>500 SOLVENT NEUTRAL - LITRES</v>
          </cell>
        </row>
        <row r="470">
          <cell r="H470" t="str">
            <v>71-3248-000</v>
          </cell>
          <cell r="I470" t="str">
            <v>BRIGHT STOCK 150 - BULK LT</v>
          </cell>
        </row>
        <row r="471">
          <cell r="H471" t="str">
            <v>71-3248-001</v>
          </cell>
          <cell r="I471" t="str">
            <v>150 SOLVENT BRIGHT STOCK - LITRES</v>
          </cell>
        </row>
        <row r="472">
          <cell r="H472" t="str">
            <v>71-9970-000</v>
          </cell>
          <cell r="I472" t="str">
            <v>RED SLOPS - LUBES - KILOS</v>
          </cell>
        </row>
        <row r="473">
          <cell r="H473" t="str">
            <v>71-9970-001</v>
          </cell>
          <cell r="I473" t="str">
            <v>RED SLOPS - LUBES - LITRES</v>
          </cell>
        </row>
        <row r="474">
          <cell r="H474" t="str">
            <v>71-9970-063</v>
          </cell>
          <cell r="I474" t="str">
            <v>RED SLOPS - LUBES - 200 LT DRUM</v>
          </cell>
        </row>
        <row r="475">
          <cell r="H475" t="str">
            <v>71-9970-910</v>
          </cell>
          <cell r="I475" t="str">
            <v>RED SLOPS - LUBES - 210 LT</v>
          </cell>
        </row>
        <row r="476">
          <cell r="H476" t="str">
            <v>71-9980-001</v>
          </cell>
          <cell r="I476" t="str">
            <v>BLACK SLOPS - LUBES - LITRES</v>
          </cell>
        </row>
        <row r="477">
          <cell r="H477" t="str">
            <v>71-9990-001</v>
          </cell>
          <cell r="I477" t="str">
            <v>WASTE OIL  - LUBES - LITRES</v>
          </cell>
        </row>
        <row r="478">
          <cell r="H478" t="str">
            <v>75-0448-000</v>
          </cell>
          <cell r="I478" t="str">
            <v>WHITEREX 215 - KILOS</v>
          </cell>
        </row>
        <row r="479">
          <cell r="H479" t="str">
            <v>75-0448-001</v>
          </cell>
          <cell r="I479" t="str">
            <v>WHITEREX 215 - LITRES</v>
          </cell>
        </row>
        <row r="480">
          <cell r="H480" t="str">
            <v>75-0448-008</v>
          </cell>
          <cell r="I480" t="str">
            <v>WHITEREX 215 - 208 LT</v>
          </cell>
        </row>
        <row r="481">
          <cell r="H481" t="str">
            <v>75-0448-009</v>
          </cell>
          <cell r="I481" t="str">
            <v>WHITEREX 215 - 178 KG</v>
          </cell>
        </row>
        <row r="482">
          <cell r="H482" t="str">
            <v>75-0448-063</v>
          </cell>
          <cell r="I482" t="str">
            <v>WHITEREX 215 - 200 LT</v>
          </cell>
        </row>
        <row r="483">
          <cell r="H483" t="str">
            <v>75-5710-001</v>
          </cell>
          <cell r="I483" t="str">
            <v>PROREX 33 - LITRES</v>
          </cell>
        </row>
        <row r="484">
          <cell r="H484" t="str">
            <v>75-5710-008</v>
          </cell>
          <cell r="I484" t="str">
            <v>PROREX 33 - 208 LT</v>
          </cell>
        </row>
        <row r="485">
          <cell r="H485" t="str">
            <v>75-5710-910</v>
          </cell>
          <cell r="I485" t="str">
            <v>PROREX 33 - 210 LT</v>
          </cell>
        </row>
        <row r="486">
          <cell r="H486" t="str">
            <v>75-7170-001</v>
          </cell>
          <cell r="I486" t="str">
            <v>WHITEREX 215 - BULK LT</v>
          </cell>
        </row>
        <row r="487">
          <cell r="H487" t="str">
            <v>75-7179-009</v>
          </cell>
          <cell r="I487" t="str">
            <v>WHITEREX 308 - 180 KG DRUM</v>
          </cell>
        </row>
        <row r="488">
          <cell r="H488" t="str">
            <v>75-7237-009</v>
          </cell>
          <cell r="I488" t="str">
            <v>WHITEREX 334 - 180 KG DRUM</v>
          </cell>
        </row>
        <row r="489">
          <cell r="H489" t="str">
            <v>76-6139-009</v>
          </cell>
          <cell r="I489" t="str">
            <v>WAX REX 521 - 175 KG DRUM</v>
          </cell>
        </row>
        <row r="490">
          <cell r="H490" t="str">
            <v>81-3246-000</v>
          </cell>
          <cell r="I490" t="str">
            <v>STOCK 3263 - KILOS</v>
          </cell>
        </row>
        <row r="491">
          <cell r="H491" t="str">
            <v>86-3449-008</v>
          </cell>
          <cell r="I491" t="str">
            <v>PROVALENT 33 - 208 LT</v>
          </cell>
        </row>
        <row r="492">
          <cell r="H492" t="str">
            <v>86-3449-020</v>
          </cell>
          <cell r="I492" t="str">
            <v>PROVALENT 33 - 20 LT PAIL</v>
          </cell>
        </row>
        <row r="493">
          <cell r="H493" t="str">
            <v>86-8141-009</v>
          </cell>
          <cell r="I493" t="str">
            <v>HEPTANE - 145 KG DRUM</v>
          </cell>
        </row>
        <row r="494">
          <cell r="H494" t="str">
            <v>86-8190-000</v>
          </cell>
          <cell r="I494" t="str">
            <v>HEXANE - KILOS</v>
          </cell>
        </row>
        <row r="495">
          <cell r="H495" t="str">
            <v>86-8190-001</v>
          </cell>
          <cell r="I495" t="str">
            <v>HEXANE - LITRES</v>
          </cell>
        </row>
        <row r="496">
          <cell r="H496" t="str">
            <v>86-8190-008</v>
          </cell>
          <cell r="I496" t="str">
            <v>HEXANE - 208 LT</v>
          </cell>
        </row>
        <row r="497">
          <cell r="H497" t="str">
            <v>86-8190-009</v>
          </cell>
          <cell r="I497" t="str">
            <v>HEXANE - 134 KG DRUM</v>
          </cell>
        </row>
        <row r="498">
          <cell r="H498" t="str">
            <v>86-8190-020</v>
          </cell>
          <cell r="I498" t="str">
            <v>HEXANE - 17 KG</v>
          </cell>
        </row>
        <row r="499">
          <cell r="H499" t="str">
            <v>86-8190-063</v>
          </cell>
          <cell r="I499" t="str">
            <v>HEXANE - 200 LT</v>
          </cell>
        </row>
        <row r="500">
          <cell r="H500" t="str">
            <v>86-8273-000</v>
          </cell>
          <cell r="I500" t="str">
            <v>ISOPROPYL ALCOHOL - KILOS</v>
          </cell>
        </row>
        <row r="501">
          <cell r="H501" t="str">
            <v>86-8273-009</v>
          </cell>
          <cell r="I501" t="str">
            <v>ISOPROPYL ALCOHOL - 185 KG</v>
          </cell>
        </row>
        <row r="502">
          <cell r="H502" t="str">
            <v>86-8273-960</v>
          </cell>
          <cell r="I502" t="str">
            <v>ISOPROPYL ALCOHOL - 160 KG DRUM</v>
          </cell>
        </row>
        <row r="503">
          <cell r="H503" t="str">
            <v>86-8273-970</v>
          </cell>
          <cell r="I503" t="str">
            <v>ISOPROPYL ALCOHOL - 165 KG DRUM</v>
          </cell>
        </row>
        <row r="504">
          <cell r="H504" t="str">
            <v>86-8273-990</v>
          </cell>
          <cell r="I504" t="str">
            <v>ISOPROPYL ALCOHOL - 190 KG DRUM</v>
          </cell>
        </row>
        <row r="505">
          <cell r="H505" t="str">
            <v>86-8489-001</v>
          </cell>
          <cell r="I505" t="str">
            <v>PEGASOL 3040 - LITRES</v>
          </cell>
        </row>
        <row r="506">
          <cell r="H506" t="str">
            <v>86-8489-063</v>
          </cell>
          <cell r="I506" t="str">
            <v>PEGASOL 3040 - 200 LT DRUM</v>
          </cell>
        </row>
        <row r="507">
          <cell r="H507" t="str">
            <v>86-8521-001</v>
          </cell>
          <cell r="I507" t="str">
            <v>POWER ALCOHOL - LITRES</v>
          </cell>
        </row>
        <row r="508">
          <cell r="H508" t="str">
            <v>86-9001-000</v>
          </cell>
          <cell r="I508" t="str">
            <v>HEXANE -BULK KG</v>
          </cell>
        </row>
        <row r="509">
          <cell r="H509" t="str">
            <v>86-9001-001</v>
          </cell>
          <cell r="I509" t="str">
            <v>HEXANE -BULK LT</v>
          </cell>
        </row>
        <row r="510">
          <cell r="H510" t="str">
            <v>86-9001-009</v>
          </cell>
          <cell r="I510" t="str">
            <v>hexane 134 kg</v>
          </cell>
        </row>
        <row r="511">
          <cell r="H511" t="str">
            <v>86-9020-000</v>
          </cell>
          <cell r="I511" t="str">
            <v>EXXSOL DSP 80/110 - KILOS</v>
          </cell>
        </row>
        <row r="512">
          <cell r="H512" t="str">
            <v>86-9020-001</v>
          </cell>
          <cell r="I512" t="str">
            <v>EXXSOL DSP 80/110 - LITRES</v>
          </cell>
        </row>
        <row r="513">
          <cell r="H513" t="str">
            <v>86-9020-063</v>
          </cell>
          <cell r="I513" t="str">
            <v>EXXSOL DSP 80/110 - 200 LT DRUM</v>
          </cell>
        </row>
        <row r="514">
          <cell r="H514" t="str">
            <v>86-9040-009</v>
          </cell>
          <cell r="I514" t="str">
            <v>ISOPAR M - 185 KG DRUM</v>
          </cell>
        </row>
        <row r="515">
          <cell r="H515" t="str">
            <v>86-9040-960</v>
          </cell>
          <cell r="I515" t="str">
            <v>ISOPAR M - 160 KG</v>
          </cell>
        </row>
        <row r="516">
          <cell r="H516" t="str">
            <v>86-9050-009</v>
          </cell>
          <cell r="I516" t="str">
            <v>EXXOL D60 - 185 KG DRUM</v>
          </cell>
        </row>
        <row r="517">
          <cell r="H517" t="str">
            <v>86-9050-010</v>
          </cell>
          <cell r="I517" t="str">
            <v>EXXOL D60 - 156 KG</v>
          </cell>
        </row>
        <row r="518">
          <cell r="H518" t="str">
            <v>86-9050-960</v>
          </cell>
          <cell r="I518" t="str">
            <v>EXXOL D60 - 160 KG</v>
          </cell>
        </row>
        <row r="519">
          <cell r="H519" t="str">
            <v>86-9060-009</v>
          </cell>
          <cell r="I519" t="str">
            <v>HEPTANE - 168 KG DRUM</v>
          </cell>
        </row>
        <row r="520">
          <cell r="H520" t="str">
            <v>86-9061-000</v>
          </cell>
          <cell r="I520" t="str">
            <v>SOLVESSO-100 - KILOS</v>
          </cell>
        </row>
        <row r="521">
          <cell r="H521" t="str">
            <v>86-9061-009</v>
          </cell>
          <cell r="I521" t="str">
            <v>SOLVESSO-100 - 206 KG DRUM</v>
          </cell>
        </row>
        <row r="522">
          <cell r="H522" t="str">
            <v>86-9061-010</v>
          </cell>
          <cell r="I522" t="str">
            <v>SOLVESSO-100 - 178 KG DRUM</v>
          </cell>
        </row>
        <row r="523">
          <cell r="H523" t="str">
            <v>86-9061-020</v>
          </cell>
          <cell r="I523" t="str">
            <v>SOLVESSO-100 - 20 LT PAIL</v>
          </cell>
        </row>
        <row r="524">
          <cell r="H524" t="str">
            <v>86-9061-063</v>
          </cell>
          <cell r="I524" t="str">
            <v>SOLVESSO-100 - 200 LT DRUM</v>
          </cell>
        </row>
        <row r="525">
          <cell r="H525" t="str">
            <v>86-9070-901</v>
          </cell>
          <cell r="I525" t="str">
            <v>SOLVESSO-200 - 201 KG DRUM</v>
          </cell>
        </row>
        <row r="526">
          <cell r="H526" t="str">
            <v>86-9070-933</v>
          </cell>
          <cell r="I526" t="str">
            <v>SOLVESSO-200 - 233 KG DRUM</v>
          </cell>
        </row>
        <row r="527">
          <cell r="H527" t="str">
            <v>86-9082-009</v>
          </cell>
          <cell r="I527" t="str">
            <v>SOLVESSO-150 - 181 KG DRUM</v>
          </cell>
        </row>
        <row r="528">
          <cell r="H528" t="str">
            <v>86-9090-009</v>
          </cell>
          <cell r="I528" t="str">
            <v>ISOPAR-G - 151 KG</v>
          </cell>
        </row>
        <row r="529">
          <cell r="H529" t="str">
            <v>86-9100-009</v>
          </cell>
          <cell r="I529" t="str">
            <v>EXX-PRINT T76A - 169 KG</v>
          </cell>
        </row>
        <row r="530">
          <cell r="H530" t="str">
            <v>86-9100-995</v>
          </cell>
          <cell r="I530" t="str">
            <v>EXX-PRINT T76A - 195 KG</v>
          </cell>
        </row>
        <row r="531">
          <cell r="H531" t="str">
            <v>86-9110-009</v>
          </cell>
          <cell r="I531" t="str">
            <v>VAT</v>
          </cell>
        </row>
        <row r="532">
          <cell r="H532" t="str">
            <v>86-9110-246</v>
          </cell>
          <cell r="I532" t="str">
            <v>EXX-PRINT H84D - 6 X 2.27 KG</v>
          </cell>
        </row>
        <row r="533">
          <cell r="H533" t="str">
            <v>86-9110-989</v>
          </cell>
          <cell r="I533" t="str">
            <v>EXX-PRINT H84D - 189 KG</v>
          </cell>
        </row>
        <row r="534">
          <cell r="H534" t="str">
            <v>86-9120-964</v>
          </cell>
          <cell r="I534" t="str">
            <v>EXX-PRINT H80D - 164 KG</v>
          </cell>
        </row>
        <row r="535">
          <cell r="H535" t="str">
            <v>86-9120-966</v>
          </cell>
          <cell r="I535" t="str">
            <v>EXX-PRINT H80D 166 KG</v>
          </cell>
        </row>
        <row r="536">
          <cell r="H536" t="str">
            <v>87-0162-000</v>
          </cell>
          <cell r="I536" t="str">
            <v>MOBILAD G-210 - KILOS</v>
          </cell>
        </row>
        <row r="537">
          <cell r="H537" t="str">
            <v>87-0442-009</v>
          </cell>
          <cell r="I537" t="str">
            <v>COREXIT 9527 - 200 KG DRUM</v>
          </cell>
        </row>
        <row r="538">
          <cell r="H538" t="str">
            <v>87-0451-021</v>
          </cell>
          <cell r="I538" t="str">
            <v>ESCOREZ 1102 - 25 KG BAG</v>
          </cell>
        </row>
        <row r="539">
          <cell r="H539" t="str">
            <v>87-0460-021</v>
          </cell>
          <cell r="I539" t="str">
            <v>ESCOREZ 5320 - 25 KG BAG</v>
          </cell>
        </row>
        <row r="540">
          <cell r="H540" t="str">
            <v>87-0808-001</v>
          </cell>
          <cell r="I540" t="str">
            <v>XYLENE - LITRES</v>
          </cell>
        </row>
        <row r="541">
          <cell r="H541" t="str">
            <v>87-0808-008</v>
          </cell>
          <cell r="I541" t="str">
            <v>XYLENE - 208 LT DRUM</v>
          </cell>
        </row>
        <row r="542">
          <cell r="H542" t="str">
            <v>87-0808-063</v>
          </cell>
          <cell r="I542" t="str">
            <v>XYLENE - 200 LT DRUM</v>
          </cell>
        </row>
        <row r="543">
          <cell r="H543" t="str">
            <v>87-1004-001</v>
          </cell>
          <cell r="I543" t="str">
            <v>TOLUENE - LITRES</v>
          </cell>
        </row>
        <row r="544">
          <cell r="H544" t="str">
            <v>87-1004-008</v>
          </cell>
          <cell r="I544" t="str">
            <v>TOLUENE - 202 LT DRUM</v>
          </cell>
        </row>
        <row r="545">
          <cell r="H545" t="str">
            <v>87-1004-063</v>
          </cell>
          <cell r="I545" t="str">
            <v>TOLUENE - 200 LT DRUM</v>
          </cell>
        </row>
        <row r="546">
          <cell r="H546" t="str">
            <v>87-2341-001</v>
          </cell>
          <cell r="I546" t="str">
            <v>DINP - LITRES</v>
          </cell>
        </row>
        <row r="547">
          <cell r="H547" t="str">
            <v>87-2341-009</v>
          </cell>
          <cell r="I547" t="str">
            <v>DINP - 200 KG</v>
          </cell>
        </row>
        <row r="548">
          <cell r="H548" t="str">
            <v>87-2341-063</v>
          </cell>
          <cell r="I548" t="str">
            <v>DINP - 200 LT DRUM</v>
          </cell>
        </row>
        <row r="549">
          <cell r="H549" t="str">
            <v>87-8041-009</v>
          </cell>
          <cell r="I549" t="str">
            <v>METHYL ETHYL KETONE - 163 KG</v>
          </cell>
        </row>
        <row r="550">
          <cell r="H550" t="str">
            <v>87-8041-010</v>
          </cell>
          <cell r="I550" t="str">
            <v>METHYL ETHYL KETONE - 165 KG</v>
          </cell>
        </row>
        <row r="551">
          <cell r="H551" t="str">
            <v>87-8041-964</v>
          </cell>
          <cell r="I551" t="str">
            <v>METHYL ETHYL KETONE - 164 KG DRUM</v>
          </cell>
        </row>
        <row r="552">
          <cell r="H552" t="str">
            <v>87-8041-989</v>
          </cell>
          <cell r="I552" t="str">
            <v>METHYL ETHYL KETONE - 189 KG DRUM</v>
          </cell>
        </row>
        <row r="553">
          <cell r="H553" t="str">
            <v>87-8058-000</v>
          </cell>
          <cell r="I553" t="str">
            <v>METHYL ISOBUTYL KETONE - KILOS</v>
          </cell>
        </row>
        <row r="554">
          <cell r="H554" t="str">
            <v>87-8066-009</v>
          </cell>
          <cell r="I554" t="str">
            <v>SEC BUTYL ALCOHOL - 170 KG</v>
          </cell>
        </row>
        <row r="555">
          <cell r="H555" t="str">
            <v>87-9011-063</v>
          </cell>
          <cell r="I555" t="str">
            <v>TOLUENE - 200 LT</v>
          </cell>
        </row>
        <row r="556">
          <cell r="H556" t="str">
            <v>87-9144-000</v>
          </cell>
          <cell r="I556" t="str">
            <v>EXXATE 1000 - KILOS</v>
          </cell>
        </row>
        <row r="557">
          <cell r="H557" t="str">
            <v>87-9144-009</v>
          </cell>
          <cell r="I557" t="str">
            <v>EXXATE 1000 - 181 KG DRUM</v>
          </cell>
        </row>
        <row r="558">
          <cell r="H558" t="str">
            <v>87-9155-000</v>
          </cell>
          <cell r="I558" t="str">
            <v>EXXATE 900 - KILOS</v>
          </cell>
        </row>
        <row r="559">
          <cell r="H559" t="str">
            <v>87-9155-009</v>
          </cell>
          <cell r="I559" t="str">
            <v>EXXATE 900 - 181 KG DRUM</v>
          </cell>
        </row>
        <row r="560">
          <cell r="H560" t="str">
            <v>87-9211-009</v>
          </cell>
          <cell r="I560" t="str">
            <v>BUTYL JAYSOLVE - 215 KG DRUM</v>
          </cell>
        </row>
        <row r="561">
          <cell r="H561" t="str">
            <v>88-0000-240</v>
          </cell>
          <cell r="I561" t="str">
            <v>MOBIL INSECTICIDE AEROSOL - 24 X 0.3 LT</v>
          </cell>
        </row>
        <row r="562">
          <cell r="H562" t="str">
            <v>88-0000-244</v>
          </cell>
          <cell r="I562" t="str">
            <v>MOBIL INSECTICIDE AEROSOL - 24 X 0.4 KG</v>
          </cell>
        </row>
        <row r="563">
          <cell r="H563" t="str">
            <v>88-0000-940</v>
          </cell>
          <cell r="I563" t="str">
            <v>MOBIL INSECTICIDE AEROSOL - 24 X 0.3 KG</v>
          </cell>
        </row>
        <row r="564">
          <cell r="H564" t="str">
            <v>88-0203-910</v>
          </cell>
          <cell r="I564" t="str">
            <v>MOBILSOL 30 - 210 LT</v>
          </cell>
        </row>
        <row r="565">
          <cell r="H565" t="str">
            <v>88-2308-001</v>
          </cell>
          <cell r="I565" t="str">
            <v>SLOPS FUEL PRODUCTS - LITRES</v>
          </cell>
        </row>
        <row r="566">
          <cell r="H566" t="str">
            <v>90-1447-000</v>
          </cell>
          <cell r="I566" t="str">
            <v>STOCK 1096 - KILOS</v>
          </cell>
        </row>
        <row r="567">
          <cell r="H567" t="str">
            <v>90-1629-000</v>
          </cell>
          <cell r="I567" t="str">
            <v>MOX 162 - KILOS</v>
          </cell>
        </row>
        <row r="568">
          <cell r="H568" t="str">
            <v>90-1629-905</v>
          </cell>
          <cell r="I568" t="str">
            <v>MOX 162 - 205 LT</v>
          </cell>
        </row>
        <row r="569">
          <cell r="H569" t="str">
            <v>90-1629-999</v>
          </cell>
          <cell r="I569" t="str">
            <v>MOX 162 - BULK GRMS</v>
          </cell>
        </row>
        <row r="570">
          <cell r="H570" t="str">
            <v>90-2023-000</v>
          </cell>
          <cell r="I570" t="str">
            <v>STOCK 1022 - KILOS</v>
          </cell>
        </row>
        <row r="571">
          <cell r="H571" t="str">
            <v>90-2287-000</v>
          </cell>
          <cell r="I571" t="str">
            <v>MOX 238 - KILOS</v>
          </cell>
        </row>
        <row r="572">
          <cell r="H572" t="str">
            <v>90-2759-000</v>
          </cell>
          <cell r="I572" t="str">
            <v>STOCK 820 - KILOS</v>
          </cell>
        </row>
        <row r="573">
          <cell r="H573" t="str">
            <v>90-3641-000</v>
          </cell>
          <cell r="I573" t="str">
            <v>STOCK 1319 - KILOS</v>
          </cell>
        </row>
        <row r="574">
          <cell r="H574" t="str">
            <v>91-0117-000</v>
          </cell>
          <cell r="I574" t="str">
            <v>MOX 011 - KILOS</v>
          </cell>
        </row>
        <row r="575">
          <cell r="H575" t="str">
            <v>91-0430-000</v>
          </cell>
          <cell r="I575" t="str">
            <v>MOX 043 - KILOS</v>
          </cell>
        </row>
        <row r="576">
          <cell r="H576" t="str">
            <v>91-0439-000</v>
          </cell>
          <cell r="I576" t="str">
            <v>MOX 043 - BULK KG</v>
          </cell>
        </row>
        <row r="577">
          <cell r="H577" t="str">
            <v>91-0752-000</v>
          </cell>
          <cell r="I577" t="str">
            <v>STOCK 2493 - KILOS</v>
          </cell>
        </row>
        <row r="578">
          <cell r="H578" t="str">
            <v>91-0794-000</v>
          </cell>
          <cell r="I578" t="str">
            <v>MOX 079 - KILOS</v>
          </cell>
        </row>
        <row r="579">
          <cell r="H579" t="str">
            <v>91-0828-000</v>
          </cell>
          <cell r="I579" t="str">
            <v>STOCK 2841 - KILOS</v>
          </cell>
        </row>
        <row r="580">
          <cell r="H580" t="str">
            <v>91-0935-000</v>
          </cell>
          <cell r="I580" t="str">
            <v>STOCK 2830 - KILOS</v>
          </cell>
        </row>
        <row r="581">
          <cell r="H581" t="str">
            <v>91-1313-000</v>
          </cell>
          <cell r="I581" t="str">
            <v>MOX 131 - KILOS</v>
          </cell>
        </row>
        <row r="582">
          <cell r="H582" t="str">
            <v>91-1321-000</v>
          </cell>
          <cell r="I582" t="str">
            <v>MOX 132 - KILOS</v>
          </cell>
        </row>
        <row r="583">
          <cell r="H583" t="str">
            <v>91-1396-000</v>
          </cell>
          <cell r="I583" t="str">
            <v>MOX 139 - KILOS</v>
          </cell>
        </row>
        <row r="584">
          <cell r="H584" t="str">
            <v>91-1622-000</v>
          </cell>
          <cell r="I584" t="str">
            <v>MOX 162 - BULK KG</v>
          </cell>
        </row>
        <row r="585">
          <cell r="H585" t="str">
            <v>91-1693-000</v>
          </cell>
          <cell r="I585" t="str">
            <v>STOCK 1418 - KILOS</v>
          </cell>
        </row>
        <row r="586">
          <cell r="H586" t="str">
            <v>91-1909-000</v>
          </cell>
          <cell r="I586" t="str">
            <v>STOCK 3047 - KILOS</v>
          </cell>
        </row>
        <row r="587">
          <cell r="H587" t="str">
            <v>91-1950-000</v>
          </cell>
          <cell r="I587" t="str">
            <v>MOX 195 - BULK KG</v>
          </cell>
        </row>
        <row r="588">
          <cell r="H588" t="str">
            <v>91-1958-000</v>
          </cell>
          <cell r="I588" t="str">
            <v>MOX 195 - KILOS</v>
          </cell>
        </row>
        <row r="589">
          <cell r="H589" t="str">
            <v>91-2380-000</v>
          </cell>
          <cell r="I589" t="str">
            <v>MOX 238 - BULK KG</v>
          </cell>
        </row>
        <row r="590">
          <cell r="H590" t="str">
            <v>91-2584-000</v>
          </cell>
          <cell r="I590" t="str">
            <v>STOCK 2989 - KILOS</v>
          </cell>
        </row>
        <row r="591">
          <cell r="H591" t="str">
            <v>91-2766-000</v>
          </cell>
          <cell r="I591" t="str">
            <v>STOCK 1090 - KILOS</v>
          </cell>
        </row>
        <row r="592">
          <cell r="H592" t="str">
            <v>91-2881-000</v>
          </cell>
          <cell r="I592" t="str">
            <v>STOCK 1474 - KILOS</v>
          </cell>
        </row>
        <row r="593">
          <cell r="H593" t="str">
            <v>91-3244-000</v>
          </cell>
          <cell r="I593" t="str">
            <v>STOCK 1443 - KILOS</v>
          </cell>
        </row>
        <row r="594">
          <cell r="H594" t="str">
            <v>91-3590-000</v>
          </cell>
          <cell r="I594" t="str">
            <v>MOX 359 - KILOS</v>
          </cell>
        </row>
        <row r="595">
          <cell r="H595" t="str">
            <v>91-4010-000</v>
          </cell>
          <cell r="I595" t="str">
            <v>MOX 401 - KILOS</v>
          </cell>
        </row>
        <row r="596">
          <cell r="H596" t="str">
            <v>91-4093-000</v>
          </cell>
          <cell r="I596" t="str">
            <v>MOX 409 - KILOS</v>
          </cell>
        </row>
        <row r="597">
          <cell r="H597" t="str">
            <v>91-4325-000</v>
          </cell>
          <cell r="I597" t="str">
            <v>MOX 432 - KILOS</v>
          </cell>
        </row>
        <row r="598">
          <cell r="H598" t="str">
            <v>91-4424-000</v>
          </cell>
          <cell r="I598" t="str">
            <v>MOX 442 - KILOS</v>
          </cell>
        </row>
        <row r="599">
          <cell r="H599" t="str">
            <v>91-4424-905</v>
          </cell>
          <cell r="I599" t="str">
            <v>MOX 442 - 205 LT</v>
          </cell>
        </row>
        <row r="600">
          <cell r="H600" t="str">
            <v>91-5504-000</v>
          </cell>
          <cell r="I600" t="str">
            <v>MOX 550 - KILOS</v>
          </cell>
        </row>
        <row r="601">
          <cell r="H601" t="str">
            <v>91-5603-000</v>
          </cell>
          <cell r="I601" t="str">
            <v>MOX 560 - KILOS</v>
          </cell>
        </row>
        <row r="602">
          <cell r="H602" t="str">
            <v>91-5611-000</v>
          </cell>
          <cell r="I602" t="str">
            <v>MOX 561 - KILOS</v>
          </cell>
        </row>
        <row r="603">
          <cell r="H603" t="str">
            <v>91-5728-000</v>
          </cell>
          <cell r="I603" t="str">
            <v>STOCK 1907 - KILOS</v>
          </cell>
        </row>
        <row r="604">
          <cell r="H604" t="str">
            <v>91-5740-000</v>
          </cell>
          <cell r="I604" t="str">
            <v>MOX 574 - BULK KG</v>
          </cell>
        </row>
        <row r="605">
          <cell r="H605" t="str">
            <v>91-5744-000</v>
          </cell>
          <cell r="I605" t="str">
            <v>MOX 574 - KILOS</v>
          </cell>
        </row>
        <row r="606">
          <cell r="H606" t="str">
            <v>91-6114-000</v>
          </cell>
          <cell r="I606" t="str">
            <v>MOX 611 - KILOS</v>
          </cell>
        </row>
        <row r="607">
          <cell r="H607" t="str">
            <v>91-7856-000</v>
          </cell>
          <cell r="I607" t="str">
            <v>STOCK 1885 - KILOS</v>
          </cell>
        </row>
        <row r="608">
          <cell r="H608" t="str">
            <v>91-7955-000</v>
          </cell>
          <cell r="I608" t="str">
            <v>STOCK 1953 - KILOS</v>
          </cell>
        </row>
        <row r="609">
          <cell r="H609" t="str">
            <v>91-8086-000</v>
          </cell>
          <cell r="I609" t="str">
            <v>STOCK 2216 - KILOS</v>
          </cell>
        </row>
        <row r="610">
          <cell r="H610" t="str">
            <v>91-8623-000</v>
          </cell>
          <cell r="I610" t="str">
            <v>STOCK 2514 - KILOS</v>
          </cell>
        </row>
        <row r="611">
          <cell r="H611" t="str">
            <v>91-8896-000</v>
          </cell>
          <cell r="I611" t="str">
            <v>MOX 889 - KILOS</v>
          </cell>
        </row>
        <row r="612">
          <cell r="H612" t="str">
            <v>91-8896-001</v>
          </cell>
          <cell r="I612" t="str">
            <v>MOX 889 - LITRES</v>
          </cell>
        </row>
        <row r="613">
          <cell r="H613" t="str">
            <v>91-8896-905</v>
          </cell>
          <cell r="I613" t="str">
            <v>MOX 889 - 205 LT</v>
          </cell>
        </row>
        <row r="614">
          <cell r="H614" t="str">
            <v>92-0820-000</v>
          </cell>
          <cell r="I614" t="str">
            <v>STOCK 820 - BULK KG</v>
          </cell>
        </row>
        <row r="615">
          <cell r="H615" t="str">
            <v>92-1022-999</v>
          </cell>
          <cell r="I615" t="str">
            <v>STOCK 1022 - BULK KG</v>
          </cell>
        </row>
        <row r="616">
          <cell r="H616" t="str">
            <v>92-1090-000</v>
          </cell>
          <cell r="I616" t="str">
            <v>STOCK 1090 - BULK KG</v>
          </cell>
        </row>
        <row r="617">
          <cell r="H617" t="str">
            <v>92-1096-000</v>
          </cell>
          <cell r="I617" t="str">
            <v>STOCK 1096 - BULK KG</v>
          </cell>
        </row>
        <row r="618">
          <cell r="H618" t="str">
            <v>92-1319-000</v>
          </cell>
          <cell r="I618" t="str">
            <v>STOCK 1319 - BULK KG</v>
          </cell>
        </row>
        <row r="619">
          <cell r="H619" t="str">
            <v>92-1418-000</v>
          </cell>
          <cell r="I619" t="str">
            <v>STOCK 1418 - BULK KG</v>
          </cell>
        </row>
        <row r="620">
          <cell r="H620" t="str">
            <v>92-1443-000</v>
          </cell>
          <cell r="I620" t="str">
            <v>STOCK 1443 - BULK KG</v>
          </cell>
        </row>
        <row r="621">
          <cell r="H621" t="str">
            <v>92-1474-000</v>
          </cell>
          <cell r="I621" t="str">
            <v>STOCK 1474 - BULK KG</v>
          </cell>
        </row>
        <row r="622">
          <cell r="H622" t="str">
            <v>92-1634-000</v>
          </cell>
          <cell r="I622" t="str">
            <v>STOCK 1634 - BULK KG</v>
          </cell>
        </row>
        <row r="623">
          <cell r="H623" t="str">
            <v>92-1634-008</v>
          </cell>
          <cell r="I623" t="str">
            <v>STOCK 1634 - BULK KG</v>
          </cell>
        </row>
        <row r="624">
          <cell r="H624" t="str">
            <v>92-1885-000</v>
          </cell>
          <cell r="I624" t="str">
            <v>STOCK 1885 - BULK KG</v>
          </cell>
        </row>
        <row r="625">
          <cell r="H625" t="str">
            <v>92-1907-000</v>
          </cell>
          <cell r="I625" t="str">
            <v>STOCK 1907 - BULK KG</v>
          </cell>
        </row>
        <row r="626">
          <cell r="H626" t="str">
            <v>92-1953-000</v>
          </cell>
          <cell r="I626" t="str">
            <v>STOCK 1953 - BULK KG</v>
          </cell>
        </row>
        <row r="627">
          <cell r="H627" t="str">
            <v>92-2216-000</v>
          </cell>
          <cell r="I627" t="str">
            <v>STOCK 2216 - BULK KG</v>
          </cell>
        </row>
        <row r="628">
          <cell r="H628" t="str">
            <v>92-2493-000</v>
          </cell>
          <cell r="I628" t="str">
            <v>STOCK 2493 - BULK KG</v>
          </cell>
        </row>
        <row r="629">
          <cell r="H629" t="str">
            <v>92-2514-000</v>
          </cell>
          <cell r="I629" t="str">
            <v>STOCK 2514 - BULK KG</v>
          </cell>
        </row>
        <row r="630">
          <cell r="H630" t="str">
            <v>92-2830-000</v>
          </cell>
          <cell r="I630" t="str">
            <v>STOCK 2830 - BULK KG</v>
          </cell>
        </row>
        <row r="631">
          <cell r="H631" t="str">
            <v>92-2841-000</v>
          </cell>
          <cell r="I631" t="str">
            <v>STOCK 2841 - BULK KG</v>
          </cell>
        </row>
        <row r="632">
          <cell r="H632" t="str">
            <v>92-2989-000</v>
          </cell>
          <cell r="I632" t="str">
            <v>STOCK 2989 - BULK KG</v>
          </cell>
        </row>
        <row r="633">
          <cell r="H633" t="str">
            <v>92-3047-000</v>
          </cell>
          <cell r="I633" t="str">
            <v>STOCK 3047 - BULK KG</v>
          </cell>
        </row>
        <row r="634">
          <cell r="H634" t="str">
            <v>92-3196-000</v>
          </cell>
          <cell r="I634" t="str">
            <v>STOCK 3196 - BULK KG</v>
          </cell>
        </row>
        <row r="635">
          <cell r="H635" t="str">
            <v>92-3208-000</v>
          </cell>
          <cell r="I635" t="str">
            <v>STOCK 3208 - KILOS</v>
          </cell>
        </row>
        <row r="636">
          <cell r="H636" t="str">
            <v>92-3229-000</v>
          </cell>
          <cell r="I636" t="str">
            <v>STOCK 3229 - KILOS</v>
          </cell>
        </row>
        <row r="637">
          <cell r="H637" t="str">
            <v>92-3255-000</v>
          </cell>
          <cell r="I637" t="str">
            <v>STOCK 3255 - BULK KG</v>
          </cell>
        </row>
        <row r="638">
          <cell r="H638" t="str">
            <v>92-3263-000</v>
          </cell>
          <cell r="I638" t="str">
            <v>STOCK 3263 - BULK KG</v>
          </cell>
        </row>
        <row r="639">
          <cell r="H639" t="str">
            <v>92-3288-000</v>
          </cell>
          <cell r="I639" t="str">
            <v>STOCK 3288 - KILOS</v>
          </cell>
        </row>
        <row r="640">
          <cell r="H640" t="str">
            <v>92-3376-000</v>
          </cell>
          <cell r="I640" t="str">
            <v>STOCK 3376 - KILOS</v>
          </cell>
        </row>
        <row r="641">
          <cell r="H641" t="str">
            <v>94-0023-000</v>
          </cell>
          <cell r="I641" t="str">
            <v>ARABIAN HEAVY - KILOS</v>
          </cell>
        </row>
        <row r="642">
          <cell r="H642" t="str">
            <v>94-0080-000</v>
          </cell>
          <cell r="I642" t="str">
            <v>KUWAIT CRUDE - KILOS</v>
          </cell>
        </row>
        <row r="643">
          <cell r="H643" t="str">
            <v>94-1021-000</v>
          </cell>
          <cell r="I643" t="str">
            <v>MURBAN - KILOS</v>
          </cell>
        </row>
        <row r="644">
          <cell r="H644" t="str">
            <v>94-1534-000</v>
          </cell>
          <cell r="I644" t="str">
            <v>ZAKUM CRUDE - KILOS</v>
          </cell>
        </row>
        <row r="645">
          <cell r="H645" t="str">
            <v>94-1765-000</v>
          </cell>
          <cell r="I645" t="str">
            <v>MARIB RECONSTITUTED - KILOS</v>
          </cell>
        </row>
        <row r="646">
          <cell r="H646" t="str">
            <v>94-3514-000</v>
          </cell>
          <cell r="I646" t="str">
            <v>MARIB LIGHT - KILOS</v>
          </cell>
        </row>
        <row r="647">
          <cell r="H647" t="str">
            <v>94-4058-000</v>
          </cell>
          <cell r="I647" t="str">
            <v>SLOPS CRUDE OIL - KILOS</v>
          </cell>
        </row>
        <row r="648">
          <cell r="H648" t="str">
            <v>94-7069-000</v>
          </cell>
          <cell r="I648" t="str">
            <v>FUEL &amp; LOSS - KILOS</v>
          </cell>
        </row>
        <row r="649">
          <cell r="H649" t="str">
            <v>94-7069-001</v>
          </cell>
          <cell r="I649" t="str">
            <v>FUEL &amp; LOSS - LITRES</v>
          </cell>
        </row>
        <row r="650">
          <cell r="H650" t="str">
            <v>94-9000-001</v>
          </cell>
          <cell r="I650" t="str">
            <v>CRUDE SLOPS KPRL - LITRES</v>
          </cell>
        </row>
        <row r="651">
          <cell r="H651" t="str">
            <v>95-8041-000</v>
          </cell>
          <cell r="I651" t="str">
            <v>STOCK 3255 - KILOS</v>
          </cell>
        </row>
        <row r="652">
          <cell r="H652" t="str">
            <v>96-5624-000</v>
          </cell>
          <cell r="I652" t="str">
            <v>STOCK 3196 - KILOS</v>
          </cell>
        </row>
        <row r="653">
          <cell r="H653" t="str">
            <v>97-0000-000</v>
          </cell>
          <cell r="I653" t="str">
            <v>PORT DIFFERENTIAL - LITRE</v>
          </cell>
        </row>
        <row r="654">
          <cell r="H654" t="str">
            <v>97-0355-000</v>
          </cell>
          <cell r="I654" t="str">
            <v>MOBIL 6 KG CYLINDER - ITEMS</v>
          </cell>
        </row>
        <row r="655">
          <cell r="H655" t="str">
            <v>97-1000-000</v>
          </cell>
          <cell r="I655" t="str">
            <v>NEW 210/200 LITRE DRUM  - ITEMS</v>
          </cell>
        </row>
        <row r="656">
          <cell r="H656" t="str">
            <v>97-1019-000</v>
          </cell>
          <cell r="I656" t="str">
            <v>SECOND HAND FUEL SLOPES DRUMS - ITEMS</v>
          </cell>
        </row>
        <row r="657">
          <cell r="H657" t="str">
            <v>97-1028-000</v>
          </cell>
          <cell r="I657" t="str">
            <v>SECOND HND 210/200 LTR DM  - ITEMS</v>
          </cell>
        </row>
        <row r="658">
          <cell r="H658" t="str">
            <v>97-1032-000</v>
          </cell>
          <cell r="I658" t="str">
            <v>NEW 150 K.G. DRUM  - ITEMS</v>
          </cell>
        </row>
        <row r="659">
          <cell r="H659" t="str">
            <v>97-1037-000</v>
          </cell>
          <cell r="I659" t="str">
            <v>NEW 180 K.G. DRUM  - ITEMS</v>
          </cell>
        </row>
        <row r="660">
          <cell r="H660" t="str">
            <v>97-1055-000</v>
          </cell>
          <cell r="I660" t="str">
            <v>DIS DRMS 180 KG. OR 210LT  - ITEMS</v>
          </cell>
        </row>
        <row r="661">
          <cell r="H661" t="str">
            <v>97-1073-000</v>
          </cell>
          <cell r="I661" t="str">
            <v>NEW 20LTR ROUND PAILS  - ITEMS</v>
          </cell>
        </row>
        <row r="662">
          <cell r="H662" t="str">
            <v>97-1082-000</v>
          </cell>
          <cell r="I662" t="str">
            <v>NEW 20 LTR PLASTIC J CANS  - ITEMS</v>
          </cell>
        </row>
        <row r="663">
          <cell r="H663" t="str">
            <v>97-1091-000</v>
          </cell>
          <cell r="I663" t="str">
            <v>EMPTY DRUMS 1X200 RETURNABLE - ITEMS</v>
          </cell>
        </row>
        <row r="664">
          <cell r="H664" t="str">
            <v>97-1100-000</v>
          </cell>
          <cell r="I664" t="str">
            <v>SECOND HAND 20LTR CONTNER  - ITEMS</v>
          </cell>
        </row>
        <row r="665">
          <cell r="H665" t="str">
            <v>97-1119-000</v>
          </cell>
          <cell r="I665" t="str">
            <v>CARTNS 4X5 JERRYCANS/TINS  - ITEMS</v>
          </cell>
        </row>
        <row r="666">
          <cell r="H666" t="str">
            <v>97-1137-000</v>
          </cell>
          <cell r="I666" t="str">
            <v>1X5 LITRE JERRY CAN  - ITEMS</v>
          </cell>
        </row>
        <row r="667">
          <cell r="H667" t="str">
            <v>97-1146-000</v>
          </cell>
          <cell r="I667" t="str">
            <v>EMPTY CARTONS 40X1/2 LTR - ITEMS</v>
          </cell>
        </row>
        <row r="668">
          <cell r="H668" t="str">
            <v>97-1155-000</v>
          </cell>
          <cell r="I668" t="str">
            <v>1X1/2 LITRE TINS  - ITEMS</v>
          </cell>
        </row>
        <row r="669">
          <cell r="H669" t="str">
            <v>97-1173-000</v>
          </cell>
          <cell r="I669" t="str">
            <v>1X17KG PAILS    - ITEMS</v>
          </cell>
        </row>
        <row r="670">
          <cell r="H670" t="str">
            <v>97-1182-000</v>
          </cell>
          <cell r="I670" t="str">
            <v>8X3 KG. CARTON  - ITEMS</v>
          </cell>
        </row>
        <row r="671">
          <cell r="H671" t="str">
            <v>97-1200-000</v>
          </cell>
          <cell r="I671" t="str">
            <v>208 LITRE DRUM - ITEMS</v>
          </cell>
        </row>
        <row r="672">
          <cell r="H672" t="str">
            <v>97-1219-000</v>
          </cell>
          <cell r="I672" t="str">
            <v>36X1/2 LITRE CARTON  - ITEMS</v>
          </cell>
        </row>
        <row r="673">
          <cell r="H673" t="str">
            <v>97-1228-000</v>
          </cell>
          <cell r="I673" t="str">
            <v>32 X 1/2 LITRE CARTON - ITEMS</v>
          </cell>
        </row>
        <row r="674">
          <cell r="H674" t="str">
            <v>97-1237-000</v>
          </cell>
          <cell r="I674" t="str">
            <v>40X1/4 LTR. CARTON  - ITEMS</v>
          </cell>
        </row>
        <row r="675">
          <cell r="H675" t="str">
            <v>97-1246-000</v>
          </cell>
          <cell r="I675" t="str">
            <v>1X1/4 LITRE TIN  - ITEMS</v>
          </cell>
        </row>
        <row r="676">
          <cell r="H676" t="str">
            <v>97-1264-000</v>
          </cell>
          <cell r="I676" t="str">
            <v>1X1 LITRE EMPTY NEW CANS  - ITEMS</v>
          </cell>
        </row>
        <row r="677">
          <cell r="H677" t="str">
            <v>97-1273-000</v>
          </cell>
          <cell r="I677" t="str">
            <v>1X3 KG TINS  - ITEMS</v>
          </cell>
        </row>
        <row r="678">
          <cell r="H678" t="str">
            <v>97-1282-000</v>
          </cell>
          <cell r="I678" t="str">
            <v>1X0.5 KG TINS  - ITEMS</v>
          </cell>
        </row>
        <row r="679">
          <cell r="H679" t="str">
            <v>97-1287-000</v>
          </cell>
          <cell r="I679" t="str">
            <v>200  ML PLASTIC CONTAINER</v>
          </cell>
        </row>
        <row r="680">
          <cell r="H680" t="str">
            <v>97-1291-000</v>
          </cell>
          <cell r="I680" t="str">
            <v>CARTONS WITH 36X1/2 KG TN  - ITEMS</v>
          </cell>
        </row>
        <row r="681">
          <cell r="H681" t="str">
            <v>97-1300-000</v>
          </cell>
          <cell r="I681" t="str">
            <v>24x1 LTR EMPTY CARTONS  - ITEMS</v>
          </cell>
        </row>
        <row r="682">
          <cell r="H682" t="str">
            <v>97-1319-000</v>
          </cell>
          <cell r="I682" t="str">
            <v>12 X 1 LTRS CARTON - ITEMS</v>
          </cell>
        </row>
        <row r="683">
          <cell r="H683" t="str">
            <v>97-1328-000</v>
          </cell>
          <cell r="I683" t="str">
            <v>MOBIL 40KG LPG CYLINDER - ITEMS</v>
          </cell>
        </row>
        <row r="684">
          <cell r="H684" t="str">
            <v>97-1337-000</v>
          </cell>
          <cell r="I684" t="str">
            <v>MOBIL 13KG LPG CYLINDER - ITEMS</v>
          </cell>
        </row>
        <row r="685">
          <cell r="H685" t="str">
            <v>97-1346-000</v>
          </cell>
          <cell r="I685" t="str">
            <v>5KG. L.P. GAS CYLINDER  - ITEMS</v>
          </cell>
        </row>
        <row r="686">
          <cell r="H686" t="str">
            <v>97-1355-000</v>
          </cell>
          <cell r="I686" t="str">
            <v>MOBIL 6KG LPG CYLINDER - ITEMS</v>
          </cell>
        </row>
        <row r="687">
          <cell r="H687" t="str">
            <v>97-1364-000</v>
          </cell>
          <cell r="I687" t="str">
            <v>OTHER CONTAINERS  - ITEMS</v>
          </cell>
        </row>
        <row r="688">
          <cell r="H688" t="str">
            <v>97-1373-000</v>
          </cell>
          <cell r="I688" t="str">
            <v>EMPTY 1X210 BASI-BLENDING  - ITEMS</v>
          </cell>
        </row>
        <row r="689">
          <cell r="H689" t="str">
            <v>97-1464-000</v>
          </cell>
          <cell r="I689" t="str">
            <v>EMPTY 1X20 BASIC-BLENDING  - ITEMS</v>
          </cell>
        </row>
        <row r="690">
          <cell r="H690" t="str">
            <v>97-1482-000</v>
          </cell>
          <cell r="I690" t="str">
            <v>60X200 ENPTY CARTON - ITEMS</v>
          </cell>
        </row>
        <row r="691">
          <cell r="H691" t="str">
            <v>97-1755-000</v>
          </cell>
          <cell r="I691" t="str">
            <v>36 X 1/4LTR CARTON  - ITEMS</v>
          </cell>
        </row>
        <row r="692">
          <cell r="H692" t="str">
            <v>97-1764-000</v>
          </cell>
          <cell r="I692" t="str">
            <v>12 X 1 CORRUGATED CARTON - ITEMS</v>
          </cell>
        </row>
        <row r="693">
          <cell r="H693" t="str">
            <v>97-1773-000</v>
          </cell>
          <cell r="I693" t="str">
            <v>4X4 EMPTY CARTON - ITEMS</v>
          </cell>
        </row>
        <row r="694">
          <cell r="H694" t="str">
            <v>97-1782-000</v>
          </cell>
          <cell r="I694" t="str">
            <v>1X210 S.H.DRUM BLENDING  - ITEMS</v>
          </cell>
        </row>
        <row r="695">
          <cell r="H695" t="str">
            <v>97-1791-000</v>
          </cell>
          <cell r="I695" t="str">
            <v>1X210 EMPTY AGIP BASIC  - ITEMS</v>
          </cell>
        </row>
        <row r="696">
          <cell r="H696" t="str">
            <v>97-1928-000</v>
          </cell>
          <cell r="I696" t="str">
            <v>1X20 EMTY AGIP BASIC PAIL  - ITEMS</v>
          </cell>
        </row>
        <row r="697">
          <cell r="H697" t="str">
            <v>97-2000-000</v>
          </cell>
          <cell r="I697" t="str">
            <v>PACKAGE SURCHARGE DRUMS- KILOS</v>
          </cell>
        </row>
        <row r="698">
          <cell r="H698" t="str">
            <v>97-2055-000</v>
          </cell>
          <cell r="I698" t="str">
            <v>1X5 EMTY AGIP BASIC PAIL  - ITEMS</v>
          </cell>
        </row>
        <row r="699">
          <cell r="H699" t="str">
            <v>97-2128-000</v>
          </cell>
          <cell r="I699" t="str">
            <v>1X210 EMPTY TOTAL DRUMS  - ITEMS</v>
          </cell>
        </row>
        <row r="700">
          <cell r="H700" t="str">
            <v>97-2355-000</v>
          </cell>
          <cell r="I700" t="str">
            <v>1X20 EMT TOTAL BASIC PAIL  - ITEMS</v>
          </cell>
        </row>
        <row r="701">
          <cell r="H701" t="str">
            <v>97-2600-000</v>
          </cell>
          <cell r="I701" t="str">
            <v>HALF LTR CONTAINER LABELS  - ITEMS</v>
          </cell>
        </row>
        <row r="702">
          <cell r="H702" t="str">
            <v>97-2619-000</v>
          </cell>
          <cell r="I702" t="str">
            <v>FIVE LTR CONTAINER LABELS  - ITEMS</v>
          </cell>
        </row>
        <row r="703">
          <cell r="H703" t="str">
            <v>97-2628-000</v>
          </cell>
          <cell r="I703" t="str">
            <v>4X5 CORRUGATED CARTON - ITEMS</v>
          </cell>
        </row>
        <row r="704">
          <cell r="H704" t="str">
            <v>97-2637-000</v>
          </cell>
          <cell r="I704" t="str">
            <v>4X5 LT CORRUGATED CARTONS - ITEMS</v>
          </cell>
        </row>
        <row r="705">
          <cell r="H705" t="str">
            <v>97-2655-000</v>
          </cell>
          <cell r="I705" t="str">
            <v>40 KG.L.P. GAS CYLINDER  - OLD</v>
          </cell>
        </row>
        <row r="706">
          <cell r="H706" t="str">
            <v>97-2664-000</v>
          </cell>
          <cell r="I706" t="str">
            <v>13 KG.L.P. GAS CYLINDER  - OLD</v>
          </cell>
        </row>
        <row r="707">
          <cell r="H707" t="str">
            <v>97-2673-000</v>
          </cell>
          <cell r="I707" t="str">
            <v>5KG. L.P. GAS CYLINDER  - ITEMS</v>
          </cell>
        </row>
        <row r="708">
          <cell r="H708" t="str">
            <v>97-2682-000</v>
          </cell>
          <cell r="I708" t="str">
            <v>LPG LOW PRESS. REGULATOR - ITEMS</v>
          </cell>
        </row>
        <row r="709">
          <cell r="H709" t="str">
            <v>97-2691-000</v>
          </cell>
          <cell r="I709" t="str">
            <v>LPG LOW PRESSURE HOSES - ITEMS</v>
          </cell>
        </row>
        <row r="710">
          <cell r="H710" t="str">
            <v>97-2700-000</v>
          </cell>
          <cell r="I710" t="str">
            <v>LPG HIGH PRESSURE HOSES - ITEMS</v>
          </cell>
        </row>
        <row r="711">
          <cell r="H711" t="str">
            <v>97-2719-000</v>
          </cell>
          <cell r="I711" t="str">
            <v>LPG HIGH PRESS. REGULATOR - ITEMS</v>
          </cell>
        </row>
        <row r="712">
          <cell r="H712" t="str">
            <v>97-2727-000</v>
          </cell>
          <cell r="I712" t="str">
            <v>MOBIL 6 KG LPG LANTERN - ITEMS</v>
          </cell>
        </row>
        <row r="713">
          <cell r="H713" t="str">
            <v>97-2728-000</v>
          </cell>
          <cell r="I713" t="str">
            <v>NOZZLE UNION HP REG. - ITEMS</v>
          </cell>
        </row>
        <row r="714">
          <cell r="H714" t="str">
            <v>97-2737-000</v>
          </cell>
          <cell r="I714" t="str">
            <v>MOBIL 6KG LPG LANTERN - ITEMS</v>
          </cell>
        </row>
        <row r="715">
          <cell r="H715" t="str">
            <v>97-2746-000</v>
          </cell>
          <cell r="I715" t="str">
            <v>MOBIL 6KG LPG GRILL - ITEMS</v>
          </cell>
        </row>
        <row r="716">
          <cell r="H716" t="str">
            <v>97-2755-000</v>
          </cell>
          <cell r="I716" t="str">
            <v>MOBIL 6KG LPG BURNER - ITEMS</v>
          </cell>
        </row>
        <row r="717">
          <cell r="H717" t="str">
            <v>97-2764-000</v>
          </cell>
          <cell r="I717" t="str">
            <v>MOBIL 6KG LPG CARTON - ITEMS</v>
          </cell>
        </row>
        <row r="718">
          <cell r="H718" t="str">
            <v>97-2773-000</v>
          </cell>
          <cell r="I718" t="str">
            <v>MOBIL LPG CYLINDER VALVES - ITEMS</v>
          </cell>
        </row>
        <row r="719">
          <cell r="H719" t="str">
            <v>97-2782-000</v>
          </cell>
          <cell r="I719" t="str">
            <v>MOBIL 6 KG GRILL &amp; CARTON - ITEMS</v>
          </cell>
        </row>
        <row r="720">
          <cell r="H720" t="str">
            <v>97-2791-000</v>
          </cell>
          <cell r="I720" t="str">
            <v>1X4 LITRE PLASTIC CAN  - ITEMS</v>
          </cell>
        </row>
        <row r="721">
          <cell r="H721" t="str">
            <v>97-2800-000</v>
          </cell>
          <cell r="I721" t="str">
            <v>200 ML PLASTIC CONTAINERS</v>
          </cell>
        </row>
        <row r="722">
          <cell r="H722" t="str">
            <v>97-3000-000</v>
          </cell>
          <cell r="I722" t="str">
            <v>PACKAGE SURCHARGE DRUMS- LITRE</v>
          </cell>
        </row>
        <row r="723">
          <cell r="H723" t="str">
            <v>97-4000-000</v>
          </cell>
          <cell r="I723" t="str">
            <v>PACKAGE SURCHARGE - PACKS</v>
          </cell>
        </row>
        <row r="724">
          <cell r="H724" t="str">
            <v>98-0045-000</v>
          </cell>
          <cell r="I724" t="str">
            <v>1200 X 20 RETREAD TYRES - ITEMS</v>
          </cell>
        </row>
        <row r="725">
          <cell r="H725" t="str">
            <v>98-0047-000</v>
          </cell>
          <cell r="I725" t="str">
            <v>3'' FUEL MECAIR VALVE</v>
          </cell>
        </row>
        <row r="726">
          <cell r="H726" t="str">
            <v>98-0048-000</v>
          </cell>
          <cell r="I726" t="str">
            <v>115LTS OIL DRAINING KIT</v>
          </cell>
        </row>
        <row r="727">
          <cell r="H727" t="str">
            <v>98-0049-000</v>
          </cell>
          <cell r="I727" t="str">
            <v>PNEUMATIC RASMA AURAS</v>
          </cell>
        </row>
        <row r="728">
          <cell r="H728" t="str">
            <v>98-0050-000</v>
          </cell>
          <cell r="I728" t="str">
            <v>OIL DRUM PUMP</v>
          </cell>
        </row>
        <row r="729">
          <cell r="H729" t="str">
            <v>98-0051-000</v>
          </cell>
          <cell r="I729" t="str">
            <v>GREASE PUMP S/H</v>
          </cell>
        </row>
        <row r="730">
          <cell r="H730" t="str">
            <v>98-0052-000</v>
          </cell>
          <cell r="I730" t="str">
            <v>J.C. CARTER HOSE END PRES - ITEMS</v>
          </cell>
        </row>
        <row r="731">
          <cell r="H731" t="str">
            <v>98-0053-000</v>
          </cell>
          <cell r="I731" t="str">
            <v>CD 70 MONO PMP S/H</v>
          </cell>
        </row>
        <row r="732">
          <cell r="H732" t="str">
            <v>98-0054-000</v>
          </cell>
          <cell r="I732" t="str">
            <v>CD 60 MONO PMP S/H</v>
          </cell>
        </row>
        <row r="733">
          <cell r="H733" t="str">
            <v>98-0055-000</v>
          </cell>
          <cell r="I733" t="str">
            <v>CD 40 MONO PMP S/H</v>
          </cell>
        </row>
        <row r="734">
          <cell r="H734" t="str">
            <v>98-0056-000</v>
          </cell>
          <cell r="I734" t="str">
            <v>3.0 HP COMPRESSOR S/H</v>
          </cell>
        </row>
        <row r="735">
          <cell r="H735" t="str">
            <v>98-0057-000</v>
          </cell>
          <cell r="I735" t="str">
            <v>ONE DOOR SHILLER FRIDGE S/H</v>
          </cell>
        </row>
        <row r="736">
          <cell r="H736" t="str">
            <v>98-0058-000</v>
          </cell>
          <cell r="I736" t="str">
            <v>TWO DOOR SHILLER FRIDGE S/H</v>
          </cell>
        </row>
        <row r="737">
          <cell r="H737" t="str">
            <v>98-0059-000</v>
          </cell>
          <cell r="I737" t="str">
            <v>HOT DOG STANDS</v>
          </cell>
        </row>
        <row r="738">
          <cell r="H738" t="str">
            <v>98-0060-000</v>
          </cell>
          <cell r="I738" t="str">
            <v>NEW MICHELIN TYRES - ITEMS</v>
          </cell>
        </row>
        <row r="739">
          <cell r="H739" t="str">
            <v>98-0061-000</v>
          </cell>
          <cell r="I739" t="str">
            <v>1 METER WHITE BARRIERS</v>
          </cell>
        </row>
        <row r="740">
          <cell r="H740" t="str">
            <v>98-0062-000</v>
          </cell>
          <cell r="I740" t="str">
            <v>SERVICE STN GIFT BOARDS</v>
          </cell>
        </row>
        <row r="741">
          <cell r="H741" t="str">
            <v>98-0063-000</v>
          </cell>
          <cell r="I741" t="str">
            <v>HYDRAULIC LIFT (PARKLANDS)</v>
          </cell>
        </row>
        <row r="742">
          <cell r="H742" t="str">
            <v>98-0064-000</v>
          </cell>
          <cell r="I742" t="str">
            <v>OSR ENGINE</v>
          </cell>
        </row>
        <row r="743">
          <cell r="H743" t="str">
            <v>98-0065-000</v>
          </cell>
          <cell r="I743" t="str">
            <v>OSR SUCKING UNIT</v>
          </cell>
        </row>
        <row r="744">
          <cell r="H744" t="str">
            <v>98-0070-000</v>
          </cell>
          <cell r="I744" t="str">
            <v>OSR REPAIR KIT BOX</v>
          </cell>
        </row>
        <row r="745">
          <cell r="H745" t="str">
            <v>98-0071-000</v>
          </cell>
          <cell r="I745" t="str">
            <v>LPG FILLING HEAD VALVE</v>
          </cell>
        </row>
        <row r="746">
          <cell r="H746" t="str">
            <v>98-0072-000</v>
          </cell>
          <cell r="I746" t="str">
            <v>LPG CYLINDER CAGE</v>
          </cell>
        </row>
        <row r="747">
          <cell r="H747" t="str">
            <v>98-0073-000</v>
          </cell>
          <cell r="I747" t="str">
            <v>LIFE SAVER CONES</v>
          </cell>
        </row>
        <row r="748">
          <cell r="H748" t="str">
            <v>98-0074-000</v>
          </cell>
          <cell r="I748" t="str">
            <v>2 TON LPG TANK S/H</v>
          </cell>
        </row>
        <row r="749">
          <cell r="H749" t="str">
            <v>98-0075-000</v>
          </cell>
          <cell r="I749" t="str">
            <v>3/4 TON LPG TANK S/H</v>
          </cell>
        </row>
        <row r="750">
          <cell r="H750" t="str">
            <v>98-0076-000</v>
          </cell>
          <cell r="I750" t="str">
            <v>10000 LTS AG TANKS NEW</v>
          </cell>
        </row>
        <row r="751">
          <cell r="H751" t="str">
            <v>98-0077-000</v>
          </cell>
          <cell r="I751" t="str">
            <v>15,000 LTS AG TANKS NEW</v>
          </cell>
        </row>
        <row r="752">
          <cell r="H752" t="str">
            <v>98-0078-000</v>
          </cell>
          <cell r="I752" t="str">
            <v>GEAR BOX FILTER</v>
          </cell>
        </row>
        <row r="753">
          <cell r="H753" t="str">
            <v>98-0079-000</v>
          </cell>
          <cell r="I753" t="str">
            <v>LOADING ARM LINKS</v>
          </cell>
        </row>
        <row r="754">
          <cell r="H754" t="str">
            <v>98-0080-000</v>
          </cell>
          <cell r="I754" t="str">
            <v>6'' GATE VALVES</v>
          </cell>
        </row>
        <row r="755">
          <cell r="H755" t="str">
            <v>98-0081-000</v>
          </cell>
          <cell r="I755" t="str">
            <v>8'' GATE VALVES</v>
          </cell>
        </row>
        <row r="756">
          <cell r="H756" t="str">
            <v>98-0082-000</v>
          </cell>
          <cell r="I756" t="str">
            <v>TANK GAUGES COMPLETE WITH KITS</v>
          </cell>
        </row>
        <row r="757">
          <cell r="H757" t="str">
            <v>98-0083-000</v>
          </cell>
          <cell r="I757" t="str">
            <v>TANK PRESSURE / VACCUM VENT</v>
          </cell>
        </row>
        <row r="758">
          <cell r="H758" t="str">
            <v>98-0084-000</v>
          </cell>
          <cell r="I758" t="str">
            <v>AIR GAUGE S/H</v>
          </cell>
        </row>
        <row r="759">
          <cell r="H759" t="str">
            <v>98-0085-000</v>
          </cell>
          <cell r="I759" t="str">
            <v>AIR HOSE FOR PNEUMATIC OIL PUMPS</v>
          </cell>
        </row>
        <row r="760">
          <cell r="H760" t="str">
            <v>98-0086-000</v>
          </cell>
          <cell r="I760" t="str">
            <v>COALESCER ELEMENTS CA 33 - ITEMS</v>
          </cell>
        </row>
        <row r="761">
          <cell r="H761" t="str">
            <v>98-0087-000</v>
          </cell>
          <cell r="I761" t="str">
            <v>SMITH METER</v>
          </cell>
        </row>
        <row r="762">
          <cell r="H762" t="str">
            <v>98-0088-000</v>
          </cell>
          <cell r="I762" t="str">
            <v>SMITH METER TOTALIZERS</v>
          </cell>
        </row>
        <row r="763">
          <cell r="H763" t="str">
            <v>98-0089-000</v>
          </cell>
          <cell r="I763" t="str">
            <v>L &amp; T PUMP S/H</v>
          </cell>
        </row>
        <row r="764">
          <cell r="H764" t="str">
            <v>98-0090-000</v>
          </cell>
          <cell r="I764" t="str">
            <v>WORTHINGTON SIMPSON 3D4</v>
          </cell>
        </row>
        <row r="765">
          <cell r="H765" t="str">
            <v>98-0091-000</v>
          </cell>
          <cell r="I765" t="str">
            <v>PUMPS S/H</v>
          </cell>
        </row>
        <row r="766">
          <cell r="H766" t="str">
            <v>98-0092-000</v>
          </cell>
          <cell r="I766" t="str">
            <v>MCAIR ACTUTOR VALVE</v>
          </cell>
        </row>
        <row r="767">
          <cell r="H767" t="str">
            <v>98-0093-000</v>
          </cell>
          <cell r="I767" t="str">
            <v>ELECTRICAL MOTORS 5.5 HP</v>
          </cell>
        </row>
        <row r="768">
          <cell r="H768" t="str">
            <v>98-0094-000</v>
          </cell>
          <cell r="I768" t="str">
            <v>ELECTRICAL MOTORS 10 HP</v>
          </cell>
        </row>
        <row r="769">
          <cell r="H769" t="str">
            <v>98-0095-000</v>
          </cell>
          <cell r="I769" t="str">
            <v>SAFE EX MOBIL LONGONOT</v>
          </cell>
        </row>
        <row r="770">
          <cell r="H770" t="str">
            <v>98-0096-000</v>
          </cell>
          <cell r="I770" t="str">
            <v>5.5 HP INGERSOL RAND COMPRESSOR</v>
          </cell>
        </row>
        <row r="771">
          <cell r="H771" t="str">
            <v>98-0097-000</v>
          </cell>
          <cell r="I771" t="str">
            <v>OIL METERS S/H</v>
          </cell>
        </row>
        <row r="772">
          <cell r="H772" t="str">
            <v>98-0098-000</v>
          </cell>
          <cell r="I772" t="str">
            <v>RIM FOR MICHELIN TYRES</v>
          </cell>
        </row>
        <row r="773">
          <cell r="H773" t="str">
            <v>98-0099-000</v>
          </cell>
          <cell r="I773" t="str">
            <v>445/65 22.5 MICHELIN TYRES</v>
          </cell>
        </row>
        <row r="774">
          <cell r="H774" t="str">
            <v>98-0100-000</v>
          </cell>
          <cell r="I774" t="str">
            <v>292/80 22.5 MICHELIN TYRES</v>
          </cell>
        </row>
        <row r="775">
          <cell r="H775" t="str">
            <v>98-0101-000</v>
          </cell>
          <cell r="I775" t="str">
            <v>OIL REELS OLD</v>
          </cell>
        </row>
        <row r="776">
          <cell r="H776" t="str">
            <v>98-0102-000</v>
          </cell>
          <cell r="I776" t="str">
            <v>SEPARATORS ELEMENTS 506364 - ITEMS</v>
          </cell>
        </row>
        <row r="777">
          <cell r="H777" t="str">
            <v>98-0103-000</v>
          </cell>
          <cell r="I777" t="str">
            <v>TIE ROD ENDS</v>
          </cell>
        </row>
        <row r="778">
          <cell r="H778" t="str">
            <v>98-0104-000</v>
          </cell>
          <cell r="I778" t="str">
            <v>WAYNE PUMP PANELS</v>
          </cell>
        </row>
        <row r="779">
          <cell r="H779" t="str">
            <v>98-0110-000</v>
          </cell>
          <cell r="I779" t="str">
            <v>FUELLING METER CARBON - ITEMS</v>
          </cell>
        </row>
        <row r="780">
          <cell r="H780" t="str">
            <v>98-0115-000</v>
          </cell>
          <cell r="I780" t="str">
            <v>OIL PUMP S/H</v>
          </cell>
        </row>
        <row r="781">
          <cell r="H781" t="str">
            <v>98-0116-000</v>
          </cell>
          <cell r="I781" t="str">
            <v>CASH REGISTER</v>
          </cell>
        </row>
        <row r="782">
          <cell r="H782" t="str">
            <v>98-0117-000</v>
          </cell>
          <cell r="I782" t="str">
            <v>COUNTER HEADS S/H</v>
          </cell>
        </row>
        <row r="783">
          <cell r="H783" t="str">
            <v>98-0151-000</v>
          </cell>
          <cell r="I783" t="str">
            <v>FUELLING NOZZLE BUFFER - ITEMS</v>
          </cell>
        </row>
        <row r="784">
          <cell r="H784" t="str">
            <v>98-0169-000</v>
          </cell>
          <cell r="I784" t="str">
            <v>FUELLING NOZZLE SEALS - ITEMS</v>
          </cell>
        </row>
        <row r="785">
          <cell r="H785" t="str">
            <v>98-0177-000</v>
          </cell>
          <cell r="I785" t="str">
            <v>FUELLING NOZZLE VALVES - ITEMS</v>
          </cell>
        </row>
        <row r="786">
          <cell r="H786" t="str">
            <v>98-0185-000</v>
          </cell>
          <cell r="I786" t="str">
            <v>FUELLING NOZZLE SCREENS - ITEMS</v>
          </cell>
        </row>
        <row r="787">
          <cell r="H787" t="str">
            <v>98-0193-000</v>
          </cell>
          <cell r="I787" t="str">
            <v>VELCON MONITOR ELEMENTS - ITEMS</v>
          </cell>
        </row>
        <row r="788">
          <cell r="H788" t="str">
            <v>98-0201-000</v>
          </cell>
          <cell r="I788" t="str">
            <v>ZRB 38J SPOUT ASSEMBLY - ITEMS</v>
          </cell>
        </row>
        <row r="789">
          <cell r="H789" t="str">
            <v>98-0219-000</v>
          </cell>
          <cell r="I789" t="str">
            <v>SPIRAL GEARS - ITEMS</v>
          </cell>
        </row>
        <row r="790">
          <cell r="H790" t="str">
            <v>98-0227-000</v>
          </cell>
          <cell r="I790" t="str">
            <v>SHAFT SPIRAL PINIONS - ITEMS</v>
          </cell>
        </row>
        <row r="791">
          <cell r="H791" t="str">
            <v>98-0235-000</v>
          </cell>
          <cell r="I791" t="str">
            <v>IMPELLERS - ITEMS</v>
          </cell>
        </row>
        <row r="792">
          <cell r="H792" t="str">
            <v>98-0250-000</v>
          </cell>
          <cell r="I792" t="str">
            <v>IMPELLER PRIMING - ITEMS</v>
          </cell>
        </row>
        <row r="793">
          <cell r="H793" t="str">
            <v>98-0268-000</v>
          </cell>
          <cell r="I793" t="str">
            <v>BRAKE LININGS - ITEMS</v>
          </cell>
        </row>
        <row r="794">
          <cell r="H794" t="str">
            <v>98-0292-000</v>
          </cell>
          <cell r="I794" t="str">
            <v>VELCON SEPARATORS - ITEMS</v>
          </cell>
        </row>
        <row r="795">
          <cell r="H795" t="str">
            <v>98-0334-000</v>
          </cell>
          <cell r="I795" t="str">
            <v>POWER TAKE OFF GEAR BOXES - ITEMS</v>
          </cell>
        </row>
        <row r="796">
          <cell r="H796" t="str">
            <v>98-0383-000</v>
          </cell>
          <cell r="I796" t="str">
            <v>BEARING PART NO 3222223 - ITEMS</v>
          </cell>
        </row>
        <row r="797">
          <cell r="H797" t="str">
            <v>98-0425-000</v>
          </cell>
          <cell r="I797" t="str">
            <v>2.5' FILLING HOSE - ITEMS</v>
          </cell>
        </row>
        <row r="798">
          <cell r="H798" t="str">
            <v>98-0433-000</v>
          </cell>
          <cell r="I798" t="str">
            <v>ONE US GALLON CONTAINERS - ITEMS</v>
          </cell>
        </row>
        <row r="799">
          <cell r="H799" t="str">
            <v>98-0441-000</v>
          </cell>
          <cell r="I799" t="str">
            <v>1200 X 20 NEW TYRES - ITEMS</v>
          </cell>
        </row>
        <row r="800">
          <cell r="H800" t="str">
            <v>98-0458-000</v>
          </cell>
          <cell r="I800" t="str">
            <v>DUST CAP ASSY PT NO 41778 - ITEMS</v>
          </cell>
        </row>
        <row r="801">
          <cell r="H801" t="str">
            <v>98-0524-000</v>
          </cell>
          <cell r="I801" t="str">
            <v>OPW TYPE 11 A AUTO. NOZZL - ITEMS</v>
          </cell>
        </row>
        <row r="802">
          <cell r="H802" t="str">
            <v>98-0526-000</v>
          </cell>
          <cell r="I802" t="str">
            <v>GREASE BUCKETS - ITEM</v>
          </cell>
        </row>
        <row r="803">
          <cell r="H803" t="str">
            <v>98-0527-000</v>
          </cell>
          <cell r="I803" t="str">
            <v>COMPUTER UPS</v>
          </cell>
        </row>
        <row r="804">
          <cell r="H804" t="str">
            <v>98-0528-000</v>
          </cell>
          <cell r="I804" t="str">
            <v>GILBACO COMMERCIAL PUMPS (S/H)</v>
          </cell>
        </row>
        <row r="805">
          <cell r="H805" t="str">
            <v>98-0533-000</v>
          </cell>
          <cell r="I805" t="str">
            <v>L.P. GAS TANK THERMOMETORS - ITEMS</v>
          </cell>
        </row>
        <row r="806">
          <cell r="H806" t="str">
            <v>98-0534-000</v>
          </cell>
          <cell r="I806" t="str">
            <v>20 M RABON DIPPING TAPE</v>
          </cell>
        </row>
        <row r="807">
          <cell r="H807" t="str">
            <v>98-0535-000</v>
          </cell>
          <cell r="I807" t="str">
            <v>GAMMON PRESSURE DIFF. GAUGE</v>
          </cell>
        </row>
        <row r="808">
          <cell r="H808" t="str">
            <v>98-0536-000</v>
          </cell>
          <cell r="I808" t="str">
            <v>FIAT REFUELLER OIL SEALS SIZE 105</v>
          </cell>
        </row>
        <row r="809">
          <cell r="H809" t="str">
            <v>98-0537-000</v>
          </cell>
          <cell r="I809" t="str">
            <v>CARTER GROUND FUELING COMPLER</v>
          </cell>
        </row>
        <row r="810">
          <cell r="H810" t="str">
            <v>98-0538-000</v>
          </cell>
          <cell r="I810" t="str">
            <v>VELCON COALESCER FILTERS (SO614C)</v>
          </cell>
        </row>
        <row r="811">
          <cell r="H811" t="str">
            <v>98-0539-000</v>
          </cell>
          <cell r="I811" t="str">
            <v>VELCON FILTERS (CDF 220K)</v>
          </cell>
        </row>
        <row r="812">
          <cell r="H812" t="str">
            <v>98-0540-000</v>
          </cell>
          <cell r="I812" t="str">
            <v>AQUACON MONITORS (ACI 63301FC)</v>
          </cell>
        </row>
        <row r="813">
          <cell r="H813" t="str">
            <v>98-0541-000</v>
          </cell>
          <cell r="I813" t="str">
            <v>COALESCER ELEMENT (1-63887TB)</v>
          </cell>
        </row>
        <row r="814">
          <cell r="H814" t="str">
            <v>98-0542-000</v>
          </cell>
          <cell r="I814" t="str">
            <v>NEOPRENE RUBBER HOSE - ITEMS</v>
          </cell>
        </row>
        <row r="815">
          <cell r="H815" t="str">
            <v>98-0543-000</v>
          </cell>
          <cell r="I815" t="str">
            <v>COALESCER ELEMENT (1-64487TB)</v>
          </cell>
        </row>
        <row r="816">
          <cell r="H816" t="str">
            <v>98-0551-000</v>
          </cell>
          <cell r="I816" t="str">
            <v>OFFMEC GREEN OIL BUCKET - ITEMS</v>
          </cell>
        </row>
        <row r="817">
          <cell r="H817" t="str">
            <v>98-0560-000</v>
          </cell>
          <cell r="I817" t="str">
            <v>ORIM OIL BUCKETS - ITEMS</v>
          </cell>
        </row>
        <row r="818">
          <cell r="H818" t="str">
            <v>98-0579-000</v>
          </cell>
          <cell r="I818" t="str">
            <v>BAELZ RED GEAR OIL BUCKET - ITEMS</v>
          </cell>
        </row>
        <row r="819">
          <cell r="H819" t="str">
            <v>98-0588-000</v>
          </cell>
          <cell r="I819" t="str">
            <v>RED OIL BUCKETS - ITEMS</v>
          </cell>
        </row>
        <row r="820">
          <cell r="H820" t="str">
            <v>98-0597-000</v>
          </cell>
          <cell r="I820" t="str">
            <v>OIL REELS - ITEMS</v>
          </cell>
        </row>
        <row r="821">
          <cell r="H821" t="str">
            <v>98-0606-000</v>
          </cell>
          <cell r="I821" t="str">
            <v>GREASE REELS - ITEMS</v>
          </cell>
        </row>
        <row r="822">
          <cell r="H822" t="str">
            <v>98-0607-000</v>
          </cell>
          <cell r="I822" t="str">
            <v>WAYNE DUAL PUMPS (S/H)</v>
          </cell>
        </row>
        <row r="823">
          <cell r="H823" t="str">
            <v>98-0610-000</v>
          </cell>
          <cell r="I823" t="str">
            <v>GILBARCO PUMP PANELS</v>
          </cell>
        </row>
        <row r="824">
          <cell r="H824" t="str">
            <v>98-0615-000</v>
          </cell>
          <cell r="I824" t="str">
            <v>PCL AIR GAUGES WITH HOSE - ITEMS</v>
          </cell>
        </row>
        <row r="825">
          <cell r="H825" t="str">
            <v>98-0624-000</v>
          </cell>
          <cell r="I825" t="str">
            <v>WATER REELS - ITEMS</v>
          </cell>
        </row>
        <row r="826">
          <cell r="H826" t="str">
            <v>98-0633-000</v>
          </cell>
          <cell r="I826" t="str">
            <v>PNEUMATIC ORION DRUM PUMP - ITEMS</v>
          </cell>
        </row>
        <row r="827">
          <cell r="H827" t="str">
            <v>98-0642-000</v>
          </cell>
          <cell r="I827" t="str">
            <v>TECALMIT DRUM OIL PUMPS - ITEMS</v>
          </cell>
        </row>
        <row r="828">
          <cell r="H828" t="str">
            <v>98-0651-000</v>
          </cell>
          <cell r="I828" t="str">
            <v>MAJOR ID SIGN FACES - ITEMS</v>
          </cell>
        </row>
        <row r="829">
          <cell r="H829" t="str">
            <v>98-0660-000</v>
          </cell>
          <cell r="I829" t="str">
            <v>WAYNE PUMPS - ITEMS</v>
          </cell>
        </row>
        <row r="830">
          <cell r="H830" t="str">
            <v>98-0679-000</v>
          </cell>
          <cell r="I830" t="str">
            <v>RED SINGLE POLE WING SPRD - ITEMS</v>
          </cell>
        </row>
        <row r="831">
          <cell r="H831" t="str">
            <v>98-0688-000</v>
          </cell>
          <cell r="I831" t="str">
            <v>SINGLE POLE DIESEL SPREAD - ITEMS</v>
          </cell>
        </row>
        <row r="832">
          <cell r="H832" t="str">
            <v>98-0697-000</v>
          </cell>
          <cell r="I832" t="str">
            <v>MD 60 MONO PUMP - ITEMS</v>
          </cell>
        </row>
        <row r="833">
          <cell r="H833" t="str">
            <v>98-0706-000</v>
          </cell>
          <cell r="I833" t="str">
            <v>MOBIL OIL DRAIN UNITS - ITEMS</v>
          </cell>
        </row>
        <row r="834">
          <cell r="H834" t="str">
            <v>98-0715-000</v>
          </cell>
          <cell r="I834" t="str">
            <v>TECALMIT OIL METERS - ITEMS</v>
          </cell>
        </row>
        <row r="835">
          <cell r="H835" t="str">
            <v>98-0724-000</v>
          </cell>
          <cell r="I835" t="str">
            <v>SMITH METER - ITEMS</v>
          </cell>
        </row>
        <row r="836">
          <cell r="H836" t="str">
            <v>98-0733-000</v>
          </cell>
          <cell r="I836" t="str">
            <v>MOBILE GREASE LUBRICATOR - ITEMS</v>
          </cell>
        </row>
        <row r="837">
          <cell r="H837" t="str">
            <v>98-0742-000</v>
          </cell>
          <cell r="I837" t="str">
            <v>WAYNE METER UNITS - ITEMS</v>
          </cell>
        </row>
        <row r="838">
          <cell r="H838" t="str">
            <v>98-0751-000</v>
          </cell>
          <cell r="I838" t="str">
            <v>10000 LITRE NEW TANKS  - ITEMS</v>
          </cell>
        </row>
        <row r="839">
          <cell r="H839" t="str">
            <v>98-0760-000</v>
          </cell>
          <cell r="I839" t="str">
            <v>15000 LITRE NEW TANKS  - ITEMS</v>
          </cell>
        </row>
        <row r="840">
          <cell r="H840" t="str">
            <v>98-0779-000</v>
          </cell>
          <cell r="I840" t="str">
            <v>22500 LITRE NEW TANKS  - ITEMS</v>
          </cell>
        </row>
        <row r="841">
          <cell r="H841" t="str">
            <v>98-0788-000</v>
          </cell>
          <cell r="I841" t="str">
            <v>1000 LITRE OLD TANK  - ITEMS</v>
          </cell>
        </row>
        <row r="842">
          <cell r="H842" t="str">
            <v>98-0797-000</v>
          </cell>
          <cell r="I842" t="str">
            <v>9000 LITRE NEW TANK - ITEMS</v>
          </cell>
        </row>
        <row r="843">
          <cell r="H843" t="str">
            <v>98-0806-000</v>
          </cell>
          <cell r="I843" t="str">
            <v>WASTE OIL DRAINER UNITS - ITEMS</v>
          </cell>
        </row>
        <row r="844">
          <cell r="H844" t="str">
            <v>98-0807-000</v>
          </cell>
          <cell r="I844" t="str">
            <v>FIRE SAND BUCKETS</v>
          </cell>
        </row>
        <row r="845">
          <cell r="H845" t="str">
            <v>98-0815-000</v>
          </cell>
          <cell r="I845" t="str">
            <v>OIL FILLERS - ITEMS</v>
          </cell>
        </row>
        <row r="846">
          <cell r="H846" t="str">
            <v>98-0824-000</v>
          </cell>
          <cell r="I846" t="str">
            <v>EMCO WHEATON MANHOLE COVR - ITEMS</v>
          </cell>
        </row>
        <row r="847">
          <cell r="H847" t="str">
            <v>98-0833-000</v>
          </cell>
          <cell r="I847" t="str">
            <v>2.5' HOSES  - ITEMS</v>
          </cell>
        </row>
        <row r="848">
          <cell r="H848" t="str">
            <v>98-0842-000</v>
          </cell>
          <cell r="I848" t="str">
            <v>EMCO WHEATON LD. ARM VALV - ITEMS</v>
          </cell>
        </row>
        <row r="849">
          <cell r="H849" t="str">
            <v>98-0851-000</v>
          </cell>
          <cell r="I849" t="str">
            <v>10' BLADE FLANGES  - ITEMS</v>
          </cell>
        </row>
        <row r="850">
          <cell r="H850" t="str">
            <v>98-0860-000</v>
          </cell>
          <cell r="I850" t="str">
            <v>700 X 15 NEW TYRES FORKLF  - ITEMS</v>
          </cell>
        </row>
        <row r="851">
          <cell r="H851" t="str">
            <v>98-0879-000</v>
          </cell>
          <cell r="I851" t="str">
            <v>700 X 12 NEW FORKLF TYRES  - ITEMS</v>
          </cell>
        </row>
        <row r="852">
          <cell r="H852" t="str">
            <v>98-0888-000</v>
          </cell>
          <cell r="I852" t="str">
            <v>600X9 FORK LIFT TYRES-NEW  - ITEMS</v>
          </cell>
        </row>
        <row r="853">
          <cell r="H853" t="str">
            <v>98-0897-000</v>
          </cell>
          <cell r="I853" t="str">
            <v>650X10FORK LIFT TYRES-NEW  - ITEMS</v>
          </cell>
        </row>
        <row r="854">
          <cell r="H854" t="str">
            <v>98-0906-000</v>
          </cell>
          <cell r="I854" t="str">
            <v>GILBARCO 1/3 HP MOTORS - ITEMS</v>
          </cell>
        </row>
        <row r="855">
          <cell r="H855" t="str">
            <v>98-0907-000</v>
          </cell>
          <cell r="I855" t="str">
            <v>FASTENERS (BOLTS WITH NUTS)</v>
          </cell>
        </row>
        <row r="856">
          <cell r="H856" t="str">
            <v>98-0908-000</v>
          </cell>
          <cell r="I856" t="str">
            <v>GEAR BOX OUTPUT SHAFT (VOLVO)</v>
          </cell>
        </row>
        <row r="857">
          <cell r="H857" t="str">
            <v>98-0909-000</v>
          </cell>
          <cell r="I857" t="str">
            <v>NEW TYRES - SIZE 10R*22.5</v>
          </cell>
        </row>
        <row r="858">
          <cell r="H858" t="str">
            <v>98-0910-000</v>
          </cell>
          <cell r="I858" t="str">
            <v>GILB</v>
          </cell>
        </row>
        <row r="859">
          <cell r="H859" t="str">
            <v>98-0915-000</v>
          </cell>
          <cell r="I859" t="str">
            <v>FRONT WHEEL BEARING - ITEMS</v>
          </cell>
        </row>
        <row r="860">
          <cell r="H860" t="str">
            <v>98-0924-000</v>
          </cell>
          <cell r="I860" t="str">
            <v>BEARING FOR LEYLAND TRUCK - ITEMS</v>
          </cell>
        </row>
        <row r="861">
          <cell r="H861" t="str">
            <v>98-0933-000</v>
          </cell>
          <cell r="I861" t="str">
            <v>CONTROL ARMS - ITEMS</v>
          </cell>
        </row>
        <row r="862">
          <cell r="H862" t="str">
            <v>98-0942-000</v>
          </cell>
          <cell r="I862" t="str">
            <v>BRAKE SHOES FOR TRUCKS - ITEMS</v>
          </cell>
        </row>
        <row r="863">
          <cell r="H863" t="str">
            <v>98-0951-000</v>
          </cell>
          <cell r="I863" t="str">
            <v>1000 X 20 RETREAD TYRES  - ITEMS</v>
          </cell>
        </row>
        <row r="864">
          <cell r="H864" t="str">
            <v>98-0960-000</v>
          </cell>
          <cell r="I864" t="str">
            <v>1100 X 20 NEW TYRES  - ITEMS</v>
          </cell>
        </row>
        <row r="865">
          <cell r="H865" t="str">
            <v>98-0979-000</v>
          </cell>
          <cell r="I865" t="str">
            <v>1200 X 20 NEW TYRES  - ITEMS</v>
          </cell>
        </row>
        <row r="866">
          <cell r="H866" t="str">
            <v>98-0988-000</v>
          </cell>
          <cell r="I866" t="str">
            <v>1000X20 NEW TYRES  - ITEMS</v>
          </cell>
        </row>
        <row r="867">
          <cell r="H867" t="str">
            <v>98-0997-000</v>
          </cell>
          <cell r="I867" t="str">
            <v>1100 X 20 RETREAD TYRES  - ITEMS</v>
          </cell>
        </row>
        <row r="868">
          <cell r="H868" t="str">
            <v>98-1006-000</v>
          </cell>
          <cell r="I868" t="str">
            <v>SAFETY HELMETS - ITEMS</v>
          </cell>
        </row>
        <row r="869">
          <cell r="H869" t="str">
            <v>98-1015-000</v>
          </cell>
          <cell r="I869" t="str">
            <v>STAINLESS STEEL BALL VALVE - ITEMS</v>
          </cell>
        </row>
        <row r="870">
          <cell r="H870" t="str">
            <v>98-1024-000</v>
          </cell>
          <cell r="I870" t="str">
            <v>100 X 2 NEW TUBES  - ITEMS</v>
          </cell>
        </row>
        <row r="871">
          <cell r="H871" t="str">
            <v>98-1033-000</v>
          </cell>
          <cell r="I871" t="str">
            <v>BRAKE DRUMS FOR TRAILERS - ITEMS</v>
          </cell>
        </row>
        <row r="872">
          <cell r="H872" t="str">
            <v>98-1042-000</v>
          </cell>
          <cell r="I872" t="str">
            <v>TRAILER HUBS - ITEMS</v>
          </cell>
        </row>
        <row r="873">
          <cell r="H873" t="str">
            <v>98-1051-000</v>
          </cell>
          <cell r="I873" t="str">
            <v>BRAKE ADJUSTERS - ITEMS</v>
          </cell>
        </row>
        <row r="874">
          <cell r="H874" t="str">
            <v>98-1060-000</v>
          </cell>
          <cell r="I874" t="str">
            <v>REAR VIEW MIRRORS - ITEMS</v>
          </cell>
        </row>
        <row r="875">
          <cell r="H875" t="str">
            <v>98-1079-000</v>
          </cell>
          <cell r="I875" t="str">
            <v>REVOLUTION COUNTERS - ITEMS</v>
          </cell>
        </row>
        <row r="876">
          <cell r="H876" t="str">
            <v>98-1088-000</v>
          </cell>
          <cell r="I876" t="str">
            <v>VOLVO TIMING SHIMS - ITEMS</v>
          </cell>
        </row>
        <row r="877">
          <cell r="H877" t="str">
            <v>98-1097-000</v>
          </cell>
          <cell r="I877" t="str">
            <v>FLASHER UNIT - ITEMS</v>
          </cell>
        </row>
        <row r="878">
          <cell r="H878" t="str">
            <v>98-1106-000</v>
          </cell>
          <cell r="I878" t="str">
            <v>WATER LEVEL SENSOR UNITS - ITEMS</v>
          </cell>
        </row>
        <row r="879">
          <cell r="H879" t="str">
            <v>98-1115-000</v>
          </cell>
          <cell r="I879" t="str">
            <v>CABIN SHOCK-ABSORBER - ITEMS</v>
          </cell>
        </row>
        <row r="880">
          <cell r="H880" t="str">
            <v>98-1124-000</v>
          </cell>
          <cell r="I880" t="str">
            <v>SHOCKS FOR VOLVO TRUCKS - ITEMS</v>
          </cell>
        </row>
        <row r="881">
          <cell r="H881" t="str">
            <v>98-1133-000</v>
          </cell>
          <cell r="I881" t="str">
            <v>HUB CAPS - ITEMS</v>
          </cell>
        </row>
        <row r="882">
          <cell r="H882" t="str">
            <v>98-1142-000</v>
          </cell>
          <cell r="I882" t="str">
            <v>HORN BULTONS - ITEMS</v>
          </cell>
        </row>
        <row r="883">
          <cell r="H883" t="str">
            <v>98-1151-000</v>
          </cell>
          <cell r="I883" t="str">
            <v>STOPER CABLES - ITEMS</v>
          </cell>
        </row>
        <row r="884">
          <cell r="H884" t="str">
            <v>98-1160-000</v>
          </cell>
          <cell r="I884" t="str">
            <v>INJECTOR NOZZLES - ITEMS</v>
          </cell>
        </row>
        <row r="885">
          <cell r="H885" t="str">
            <v>98-1179-000</v>
          </cell>
          <cell r="I885" t="str">
            <v>SELENOID VALVES - ITEMS</v>
          </cell>
        </row>
        <row r="886">
          <cell r="H886" t="str">
            <v>98-1188-000</v>
          </cell>
          <cell r="I886" t="str">
            <v>PUMP KITS - ITEMS</v>
          </cell>
        </row>
        <row r="887">
          <cell r="H887" t="str">
            <v>98-1197-000</v>
          </cell>
          <cell r="I887" t="str">
            <v>CYLINDER LINERS - ITEMS</v>
          </cell>
        </row>
        <row r="888">
          <cell r="H888" t="str">
            <v>98-1206-000</v>
          </cell>
          <cell r="I888" t="str">
            <v>FRONT END LIGHTS - ITEMS</v>
          </cell>
        </row>
        <row r="889">
          <cell r="H889" t="str">
            <v>98-1215-000</v>
          </cell>
          <cell r="I889" t="str">
            <v>MASTER CYLINDERS - ITEMS</v>
          </cell>
        </row>
        <row r="890">
          <cell r="H890" t="str">
            <v>98-1224-000</v>
          </cell>
          <cell r="I890" t="str">
            <v>TACHOGRAPH SENSORS - ITEMS</v>
          </cell>
        </row>
        <row r="891">
          <cell r="H891" t="str">
            <v>98-1233-000</v>
          </cell>
          <cell r="I891" t="str">
            <v>BRAKE BOOSTERS - ITEMS</v>
          </cell>
        </row>
        <row r="892">
          <cell r="H892" t="str">
            <v>98-1242-000</v>
          </cell>
          <cell r="I892" t="str">
            <v>GEAR BOX MOUNTINGS - ITEMS</v>
          </cell>
        </row>
        <row r="893">
          <cell r="H893" t="str">
            <v>98-1251-000</v>
          </cell>
          <cell r="I893" t="str">
            <v>CLUTCH CYL REPAIR KITS  - ITEMS</v>
          </cell>
        </row>
        <row r="894">
          <cell r="H894" t="str">
            <v>98-1260-000</v>
          </cell>
          <cell r="I894" t="str">
            <v>CIRCUIT BOARDS - ITEMS</v>
          </cell>
        </row>
        <row r="895">
          <cell r="H895" t="str">
            <v>98-1279-000</v>
          </cell>
          <cell r="I895" t="str">
            <v>CYLINDER HEAD GASKETS - ITEMS</v>
          </cell>
        </row>
        <row r="896">
          <cell r="H896" t="str">
            <v>98-1288-000</v>
          </cell>
          <cell r="I896" t="str">
            <v>CON-ROD BEARINGS - ITEMS</v>
          </cell>
        </row>
        <row r="897">
          <cell r="H897" t="str">
            <v>98-1297-000</v>
          </cell>
          <cell r="I897" t="str">
            <v>PISTON RINGS - ITEMS</v>
          </cell>
        </row>
        <row r="898">
          <cell r="H898" t="str">
            <v>98-1306-000</v>
          </cell>
          <cell r="I898" t="str">
            <v>BRAKE LININGS - ITEMS</v>
          </cell>
        </row>
        <row r="899">
          <cell r="H899" t="str">
            <v>98-1315-000</v>
          </cell>
          <cell r="I899" t="str">
            <v>ENGINE BRAKES - ITEMS</v>
          </cell>
        </row>
        <row r="900">
          <cell r="H900" t="str">
            <v>98-1324-000</v>
          </cell>
          <cell r="I900" t="str">
            <v>RADIATOR MOUNTINGS - ITEMS</v>
          </cell>
        </row>
        <row r="901">
          <cell r="H901" t="str">
            <v>98-1333-000</v>
          </cell>
          <cell r="I901" t="str">
            <v>CLUTCH PLATES - ITEMS</v>
          </cell>
        </row>
        <row r="902">
          <cell r="H902" t="str">
            <v>98-1342-000</v>
          </cell>
          <cell r="I902" t="str">
            <v>FUEL RETURN PIPES - ITEMS</v>
          </cell>
        </row>
        <row r="903">
          <cell r="H903" t="str">
            <v>98-1351-000</v>
          </cell>
          <cell r="I903" t="str">
            <v>FLEXIBLE EXHAUST - ITEMS</v>
          </cell>
        </row>
        <row r="904">
          <cell r="H904" t="str">
            <v>98-1360-000</v>
          </cell>
          <cell r="I904" t="str">
            <v>DOOR LOCKS ITEMS</v>
          </cell>
        </row>
        <row r="905">
          <cell r="H905" t="str">
            <v>98-1379-000</v>
          </cell>
          <cell r="I905" t="str">
            <v>DOOR HANDLES - ITEMS</v>
          </cell>
        </row>
        <row r="906">
          <cell r="H906" t="str">
            <v>98-1388-000</v>
          </cell>
          <cell r="I906" t="str">
            <v>TURBO HOUSINGS - ITEMS</v>
          </cell>
        </row>
        <row r="907">
          <cell r="H907" t="str">
            <v>98-1397-000</v>
          </cell>
          <cell r="I907" t="str">
            <v>TURBO DEFUSERS - ITEMS</v>
          </cell>
        </row>
        <row r="908">
          <cell r="H908" t="str">
            <v>98-1406-000</v>
          </cell>
          <cell r="I908" t="str">
            <v>RADIATOR HOSES - ITEMS</v>
          </cell>
        </row>
        <row r="909">
          <cell r="H909" t="str">
            <v>98-1415-000</v>
          </cell>
          <cell r="I909" t="str">
            <v>OVER-HAUL GASKET KITS - ITEMS</v>
          </cell>
        </row>
        <row r="910">
          <cell r="H910" t="str">
            <v>98-1424-000</v>
          </cell>
          <cell r="I910" t="str">
            <v>TRUCK GUAGES (PREAS.TEMP.) - ITEMS</v>
          </cell>
        </row>
        <row r="911">
          <cell r="H911" t="str">
            <v>98-1433-000</v>
          </cell>
          <cell r="I911" t="str">
            <v>RELAYS FOR TRUCKS - ITEMS</v>
          </cell>
        </row>
        <row r="912">
          <cell r="H912" t="str">
            <v>98-1442-000</v>
          </cell>
          <cell r="I912" t="str">
            <v>PROPELLER SHAFT UNIV.JOIN - ITEMS</v>
          </cell>
        </row>
        <row r="913">
          <cell r="H913" t="str">
            <v>98-1451-000</v>
          </cell>
          <cell r="I913" t="str">
            <v>SUMP GASKETS - ITEMS</v>
          </cell>
        </row>
        <row r="914">
          <cell r="H914" t="str">
            <v>98-1460-000</v>
          </cell>
          <cell r="I914" t="str">
            <v>CENTRE BEARINGS - ITEMS</v>
          </cell>
        </row>
        <row r="915">
          <cell r="H915" t="str">
            <v>98-1479-000</v>
          </cell>
          <cell r="I915" t="str">
            <v>OIL SEALS - ITEMS</v>
          </cell>
        </row>
        <row r="916">
          <cell r="H916" t="str">
            <v>98-1488-000</v>
          </cell>
          <cell r="I916" t="str">
            <v>FILLER CAPS - ITEMS</v>
          </cell>
        </row>
        <row r="917">
          <cell r="H917" t="str">
            <v>98-1497-000</v>
          </cell>
          <cell r="I917" t="str">
            <v>PROPLELLOR SCREWS - ITEMS</v>
          </cell>
        </row>
        <row r="918">
          <cell r="H918" t="str">
            <v>98-1506-000</v>
          </cell>
          <cell r="I918" t="str">
            <v>BRAKE CUM BUSHES - ITEMS</v>
          </cell>
        </row>
        <row r="919">
          <cell r="H919" t="str">
            <v>98-1507-000</v>
          </cell>
          <cell r="I919" t="str">
            <v>CONTROL HANDLE BUSHES-MALE</v>
          </cell>
        </row>
        <row r="920">
          <cell r="H920" t="str">
            <v>98-1508-000</v>
          </cell>
          <cell r="I920" t="str">
            <v>SWING JOINT RUBBERS</v>
          </cell>
        </row>
        <row r="921">
          <cell r="H921" t="str">
            <v>98-1509-000</v>
          </cell>
          <cell r="I921" t="str">
            <v>SWING JOINT RUBBERS</v>
          </cell>
        </row>
        <row r="922">
          <cell r="H922" t="str">
            <v>98-1510-000</v>
          </cell>
          <cell r="I922" t="str">
            <v>VACUUM BREATHERS</v>
          </cell>
        </row>
        <row r="923">
          <cell r="H923" t="str">
            <v>98-1511-000</v>
          </cell>
          <cell r="I923" t="str">
            <v>VALVE CAMS</v>
          </cell>
        </row>
        <row r="924">
          <cell r="H924" t="str">
            <v>98-1515-000</v>
          </cell>
          <cell r="I924" t="str">
            <v>ROLLER PINS - ITEMS</v>
          </cell>
        </row>
        <row r="925">
          <cell r="H925" t="str">
            <v>98-1524-000</v>
          </cell>
          <cell r="I925" t="str">
            <v>WIPER ARMS - ITEMS</v>
          </cell>
        </row>
        <row r="926">
          <cell r="H926" t="str">
            <v>98-1525-000</v>
          </cell>
          <cell r="I926" t="str">
            <v>LOADING ARM SPRINGS</v>
          </cell>
        </row>
        <row r="927">
          <cell r="H927" t="str">
            <v>98-1528-000</v>
          </cell>
          <cell r="I927" t="str">
            <v>TOP COVER GASKET</v>
          </cell>
        </row>
        <row r="928">
          <cell r="H928" t="str">
            <v>98-1529-000</v>
          </cell>
          <cell r="I928" t="str">
            <v>CONTROL HANDLE BUSHES - FEMALE</v>
          </cell>
        </row>
        <row r="929">
          <cell r="H929" t="str">
            <v>98-1533-000</v>
          </cell>
          <cell r="I929" t="str">
            <v>EXHAUST PIPES - ITEMS</v>
          </cell>
        </row>
        <row r="930">
          <cell r="H930" t="str">
            <v>98-1542-000</v>
          </cell>
          <cell r="I930" t="str">
            <v>3-WAY NIPPLES - ITEMS</v>
          </cell>
        </row>
        <row r="931">
          <cell r="H931" t="str">
            <v>98-1551-000</v>
          </cell>
          <cell r="I931" t="str">
            <v>TEST NIPPLES - ITEMS</v>
          </cell>
        </row>
        <row r="932">
          <cell r="H932" t="str">
            <v>98-1552-000</v>
          </cell>
          <cell r="I932" t="str">
            <v>STD CALIBRATOR GAS CONT.</v>
          </cell>
        </row>
        <row r="933">
          <cell r="H933" t="str">
            <v>98-1560-000</v>
          </cell>
          <cell r="I933" t="str">
            <v>INDUSTRIAL REGULATORS - ITEMS</v>
          </cell>
        </row>
        <row r="934">
          <cell r="H934" t="str">
            <v>98-1579-000</v>
          </cell>
          <cell r="I934" t="str">
            <v>GASKET SHELLACK - ITEMS</v>
          </cell>
        </row>
        <row r="935">
          <cell r="H935" t="str">
            <v>98-1588-000</v>
          </cell>
          <cell r="I935" t="str">
            <v>3' RELIEVE VALVE FOR TNK  - ITEMS</v>
          </cell>
        </row>
        <row r="936">
          <cell r="H936" t="str">
            <v>98-1597-000</v>
          </cell>
          <cell r="I936" t="str">
            <v>2' SHUT OFF VALVES  - ITEMS</v>
          </cell>
        </row>
        <row r="937">
          <cell r="H937" t="str">
            <v>98-1606-000</v>
          </cell>
          <cell r="I937" t="str">
            <v>MECHANICAL SEALS - ITEMS</v>
          </cell>
        </row>
        <row r="938">
          <cell r="H938" t="str">
            <v>98-1615-000</v>
          </cell>
          <cell r="I938" t="str">
            <v>CORKEN GAS PUMP STATOR - ITEMS</v>
          </cell>
        </row>
        <row r="939">
          <cell r="H939" t="str">
            <v>98-1624-000</v>
          </cell>
          <cell r="I939" t="str">
            <v>L.P.G. CYLINDER VALVES - ITEMS</v>
          </cell>
        </row>
        <row r="940">
          <cell r="H940" t="str">
            <v>98-1633-000</v>
          </cell>
          <cell r="I940" t="str">
            <v>2 ' DIAMETER MET. GASKET  - ITEMS</v>
          </cell>
        </row>
        <row r="941">
          <cell r="H941" t="str">
            <v>98-1642-000</v>
          </cell>
          <cell r="I941" t="str">
            <v>3' DIAMETER MET. GASKET  - ITEMS</v>
          </cell>
        </row>
        <row r="942">
          <cell r="H942" t="str">
            <v>98-1651-000</v>
          </cell>
          <cell r="I942" t="str">
            <v>4' DIAMETER MET. GASKET  - ITEMS</v>
          </cell>
        </row>
        <row r="943">
          <cell r="H943" t="str">
            <v>98-1660-000</v>
          </cell>
          <cell r="I943" t="str">
            <v>2' DIAMETER BISCUIT VALVES - ITEMS</v>
          </cell>
        </row>
        <row r="944">
          <cell r="H944" t="str">
            <v>98-1679-000</v>
          </cell>
          <cell r="I944" t="str">
            <v>3' DIAMETER MECAIR C.VALVE - ITEMS</v>
          </cell>
        </row>
        <row r="945">
          <cell r="H945" t="str">
            <v>98-1688-000</v>
          </cell>
          <cell r="I945" t="str">
            <v>3' DIAMETER BISCUIT VALVES - ITEMS</v>
          </cell>
        </row>
        <row r="946">
          <cell r="H946" t="str">
            <v>98-1697-000</v>
          </cell>
          <cell r="I946" t="str">
            <v>4' DIAMETER MECAIR VALVES - ITEMS</v>
          </cell>
        </row>
        <row r="947">
          <cell r="H947" t="str">
            <v>98-1706-000</v>
          </cell>
          <cell r="I947" t="str">
            <v>1.5' DIAMETER MECAIR VALVE - ITEMS</v>
          </cell>
        </row>
        <row r="948">
          <cell r="H948" t="str">
            <v>98-1715-000</v>
          </cell>
          <cell r="I948" t="str">
            <v>J.C. CARTER NOZZLE - ITEMS</v>
          </cell>
        </row>
        <row r="949">
          <cell r="H949" t="str">
            <v>98-1724-000</v>
          </cell>
          <cell r="I949" t="str">
            <v>4' COUPLER BUMPERS  - ITEMS</v>
          </cell>
        </row>
        <row r="950">
          <cell r="H950" t="str">
            <v>98-1733-000</v>
          </cell>
          <cell r="I950" t="str">
            <v>AIR BLOWER - ITEMS</v>
          </cell>
        </row>
        <row r="951">
          <cell r="H951" t="str">
            <v>98-1742-000</v>
          </cell>
          <cell r="I951" t="str">
            <v>2.5' SWIVEL ASSEMBLY  - ITEMS</v>
          </cell>
        </row>
        <row r="952">
          <cell r="H952" t="str">
            <v>98-1751-000</v>
          </cell>
          <cell r="I952" t="str">
            <v>COLLAR 2.5' WITH 2 RINGS - ITEMS</v>
          </cell>
        </row>
        <row r="953">
          <cell r="H953" t="str">
            <v>98-1760-000</v>
          </cell>
          <cell r="I953" t="str">
            <v>JABSCO PUMPS - ITEMS</v>
          </cell>
        </row>
        <row r="954">
          <cell r="H954" t="str">
            <v>98-1779-000</v>
          </cell>
          <cell r="I954" t="str">
            <v>4' SWING JOINT FOR H/S  - ITEMS</v>
          </cell>
        </row>
        <row r="955">
          <cell r="H955" t="str">
            <v>98-1788-000</v>
          </cell>
          <cell r="I955" t="str">
            <v>MESH STRAINER PN41767 - ITEMS</v>
          </cell>
        </row>
        <row r="956">
          <cell r="H956" t="str">
            <v>98-1797-000</v>
          </cell>
          <cell r="I956" t="str">
            <v>COMPLETE REGISTER ASSEMBL - ITEMS</v>
          </cell>
        </row>
        <row r="957">
          <cell r="H957" t="str">
            <v>98-1806-000</v>
          </cell>
          <cell r="I957" t="str">
            <v>4' INLET STRAINER FOR CHV  - ITEMS</v>
          </cell>
        </row>
        <row r="958">
          <cell r="H958" t="str">
            <v>98-1807-000</v>
          </cell>
          <cell r="I958" t="str">
            <v>OIL DRUM PUMP COVER</v>
          </cell>
        </row>
        <row r="959">
          <cell r="H959" t="str">
            <v>98-1808-000</v>
          </cell>
          <cell r="I959" t="str">
            <v>OIL LEAK TRAYS</v>
          </cell>
        </row>
        <row r="960">
          <cell r="H960" t="str">
            <v>98-1809-000</v>
          </cell>
          <cell r="I960" t="str">
            <v>CYLINDER HEAD PLUG</v>
          </cell>
        </row>
        <row r="961">
          <cell r="H961" t="str">
            <v>98-1810-000</v>
          </cell>
          <cell r="I961" t="str">
            <v>1/2'' OIL REEL HOSES</v>
          </cell>
        </row>
        <row r="962">
          <cell r="H962" t="str">
            <v>98-1815-000</v>
          </cell>
          <cell r="I962" t="str">
            <v>PRESSURE PILOT VALVES D F - ITEMS</v>
          </cell>
        </row>
        <row r="963">
          <cell r="H963" t="str">
            <v>98-1824-000</v>
          </cell>
          <cell r="I963" t="str">
            <v>BLOCKOUT DEVICE MODEL GTP1257 - ITEMS</v>
          </cell>
        </row>
        <row r="964">
          <cell r="H964" t="str">
            <v>98-1833-000</v>
          </cell>
          <cell r="I964" t="str">
            <v>VENT POST QD MODEL GTP 771 - ITEMS</v>
          </cell>
        </row>
        <row r="965">
          <cell r="H965" t="str">
            <v>98-1834-000</v>
          </cell>
          <cell r="I965" t="str">
            <v>GARSITE HOSE TESTER - ITEM</v>
          </cell>
        </row>
        <row r="966">
          <cell r="H966" t="str">
            <v>98-1835-000</v>
          </cell>
          <cell r="I966" t="str">
            <v>MATCHED MONITORS - ITEMS</v>
          </cell>
        </row>
        <row r="967">
          <cell r="H967" t="str">
            <v>98-1836-000</v>
          </cell>
          <cell r="I967" t="str">
            <v>BONDING CLAMPS</v>
          </cell>
        </row>
        <row r="968">
          <cell r="H968" t="str">
            <v>98-1837-000</v>
          </cell>
          <cell r="I968" t="str">
            <v>3'' BULK METER CALIBRATOR - ITEM</v>
          </cell>
        </row>
        <row r="969">
          <cell r="H969" t="str">
            <v>98-1838-000</v>
          </cell>
          <cell r="I969" t="str">
            <v>3'' BULK METER OISTER COVER - ITEM</v>
          </cell>
        </row>
        <row r="970">
          <cell r="H970" t="str">
            <v>98-1839-000</v>
          </cell>
          <cell r="I970" t="str">
            <v>1 * 2*2.5'' * 10' HOSE - ITEMS</v>
          </cell>
        </row>
        <row r="971">
          <cell r="H971" t="str">
            <v>98-1842-000</v>
          </cell>
          <cell r="I971" t="str">
            <v>CONDUCTIVITY MEASURING BRIDGE - ITEMS</v>
          </cell>
        </row>
        <row r="972">
          <cell r="H972" t="str">
            <v>98-1851-000</v>
          </cell>
          <cell r="I972" t="str">
            <v>BUMPER PT HO33622 - ITEMS</v>
          </cell>
        </row>
        <row r="973">
          <cell r="H973" t="str">
            <v>98-1860-000</v>
          </cell>
          <cell r="I973" t="str">
            <v>MATCHED WIGHT MONITOR - ITEMS</v>
          </cell>
        </row>
        <row r="974">
          <cell r="H974" t="str">
            <v>98-1879-000</v>
          </cell>
          <cell r="I974" t="str">
            <v>OPW SEMI AUTO NOZZLES - ITEMS</v>
          </cell>
        </row>
        <row r="975">
          <cell r="H975" t="str">
            <v>98-1888-000</v>
          </cell>
          <cell r="I975" t="str">
            <v>NOZZLE SPOUT SUB-ASSEMBLY - ITEMS</v>
          </cell>
        </row>
        <row r="976">
          <cell r="H976" t="str">
            <v>98-1897-000</v>
          </cell>
          <cell r="I976" t="str">
            <v>GREASE HOSES - ITEMS</v>
          </cell>
        </row>
        <row r="977">
          <cell r="H977" t="str">
            <v>98-1906-000</v>
          </cell>
          <cell r="I977" t="str">
            <v>GREASE GUN CONTROL VALVES - ITEMS</v>
          </cell>
        </row>
        <row r="978">
          <cell r="H978" t="str">
            <v>98-1915-000</v>
          </cell>
          <cell r="I978" t="str">
            <v>GREASE PUMP BODIES - ITEMS</v>
          </cell>
        </row>
        <row r="979">
          <cell r="H979" t="str">
            <v>98-1924-000</v>
          </cell>
          <cell r="I979" t="str">
            <v>PUMP AIR SEPARATORS - ITEMS</v>
          </cell>
        </row>
        <row r="980">
          <cell r="H980" t="str">
            <v>98-1933-000</v>
          </cell>
          <cell r="I980" t="str">
            <v>COMPUTER SIDE FRAME - ITEMS</v>
          </cell>
        </row>
        <row r="981">
          <cell r="H981" t="str">
            <v>98-1942-000</v>
          </cell>
          <cell r="I981" t="str">
            <v>PUMP DIAL FRAMES - ITEMS</v>
          </cell>
        </row>
        <row r="982">
          <cell r="H982" t="str">
            <v>98-1951-000</v>
          </cell>
          <cell r="I982" t="str">
            <v>CD 40 MONO PUMP STATOR - ITEMS</v>
          </cell>
        </row>
        <row r="983">
          <cell r="H983" t="str">
            <v>98-1960-000</v>
          </cell>
          <cell r="I983" t="str">
            <v>SEMI ROTARY PUMP ROTORS - ITEMS</v>
          </cell>
        </row>
        <row r="984">
          <cell r="H984" t="str">
            <v>98-1979-000</v>
          </cell>
          <cell r="I984" t="str">
            <v>BUILDING WALL SIGN PANEL - ITEMS</v>
          </cell>
        </row>
        <row r="985">
          <cell r="H985" t="str">
            <v>98-1988-000</v>
          </cell>
          <cell r="I985" t="str">
            <v>CANOPY FASCIA ESSO PANEL - ITEMS</v>
          </cell>
        </row>
        <row r="986">
          <cell r="H986" t="str">
            <v>98-1997-000</v>
          </cell>
          <cell r="I986" t="str">
            <v>BUILDING WALL SIGN RED PN - ITEMS</v>
          </cell>
        </row>
        <row r="987">
          <cell r="H987" t="str">
            <v>98-2006-000</v>
          </cell>
          <cell r="I987" t="str">
            <v>WHITE FIELD SPREADER PAN. - ITEMS</v>
          </cell>
        </row>
        <row r="988">
          <cell r="H988" t="str">
            <v>98-2007-000</v>
          </cell>
          <cell r="I988" t="str">
            <v>1'' FUEL DELIVERY HOSE</v>
          </cell>
        </row>
        <row r="989">
          <cell r="H989" t="str">
            <v>98-2008-000</v>
          </cell>
          <cell r="I989" t="str">
            <v>3/4'' FUEL DELIVERY HOSE</v>
          </cell>
        </row>
        <row r="990">
          <cell r="H990" t="str">
            <v>98-2015-000</v>
          </cell>
          <cell r="I990" t="str">
            <v>3/4' X 12' FUEL DEL. HOSE  - ITEMS</v>
          </cell>
        </row>
        <row r="991">
          <cell r="H991" t="str">
            <v>98-2024-000</v>
          </cell>
          <cell r="I991" t="str">
            <v>60' X 3/4' PET. DEL HOSES  - ITEMS</v>
          </cell>
        </row>
        <row r="992">
          <cell r="H992" t="str">
            <v>98-2033-000</v>
          </cell>
          <cell r="I992" t="str">
            <v>TWIN AIR GAUGE HOSES - ITEMS</v>
          </cell>
        </row>
        <row r="993">
          <cell r="H993" t="str">
            <v>98-2042-000</v>
          </cell>
          <cell r="I993" t="str">
            <v>FLOAT ASSEMBLIES - ITEMS</v>
          </cell>
        </row>
        <row r="994">
          <cell r="H994" t="str">
            <v>98-2051-000</v>
          </cell>
          <cell r="I994" t="str">
            <v>NEW GILBARCO METERING UNT - ITEMS</v>
          </cell>
        </row>
        <row r="995">
          <cell r="H995" t="str">
            <v>98-2060-000</v>
          </cell>
          <cell r="I995" t="str">
            <v>NEW GILBARCO PUMPING UNTS - ITEMS</v>
          </cell>
        </row>
        <row r="996">
          <cell r="H996" t="str">
            <v>98-2070-000</v>
          </cell>
          <cell r="I996" t="str">
            <v>GILBARCO ELECTRIC PUMP</v>
          </cell>
        </row>
        <row r="997">
          <cell r="H997" t="str">
            <v>98-2079-000</v>
          </cell>
          <cell r="I997" t="str">
            <v>OIL NON DRIP NOZZLE TCLMT - ITEMS</v>
          </cell>
        </row>
        <row r="998">
          <cell r="H998" t="str">
            <v>98-2088-000</v>
          </cell>
          <cell r="I998" t="str">
            <v>GILBARCO TRIM PUMP PANEL - ITEMS</v>
          </cell>
        </row>
        <row r="999">
          <cell r="H999" t="str">
            <v>98-2097-000</v>
          </cell>
          <cell r="I999" t="str">
            <v>AUTOMATIC VALUE P.NO.9961 - ITEMS</v>
          </cell>
        </row>
        <row r="1000">
          <cell r="H1000" t="str">
            <v>98-2106-000</v>
          </cell>
          <cell r="I1000" t="str">
            <v>COMPUTER ASSY NO. KG-100 - ITEMS</v>
          </cell>
        </row>
        <row r="1001">
          <cell r="H1001" t="str">
            <v>98-2115-000</v>
          </cell>
          <cell r="I1001" t="str">
            <v>TOTALS KEY SWITCH KG-105 - ITEMS</v>
          </cell>
        </row>
        <row r="1002">
          <cell r="H1002" t="str">
            <v>98-2124-000</v>
          </cell>
          <cell r="I1002" t="str">
            <v>DISPLAY ASSY KG - 124 - ITEMS</v>
          </cell>
        </row>
        <row r="1003">
          <cell r="H1003" t="str">
            <v>98-2133-000</v>
          </cell>
          <cell r="I1003" t="str">
            <v>OILER ASSEMBLY P.NO.9881 - ITEMS</v>
          </cell>
        </row>
        <row r="1004">
          <cell r="H1004" t="str">
            <v>98-2142-000</v>
          </cell>
          <cell r="I1004" t="str">
            <v>MICRO SWITCH KG - 006 - ITEMS</v>
          </cell>
        </row>
        <row r="1005">
          <cell r="H1005" t="str">
            <v>98-2151-000</v>
          </cell>
          <cell r="I1005" t="str">
            <v>MECHANICAL TOTALIZER KG-010 - ITEMS</v>
          </cell>
        </row>
        <row r="1006">
          <cell r="H1006" t="str">
            <v>98-2160-000</v>
          </cell>
          <cell r="I1006" t="str">
            <v>PUMP TUBE PT NO. 9876 - ITEMS</v>
          </cell>
        </row>
        <row r="1007">
          <cell r="H1007" t="str">
            <v>98-2179-000</v>
          </cell>
          <cell r="I1007" t="str">
            <v>3MM PERSPEX SHEETS  - ITEMS</v>
          </cell>
        </row>
        <row r="1008">
          <cell r="H1008" t="str">
            <v>98-2188-000</v>
          </cell>
          <cell r="I1008" t="str">
            <v>CD 60 MONO PUMP STATOR - ITEMS</v>
          </cell>
        </row>
        <row r="1009">
          <cell r="H1009" t="str">
            <v>98-2197-000</v>
          </cell>
          <cell r="I1009" t="str">
            <v>CD 70 MONO PUMP STATOR - ITEMS</v>
          </cell>
        </row>
        <row r="1010">
          <cell r="H1010" t="str">
            <v>98-2206-000</v>
          </cell>
          <cell r="I1010" t="str">
            <v>MD 80 MONOPUMP STATOR - ITEMS</v>
          </cell>
        </row>
        <row r="1011">
          <cell r="H1011" t="str">
            <v>98-2215-000</v>
          </cell>
          <cell r="I1011" t="str">
            <v>AIR GAUGE REMOTE CONTROL VALVE - ITEMS</v>
          </cell>
        </row>
        <row r="1012">
          <cell r="H1012" t="str">
            <v>98-2224-000</v>
          </cell>
          <cell r="I1012" t="str">
            <v>A/C GUAGE TYRE CONNECTOR NOZZL - ITEMS</v>
          </cell>
        </row>
        <row r="1013">
          <cell r="H1013" t="str">
            <v>98-2233-000</v>
          </cell>
          <cell r="I1013" t="str">
            <v>TRIMLINE PUMP PULLEYS - ITEMS</v>
          </cell>
        </row>
        <row r="1014">
          <cell r="H1014" t="str">
            <v>98-2242-000</v>
          </cell>
          <cell r="I1014" t="str">
            <v>PUMP METER SEAL HOUSING - ITEMS</v>
          </cell>
        </row>
        <row r="1015">
          <cell r="H1015" t="str">
            <v>98-2251-000</v>
          </cell>
          <cell r="I1015" t="str">
            <v>PUMP METERING UNIT VALVES - ITEMS</v>
          </cell>
        </row>
        <row r="1016">
          <cell r="H1016" t="str">
            <v>98-2260-000</v>
          </cell>
          <cell r="I1016" t="str">
            <v>TRIMLINE PUMPING UNIT - ITEMS</v>
          </cell>
        </row>
        <row r="1017">
          <cell r="H1017" t="str">
            <v>98-2279-000</v>
          </cell>
          <cell r="I1017" t="str">
            <v>COMPUTER RESET MECHANISM - ITEMS</v>
          </cell>
        </row>
        <row r="1018">
          <cell r="H1018" t="str">
            <v>98-2288-000</v>
          </cell>
          <cell r="I1018" t="str">
            <v>METERING UNIT CROSS MEMB. - ITEMS</v>
          </cell>
        </row>
        <row r="1019">
          <cell r="H1019" t="str">
            <v>98-2297-000</v>
          </cell>
          <cell r="I1019" t="str">
            <v>PUMP STOP - ITEMS</v>
          </cell>
        </row>
        <row r="1020">
          <cell r="H1020" t="str">
            <v>98-2306-000</v>
          </cell>
          <cell r="I1020" t="str">
            <v>METERING UNIT CAM SHAFT - ITEMS</v>
          </cell>
        </row>
        <row r="1021">
          <cell r="H1021" t="str">
            <v>98-2315-000</v>
          </cell>
          <cell r="I1021" t="str">
            <v>1.5' PUMP FLEXIBLE COUP.  - ITEMS</v>
          </cell>
        </row>
        <row r="1022">
          <cell r="H1022" t="str">
            <v>98-2324-000</v>
          </cell>
          <cell r="I1022" t="str">
            <v>METERING UNIT END COVERS - ITEMS</v>
          </cell>
        </row>
        <row r="1023">
          <cell r="H1023" t="str">
            <v>98-2333-000</v>
          </cell>
          <cell r="I1023" t="str">
            <v>VR MONEY WHEELS - ITEMS</v>
          </cell>
        </row>
        <row r="1024">
          <cell r="H1024" t="str">
            <v>98-2342-000</v>
          </cell>
          <cell r="I1024" t="str">
            <v>VR LITRE WHEELS - ITEMS</v>
          </cell>
        </row>
        <row r="1025">
          <cell r="H1025" t="str">
            <v>98-2351-000</v>
          </cell>
          <cell r="I1025" t="str">
            <v>GREASE PUMP COVERS - ITEMS</v>
          </cell>
        </row>
        <row r="1026">
          <cell r="H1026" t="str">
            <v>98-2360-000</v>
          </cell>
          <cell r="I1026" t="str">
            <v>COMPUTER DRIV GEAR &amp; SHAF - ITEMS</v>
          </cell>
        </row>
        <row r="1027">
          <cell r="H1027" t="str">
            <v>98-2379-000</v>
          </cell>
          <cell r="I1027" t="str">
            <v>COMPUTER RESET PLATES - ITEMS</v>
          </cell>
        </row>
        <row r="1028">
          <cell r="H1028" t="str">
            <v>98-2388-000</v>
          </cell>
          <cell r="I1028" t="str">
            <v>COMPUTER WHEEL SHAFT - ITEMS</v>
          </cell>
        </row>
        <row r="1029">
          <cell r="H1029" t="str">
            <v>98-2397-000</v>
          </cell>
          <cell r="I1029" t="str">
            <v>PRICE VARIATION GEARS - ITEMS</v>
          </cell>
        </row>
        <row r="1030">
          <cell r="H1030" t="str">
            <v>98-2406-000</v>
          </cell>
          <cell r="I1030" t="str">
            <v>VR TOTALIZERS - ITEMS</v>
          </cell>
        </row>
        <row r="1031">
          <cell r="H1031" t="str">
            <v>98-2415-000</v>
          </cell>
          <cell r="I1031" t="str">
            <v>AIR SEPARATOR FLOATS - ITEMS</v>
          </cell>
        </row>
        <row r="1032">
          <cell r="H1032" t="str">
            <v>98-2424-000</v>
          </cell>
          <cell r="I1032" t="str">
            <v>COMPUTER RODS - ITEMS</v>
          </cell>
        </row>
        <row r="1033">
          <cell r="H1033" t="str">
            <v>98-2433-000</v>
          </cell>
          <cell r="I1033" t="str">
            <v>NOZZLE TIP RESET - ITEMS</v>
          </cell>
        </row>
        <row r="1034">
          <cell r="H1034" t="str">
            <v>98-2442-000</v>
          </cell>
          <cell r="I1034" t="str">
            <v>METERING UNIT ADJ. WHEEL - ITEMS</v>
          </cell>
        </row>
        <row r="1035">
          <cell r="H1035" t="str">
            <v>98-2451-000</v>
          </cell>
          <cell r="I1035" t="str">
            <v>METERING UNIT PISTON SLEV - ITEMS</v>
          </cell>
        </row>
        <row r="1036">
          <cell r="H1036" t="str">
            <v>98-2460-000</v>
          </cell>
          <cell r="I1036" t="str">
            <v>PUMP MOTOR CAPACITORS - ITEMS</v>
          </cell>
        </row>
        <row r="1037">
          <cell r="H1037" t="str">
            <v>98-2479-000</v>
          </cell>
          <cell r="I1037" t="str">
            <v>PUMP FILTERS - ITEMS</v>
          </cell>
        </row>
        <row r="1038">
          <cell r="H1038" t="str">
            <v>98-2488-000</v>
          </cell>
          <cell r="I1038" t="str">
            <v>METER VALVE SEATS - ITEMS</v>
          </cell>
        </row>
        <row r="1039">
          <cell r="H1039" t="str">
            <v>98-2497-000</v>
          </cell>
          <cell r="I1039" t="str">
            <v>GILBARCO NOZZLE REPAIR - ITEMS</v>
          </cell>
        </row>
        <row r="1040">
          <cell r="H1040" t="str">
            <v>98-2506-000</v>
          </cell>
          <cell r="I1040" t="str">
            <v>SALES MAKER PUMP FILTERS - ITEMS</v>
          </cell>
        </row>
        <row r="1041">
          <cell r="H1041" t="str">
            <v>98-2515-000</v>
          </cell>
          <cell r="I1041" t="str">
            <v>VR COMPUTER SHIFT CAN - ITEMS</v>
          </cell>
        </row>
        <row r="1042">
          <cell r="H1042" t="str">
            <v>98-2524-000</v>
          </cell>
          <cell r="I1042" t="str">
            <v>MAIN VALVE DISC - ITEMS</v>
          </cell>
        </row>
        <row r="1043">
          <cell r="H1043" t="str">
            <v>98-2533-000</v>
          </cell>
          <cell r="I1043" t="str">
            <v>METERING UNIT PISTONS - ITEMS</v>
          </cell>
        </row>
        <row r="1044">
          <cell r="H1044" t="str">
            <v>98-2542-000</v>
          </cell>
          <cell r="I1044" t="str">
            <v>VALVE FORK - ITEMS</v>
          </cell>
        </row>
        <row r="1045">
          <cell r="H1045" t="str">
            <v>98-2551-000</v>
          </cell>
          <cell r="I1045" t="str">
            <v>PLASTIC NOZZLE BOOTS - ITEMS</v>
          </cell>
        </row>
        <row r="1046">
          <cell r="H1046" t="str">
            <v>98-2560-000</v>
          </cell>
          <cell r="I1046" t="str">
            <v>NOZZLE HANDLES - ITEMS</v>
          </cell>
        </row>
        <row r="1047">
          <cell r="H1047" t="str">
            <v>98-2579-000</v>
          </cell>
          <cell r="I1047" t="str">
            <v>PUMP FILTER /SEPARATOR - ITEMS</v>
          </cell>
        </row>
        <row r="1048">
          <cell r="H1048" t="str">
            <v>98-2588-000</v>
          </cell>
          <cell r="I1048" t="str">
            <v>VISUAL DISPLAY INDICATORS - ITEMS</v>
          </cell>
        </row>
        <row r="1049">
          <cell r="H1049" t="str">
            <v>98-2597-000</v>
          </cell>
          <cell r="I1049" t="str">
            <v>.75'/1' NOZZLE REDUC BUSH  - ITEMS</v>
          </cell>
        </row>
        <row r="1050">
          <cell r="H1050" t="str">
            <v>98-2606-000</v>
          </cell>
          <cell r="I1050" t="str">
            <v>PUMPING UNIT BLADE SPACER - ITEMS</v>
          </cell>
        </row>
        <row r="1051">
          <cell r="H1051" t="str">
            <v>98-2615-000</v>
          </cell>
          <cell r="I1051" t="str">
            <v>.75' HOSE COUP(ACT. HOSE)  - ITEMS</v>
          </cell>
        </row>
        <row r="1052">
          <cell r="H1052" t="str">
            <v>98-2624-000</v>
          </cell>
          <cell r="I1052" t="str">
            <v>AIR SEPARATOR VALVES - ITEMS</v>
          </cell>
        </row>
        <row r="1053">
          <cell r="H1053" t="str">
            <v>98-2633-000</v>
          </cell>
          <cell r="I1053" t="str">
            <v>PUMP LOCKS WITH KEYS - ITEMS</v>
          </cell>
        </row>
        <row r="1054">
          <cell r="H1054" t="str">
            <v>98-2642-000</v>
          </cell>
          <cell r="I1054" t="str">
            <v>TRIMELINE PUMP SWITCHES - ITEMS</v>
          </cell>
        </row>
        <row r="1055">
          <cell r="H1055" t="str">
            <v>98-2651-000</v>
          </cell>
          <cell r="I1055" t="str">
            <v>MOTOR SWITCHES - ITEMS</v>
          </cell>
        </row>
        <row r="1056">
          <cell r="H1056" t="str">
            <v>98-2660-000</v>
          </cell>
          <cell r="I1056" t="str">
            <v>GILBARCO TRIMELINE D FACE - ITEMS</v>
          </cell>
        </row>
        <row r="1057">
          <cell r="H1057" t="str">
            <v>98-2679-000</v>
          </cell>
          <cell r="I1057" t="str">
            <v>SEMI ROTARY PUMP VALVES - ITEMS</v>
          </cell>
        </row>
        <row r="1058">
          <cell r="H1058" t="str">
            <v>98-2688-000</v>
          </cell>
          <cell r="I1058" t="str">
            <v>METERING UNIT PISTON SPR. - ITEMS</v>
          </cell>
        </row>
        <row r="1059">
          <cell r="H1059" t="str">
            <v>98-2697-000</v>
          </cell>
          <cell r="I1059" t="str">
            <v>PINION GEARS FOR MET.UNIT - ITEMS</v>
          </cell>
        </row>
        <row r="1060">
          <cell r="H1060" t="str">
            <v>98-2706-000</v>
          </cell>
          <cell r="I1060" t="str">
            <v>METERING UNIT DRIVE GEARS - ITEMS</v>
          </cell>
        </row>
        <row r="1061">
          <cell r="H1061" t="str">
            <v>98-2715-000</v>
          </cell>
          <cell r="I1061" t="str">
            <v>COMPUTER IDLER GEARS - ITEMS</v>
          </cell>
        </row>
        <row r="1062">
          <cell r="H1062" t="str">
            <v>98-2724-000</v>
          </cell>
          <cell r="I1062" t="str">
            <v>COMPUTER DRIVE COUP.&amp; LNK - ITEMS</v>
          </cell>
        </row>
        <row r="1063">
          <cell r="H1063" t="str">
            <v>98-2733-000</v>
          </cell>
          <cell r="I1063" t="str">
            <v>PUMPING UNIT ROTOR BUSHES - ITEMS</v>
          </cell>
        </row>
        <row r="1064">
          <cell r="H1064" t="str">
            <v>98-2742-000</v>
          </cell>
          <cell r="I1064" t="str">
            <v>COMPUTER HANDLE / CONNECT - ITEMS</v>
          </cell>
        </row>
        <row r="1065">
          <cell r="H1065" t="str">
            <v>98-2751-000</v>
          </cell>
          <cell r="I1065" t="str">
            <v>NOZZLE VALVES - ITEMS</v>
          </cell>
        </row>
        <row r="1066">
          <cell r="H1066" t="str">
            <v>98-2760-000</v>
          </cell>
          <cell r="I1066" t="str">
            <v>BYPASS VALVE SPRING - ITEMS</v>
          </cell>
        </row>
        <row r="1067">
          <cell r="H1067" t="str">
            <v>98-2779-000</v>
          </cell>
          <cell r="I1067" t="str">
            <v>OIL POURERS - ITEMS</v>
          </cell>
        </row>
        <row r="1068">
          <cell r="H1068" t="str">
            <v>98-2788-000</v>
          </cell>
          <cell r="I1068" t="str">
            <v>4 LITRE BLACK PAINT  - ITEMS</v>
          </cell>
        </row>
        <row r="1069">
          <cell r="H1069" t="str">
            <v>98-2797-000</v>
          </cell>
          <cell r="I1069" t="str">
            <v>4 LITRE WHITE EMULSION PT  - ITEMS</v>
          </cell>
        </row>
        <row r="1070">
          <cell r="H1070" t="str">
            <v>98-2806-000</v>
          </cell>
          <cell r="I1070" t="str">
            <v>700X12 FORK LIFT TUBES  - ITEMS</v>
          </cell>
        </row>
        <row r="1071">
          <cell r="H1071" t="str">
            <v>98-2815-000</v>
          </cell>
          <cell r="I1071" t="str">
            <v>600X9 FORK LIFT TUBES  - ITEMS</v>
          </cell>
        </row>
        <row r="1072">
          <cell r="H1072" t="str">
            <v>98-2824-000</v>
          </cell>
          <cell r="I1072" t="str">
            <v>650 X 10 FORK LIFT TUBES  - ITEMS</v>
          </cell>
        </row>
        <row r="1073">
          <cell r="H1073" t="str">
            <v>98-2833-000</v>
          </cell>
          <cell r="I1073" t="str">
            <v>1100 X 20 NEW TUBES  - ITEMS</v>
          </cell>
        </row>
        <row r="1074">
          <cell r="H1074" t="str">
            <v>98-2842-000</v>
          </cell>
          <cell r="I1074" t="str">
            <v>700 X 15 FORK LIFT TUBES  - ITEMS</v>
          </cell>
        </row>
        <row r="1075">
          <cell r="H1075" t="str">
            <v>98-2851-000</v>
          </cell>
          <cell r="I1075" t="str">
            <v>FRONT WHEEL STUD FOR VOLV - ITEMS</v>
          </cell>
        </row>
        <row r="1076">
          <cell r="H1076" t="str">
            <v>98-2860-000</v>
          </cell>
          <cell r="I1076" t="str">
            <v>REAR WHELL STUDS FOR VOLV - ITEMS</v>
          </cell>
        </row>
        <row r="1077">
          <cell r="H1077" t="str">
            <v>98-2879-000</v>
          </cell>
          <cell r="I1077" t="str">
            <v>CROSLAND FILTERS - ITEMS</v>
          </cell>
        </row>
        <row r="1078">
          <cell r="H1078" t="str">
            <v>98-2888-000</v>
          </cell>
          <cell r="I1078" t="str">
            <v>FILTERS FOR AIR CLEANERS - ITEMS</v>
          </cell>
        </row>
        <row r="1079">
          <cell r="H1079" t="str">
            <v>98-2897-000</v>
          </cell>
          <cell r="I1079" t="str">
            <v>U-BOLTS FOR TRAILERS - ITEMS</v>
          </cell>
        </row>
        <row r="1080">
          <cell r="H1080" t="str">
            <v>98-2906-000</v>
          </cell>
          <cell r="I1080" t="str">
            <v>1200 X 20 NEW TUBES  - ITEMS</v>
          </cell>
        </row>
        <row r="1081">
          <cell r="H1081" t="str">
            <v>98-2915-000</v>
          </cell>
          <cell r="I1081" t="str">
            <v>BEARING FOR LEYLAND TRUCK - ITEMS</v>
          </cell>
        </row>
        <row r="1082">
          <cell r="H1082" t="str">
            <v>98-2924-000</v>
          </cell>
          <cell r="I1082" t="str">
            <v>BEARING FOR THE TRUCKS - ITEMS</v>
          </cell>
        </row>
        <row r="1083">
          <cell r="H1083" t="str">
            <v>98-2933-000</v>
          </cell>
          <cell r="I1083" t="str">
            <v>CENTRE BOLT FOR TRAILERS - ITEMS</v>
          </cell>
        </row>
        <row r="1084">
          <cell r="H1084" t="str">
            <v>98-2942-000</v>
          </cell>
          <cell r="I1084" t="str">
            <v>VOLVO OIL FILTERS - ITEMS</v>
          </cell>
        </row>
        <row r="1085">
          <cell r="H1085" t="str">
            <v>98-2951-000</v>
          </cell>
          <cell r="I1085" t="str">
            <v>DIESEL FILTERS - ITEMS</v>
          </cell>
        </row>
        <row r="1086">
          <cell r="H1086" t="str">
            <v>98-2960-000</v>
          </cell>
          <cell r="I1086" t="str">
            <v>STEERING POWER FILTERS - ITEMS</v>
          </cell>
        </row>
        <row r="1087">
          <cell r="H1087" t="str">
            <v>98-2979-000</v>
          </cell>
          <cell r="I1087" t="str">
            <v>CROSSLAND FILTERS</v>
          </cell>
        </row>
        <row r="1088">
          <cell r="H1088" t="str">
            <v>98-2988-000</v>
          </cell>
          <cell r="I1088" t="str">
            <v>OIL FILTER OUT OF USE - ITEMS</v>
          </cell>
        </row>
        <row r="1089">
          <cell r="H1089" t="str">
            <v>98-2997-000</v>
          </cell>
          <cell r="I1089" t="str">
            <v>FUEL FILTER OUT OF USE - ITEMS</v>
          </cell>
        </row>
        <row r="1090">
          <cell r="H1090" t="str">
            <v>98-3006-000</v>
          </cell>
          <cell r="I1090" t="str">
            <v>HANGER LOCKER BUSHES - ITEMS</v>
          </cell>
        </row>
        <row r="1091">
          <cell r="H1091" t="str">
            <v>98-3015-000</v>
          </cell>
          <cell r="I1091" t="str">
            <v>CONTROL ARM BUSHES - ITEMS</v>
          </cell>
        </row>
        <row r="1092">
          <cell r="H1092" t="str">
            <v>98-3024-000</v>
          </cell>
          <cell r="I1092" t="str">
            <v>STABILIZER PINS - ITEMS</v>
          </cell>
        </row>
        <row r="1093">
          <cell r="H1093" t="str">
            <v>98-3033-000</v>
          </cell>
          <cell r="I1093" t="str">
            <v>STABILIZER BUSHES - ITEMS</v>
          </cell>
        </row>
        <row r="1094">
          <cell r="H1094" t="str">
            <v>98-3042-000</v>
          </cell>
          <cell r="I1094" t="str">
            <v>CONTROL ARM BOLTS - ITEMS</v>
          </cell>
        </row>
        <row r="1095">
          <cell r="H1095" t="str">
            <v>98-3051-000</v>
          </cell>
          <cell r="I1095" t="str">
            <v>BONNET MOUNTING BUSHES - ITEMS</v>
          </cell>
        </row>
        <row r="1096">
          <cell r="H1096" t="str">
            <v>98-3060-000</v>
          </cell>
          <cell r="I1096" t="str">
            <v>HANGER LOCKERS - ITEMS</v>
          </cell>
        </row>
        <row r="1097">
          <cell r="H1097" t="str">
            <v>98-3079-000</v>
          </cell>
          <cell r="I1097" t="str">
            <v>REAR SPRING BRACKETS - ITEMS</v>
          </cell>
        </row>
        <row r="1098">
          <cell r="H1098" t="str">
            <v>98-3088-000</v>
          </cell>
          <cell r="I1098" t="str">
            <v>PLASTIC SUSPENSE BUSHES - ITEMS</v>
          </cell>
        </row>
        <row r="1099">
          <cell r="H1099" t="str">
            <v>98-3097-000</v>
          </cell>
          <cell r="I1099" t="str">
            <v>FAN BELTS - VOLVO - ITEMS</v>
          </cell>
        </row>
        <row r="1100">
          <cell r="H1100" t="str">
            <v>98-3106-000</v>
          </cell>
          <cell r="I1100" t="str">
            <v>SHOCK ABSORBER - VOLVO - ITEMS</v>
          </cell>
        </row>
        <row r="1101">
          <cell r="H1101" t="str">
            <v>98-3115-000</v>
          </cell>
          <cell r="I1101" t="str">
            <v>SHOCK ABS.CABIN BUSHES - ITEMS</v>
          </cell>
        </row>
        <row r="1102">
          <cell r="H1102" t="str">
            <v>98-3124-000</v>
          </cell>
          <cell r="I1102" t="str">
            <v>SHOCK ABSORBER BUSHES - ITEMS</v>
          </cell>
        </row>
        <row r="1103">
          <cell r="H1103" t="str">
            <v>98-3125-000</v>
          </cell>
          <cell r="I1103" t="str">
            <v>GIGANT COMPLETE SPRING-ITEMS</v>
          </cell>
        </row>
        <row r="1104">
          <cell r="H1104" t="str">
            <v>98-3133-000</v>
          </cell>
          <cell r="I1104" t="str">
            <v>BATTERY BOLTS AND NUTS - ITEMS</v>
          </cell>
        </row>
        <row r="1105">
          <cell r="H1105" t="str">
            <v>98-3134-000</v>
          </cell>
          <cell r="I1105" t="str">
            <v>DRIVE PLATE KIT - LEYLAND</v>
          </cell>
        </row>
        <row r="1106">
          <cell r="H1106" t="str">
            <v>98-3135-000</v>
          </cell>
          <cell r="I1106" t="str">
            <v>RING WIPER ROD</v>
          </cell>
        </row>
        <row r="1107">
          <cell r="H1107" t="str">
            <v>98-3136-000</v>
          </cell>
          <cell r="I1107" t="str">
            <v>REPAIR KIT COMPRESSOR-LEYLAND</v>
          </cell>
        </row>
        <row r="1108">
          <cell r="H1108" t="str">
            <v>98-3137-000</v>
          </cell>
          <cell r="I1108" t="str">
            <v>GEAR BOX TOP COVER-LEYLAND</v>
          </cell>
        </row>
        <row r="1109">
          <cell r="H1109" t="str">
            <v>98-3138-000</v>
          </cell>
          <cell r="I1109" t="str">
            <v>EMERGENCY RUBBER VALVES</v>
          </cell>
        </row>
        <row r="1110">
          <cell r="H1110" t="str">
            <v>98-3139-000</v>
          </cell>
          <cell r="I1110" t="str">
            <v>ALTERNATOR BRACKET</v>
          </cell>
        </row>
        <row r="1111">
          <cell r="H1111" t="str">
            <v>98-3140-000</v>
          </cell>
          <cell r="I1111" t="str">
            <v>LOCAL SIDE MIRROR (S/H)</v>
          </cell>
        </row>
        <row r="1112">
          <cell r="H1112" t="str">
            <v>98-3142-000</v>
          </cell>
          <cell r="I1112" t="str">
            <v>SPRING PINS - ITEMS</v>
          </cell>
        </row>
        <row r="1113">
          <cell r="H1113" t="str">
            <v>98-3151-000</v>
          </cell>
          <cell r="I1113" t="str">
            <v>EQUILIZER PINS - ITEMS</v>
          </cell>
        </row>
        <row r="1114">
          <cell r="H1114" t="str">
            <v>98-3160-000</v>
          </cell>
          <cell r="I1114" t="str">
            <v>RETURN SPRING PINS - ITEMS</v>
          </cell>
        </row>
        <row r="1115">
          <cell r="H1115" t="str">
            <v>98-3179-000</v>
          </cell>
          <cell r="I1115" t="str">
            <v>BRAKE SHOES FOR TRUCKS - ITEMS</v>
          </cell>
        </row>
        <row r="1116">
          <cell r="H1116" t="str">
            <v>98-3188-000</v>
          </cell>
          <cell r="I1116" t="str">
            <v>BRAKE ARMS - ITEMS</v>
          </cell>
        </row>
        <row r="1117">
          <cell r="H1117" t="str">
            <v>98-3197-000</v>
          </cell>
          <cell r="I1117" t="str">
            <v>BRAKESHOE RTN SPRING - ITEMS</v>
          </cell>
        </row>
        <row r="1118">
          <cell r="H1118" t="str">
            <v>98-3206-000</v>
          </cell>
          <cell r="I1118" t="str">
            <v>BRAKE LININGS LEYLAND - ITEMS</v>
          </cell>
        </row>
        <row r="1119">
          <cell r="H1119" t="str">
            <v>98-3215-000</v>
          </cell>
          <cell r="I1119" t="str">
            <v>LIGHT GUARDS - VOLVO - ITEMS</v>
          </cell>
        </row>
        <row r="1120">
          <cell r="H1120" t="str">
            <v>98-3224-000</v>
          </cell>
          <cell r="I1120" t="str">
            <v>DOOR STOPPERS - RUBBER - ITEMS</v>
          </cell>
        </row>
        <row r="1121">
          <cell r="H1121" t="str">
            <v>98-3233-000</v>
          </cell>
          <cell r="I1121" t="str">
            <v>BULBS - ITEMS</v>
          </cell>
        </row>
        <row r="1122">
          <cell r="H1122" t="str">
            <v>98-3242-000</v>
          </cell>
          <cell r="I1122" t="str">
            <v>WIPER SWITCH - ITEMS</v>
          </cell>
        </row>
        <row r="1123">
          <cell r="H1123" t="str">
            <v>98-3251-000</v>
          </cell>
          <cell r="I1123" t="str">
            <v>LENCES FOR TRUCKS - ITEMS</v>
          </cell>
        </row>
        <row r="1124">
          <cell r="H1124" t="str">
            <v>98-3260-000</v>
          </cell>
          <cell r="I1124" t="str">
            <v>LENCES FOR DATSUN - ITEMS</v>
          </cell>
        </row>
        <row r="1125">
          <cell r="H1125" t="str">
            <v>98-3279-000</v>
          </cell>
          <cell r="I1125" t="str">
            <v>OIL RINGS - ITEMS</v>
          </cell>
        </row>
        <row r="1126">
          <cell r="H1126" t="str">
            <v>98-3288-000</v>
          </cell>
          <cell r="I1126" t="str">
            <v>FIX SPANNERS - ITEMS</v>
          </cell>
        </row>
        <row r="1127">
          <cell r="H1127" t="str">
            <v>98-3297-000</v>
          </cell>
          <cell r="I1127" t="str">
            <v>INLINE THERM GLASSES - ITEMS</v>
          </cell>
        </row>
        <row r="1128">
          <cell r="H1128" t="str">
            <v>98-3306-000</v>
          </cell>
          <cell r="I1128" t="str">
            <v>GREASE NIPPLES - ITEMS</v>
          </cell>
        </row>
        <row r="1129">
          <cell r="H1129" t="str">
            <v>98-3315-000</v>
          </cell>
          <cell r="I1129" t="str">
            <v>SIDE MARKERS - VOLVO - ITEMS</v>
          </cell>
        </row>
        <row r="1130">
          <cell r="H1130" t="str">
            <v>98-3324-000</v>
          </cell>
          <cell r="I1130" t="str">
            <v>ANCOR PIN CLIPS - ITEMS</v>
          </cell>
        </row>
        <row r="1131">
          <cell r="H1131" t="str">
            <v>98-3333-000</v>
          </cell>
          <cell r="I1131" t="str">
            <v>EXSAULTOR SEAL - ITEMS</v>
          </cell>
        </row>
        <row r="1132">
          <cell r="H1132" t="str">
            <v>98-3342-000</v>
          </cell>
          <cell r="I1132" t="str">
            <v>OIL SEALS - ITEMS</v>
          </cell>
        </row>
        <row r="1133">
          <cell r="H1133" t="str">
            <v>98-3351-000</v>
          </cell>
          <cell r="I1133" t="str">
            <v>OIL PIPE - ITEMS</v>
          </cell>
        </row>
        <row r="1134">
          <cell r="H1134" t="str">
            <v>98-3360-000</v>
          </cell>
          <cell r="I1134" t="str">
            <v>SAFETY BELTS - ITEMS</v>
          </cell>
        </row>
        <row r="1135">
          <cell r="H1135" t="str">
            <v>98-3379-000</v>
          </cell>
          <cell r="I1135" t="str">
            <v>WHEEL STUDS - ITEMS</v>
          </cell>
        </row>
        <row r="1136">
          <cell r="H1136" t="str">
            <v>98-3388-000</v>
          </cell>
          <cell r="I1136" t="str">
            <v>ENGINE MOUNT-VOLVO/LEY - ITEMS</v>
          </cell>
        </row>
        <row r="1137">
          <cell r="H1137" t="str">
            <v>98-3397-000</v>
          </cell>
          <cell r="I1137" t="str">
            <v>ENGINE COVER GASKETS - ITEMS</v>
          </cell>
        </row>
        <row r="1138">
          <cell r="H1138" t="str">
            <v>98-3406-000</v>
          </cell>
          <cell r="I1138" t="str">
            <v>SHAFT SLEEVE JOINT - ITEMS</v>
          </cell>
        </row>
        <row r="1139">
          <cell r="H1139" t="str">
            <v>98-3415-000</v>
          </cell>
          <cell r="I1139" t="str">
            <v>AXLE RING - ITEMS</v>
          </cell>
        </row>
        <row r="1140">
          <cell r="H1140" t="str">
            <v>98-3424-000</v>
          </cell>
          <cell r="I1140" t="str">
            <v>LIDS - VOLVO - ITEMS</v>
          </cell>
        </row>
        <row r="1141">
          <cell r="H1141" t="str">
            <v>98-3433-000</v>
          </cell>
          <cell r="I1141" t="str">
            <v>CLUNCH FLUID RESERVORS - ITEMS</v>
          </cell>
        </row>
        <row r="1142">
          <cell r="H1142" t="str">
            <v>98-3442-000</v>
          </cell>
          <cell r="I1142" t="str">
            <v>HANGER LOCKER BOLTS/NUTS - ITEMS</v>
          </cell>
        </row>
        <row r="1143">
          <cell r="H1143" t="str">
            <v>98-3451-000</v>
          </cell>
          <cell r="I1143" t="str">
            <v>HOSES - ITEMS</v>
          </cell>
        </row>
        <row r="1144">
          <cell r="H1144" t="str">
            <v>98-3460-000</v>
          </cell>
          <cell r="I1144" t="str">
            <v>STARTER MOTOR STUDS - ITEMS</v>
          </cell>
        </row>
        <row r="1145">
          <cell r="H1145" t="str">
            <v>98-3479-000</v>
          </cell>
          <cell r="I1145" t="str">
            <v>DIST PIECE SPACERS - ITEMS</v>
          </cell>
        </row>
        <row r="1146">
          <cell r="H1146" t="str">
            <v>98-3488-000</v>
          </cell>
          <cell r="I1146" t="str">
            <v>GASKETS - ITEMS</v>
          </cell>
        </row>
        <row r="1147">
          <cell r="H1147" t="str">
            <v>98-3497-000</v>
          </cell>
          <cell r="I1147" t="str">
            <v>COUNTER DRIVE GEAR ASSEMB - ITEMS</v>
          </cell>
        </row>
        <row r="1148">
          <cell r="H1148" t="str">
            <v>98-3506-000</v>
          </cell>
          <cell r="I1148" t="str">
            <v>3 WAY VALVES  - ITEMS</v>
          </cell>
        </row>
        <row r="1149">
          <cell r="H1149" t="str">
            <v>98-3515-000</v>
          </cell>
          <cell r="I1149" t="str">
            <v>LPG STRAINERS - ITEMS</v>
          </cell>
        </row>
        <row r="1150">
          <cell r="H1150" t="str">
            <v>98-3524-000</v>
          </cell>
          <cell r="I1150" t="str">
            <v>1.25' GAS CHECK VALVES  - ITEMS</v>
          </cell>
        </row>
        <row r="1151">
          <cell r="H1151" t="str">
            <v>98-3533-000</v>
          </cell>
          <cell r="I1151" t="str">
            <v>HIGH PRESSURE REGULATORS - ITEMS</v>
          </cell>
        </row>
        <row r="1152">
          <cell r="H1152" t="str">
            <v>98-3542-000</v>
          </cell>
          <cell r="I1152" t="str">
            <v>2' OUTLET NIP HEAD &amp; CAP  - ITEMS</v>
          </cell>
        </row>
        <row r="1153">
          <cell r="H1153" t="str">
            <v>98-3551-000</v>
          </cell>
          <cell r="I1153" t="str">
            <v>FLOATS FOR NEPTUNE METERS - ITEMS</v>
          </cell>
        </row>
        <row r="1154">
          <cell r="H1154" t="str">
            <v>98-3560-000</v>
          </cell>
          <cell r="I1154" t="str">
            <v>NEPTUNE METER DIAPHRAM - ITEMS</v>
          </cell>
        </row>
        <row r="1155">
          <cell r="H1155" t="str">
            <v>98-3579-000</v>
          </cell>
          <cell r="I1155" t="str">
            <v>LPG REPAIR KITS - ITEMS</v>
          </cell>
        </row>
        <row r="1156">
          <cell r="H1156" t="str">
            <v>98-3588-000</v>
          </cell>
          <cell r="I1156" t="str">
            <v>2' REGO ONE WAY VALVES  - ITEMS</v>
          </cell>
        </row>
        <row r="1157">
          <cell r="H1157" t="str">
            <v>98-3597-000</v>
          </cell>
          <cell r="I1157" t="str">
            <v>MAIN AND SEC.SPRINGS - ITEMS</v>
          </cell>
        </row>
        <row r="1158">
          <cell r="H1158" t="str">
            <v>98-3606-000</v>
          </cell>
          <cell r="I1158" t="str">
            <v>RUBBER BUARWES - VOLVO - ITEMS</v>
          </cell>
        </row>
        <row r="1159">
          <cell r="H1159" t="str">
            <v>98-3607-000</v>
          </cell>
          <cell r="I1159" t="str">
            <v>4'' CUSTOMED QUICK COUPLINGS</v>
          </cell>
        </row>
        <row r="1160">
          <cell r="H1160" t="str">
            <v>98-3608-000</v>
          </cell>
          <cell r="I1160" t="str">
            <v>4'' CUSTOMED QUICK COUPLING LIDS</v>
          </cell>
        </row>
        <row r="1161">
          <cell r="H1161" t="str">
            <v>98-3615-000</v>
          </cell>
          <cell r="I1161" t="str">
            <v>HOSE COUPLINGS 4' - ITEMS</v>
          </cell>
        </row>
        <row r="1162">
          <cell r="H1162" t="str">
            <v>98-3624-000</v>
          </cell>
          <cell r="I1162" t="str">
            <v>EMCO VALVES 4' - ITEMS</v>
          </cell>
        </row>
        <row r="1163">
          <cell r="H1163" t="str">
            <v>98-3633-000</v>
          </cell>
          <cell r="I1163" t="str">
            <v>PETROL DELIVERY HOSES 4' - ITEMS</v>
          </cell>
        </row>
        <row r="1164">
          <cell r="H1164" t="str">
            <v>98-3642-000</v>
          </cell>
          <cell r="I1164" t="str">
            <v>NEW LPG CYLINDER VALVES - ITEMS</v>
          </cell>
        </row>
        <row r="1165">
          <cell r="H1165" t="str">
            <v>98-3651-000</v>
          </cell>
          <cell r="I1165" t="str">
            <v>2ND HAND LPG CYL.VALVES  - ITEMS</v>
          </cell>
        </row>
        <row r="1166">
          <cell r="H1166" t="str">
            <v>98-3660-000</v>
          </cell>
          <cell r="I1166" t="str">
            <v>LAODING ARM SEALS (VITON) - ITEMS</v>
          </cell>
        </row>
        <row r="1167">
          <cell r="H1167" t="str">
            <v>98-3679-000</v>
          </cell>
          <cell r="I1167" t="str">
            <v>ACME LEAD SEALS - ITEMS</v>
          </cell>
        </row>
        <row r="1168">
          <cell r="H1168" t="str">
            <v>98-3688-000</v>
          </cell>
          <cell r="I1168" t="str">
            <v>SWITCH RED ASSEMBLY - ITEMS</v>
          </cell>
        </row>
        <row r="1169">
          <cell r="H1169" t="str">
            <v>98-3697-000</v>
          </cell>
          <cell r="I1169" t="str">
            <v>SPARE PACKET KIT PT 9850 - ITEMS</v>
          </cell>
        </row>
        <row r="1170">
          <cell r="H1170" t="str">
            <v>98-3706-000</v>
          </cell>
          <cell r="I1170" t="str">
            <v>CLUTCH HOUSING TENS. PINS - ITEMS</v>
          </cell>
        </row>
        <row r="1171">
          <cell r="H1171" t="str">
            <v>98-3715-000</v>
          </cell>
          <cell r="I1171" t="str">
            <v>RESET HANDLE PINS - ITEMS</v>
          </cell>
        </row>
        <row r="1172">
          <cell r="H1172" t="str">
            <v>98-3724-000</v>
          </cell>
          <cell r="I1172" t="str">
            <v>BONDING CLAMPS - ITEMS</v>
          </cell>
        </row>
        <row r="1173">
          <cell r="H1173" t="str">
            <v>98-3733-000</v>
          </cell>
          <cell r="I1173" t="str">
            <v>3 " BULK METER CALIBRATOR - ITEMS</v>
          </cell>
        </row>
        <row r="1174">
          <cell r="H1174" t="str">
            <v>98-3742-000</v>
          </cell>
          <cell r="I1174" t="str">
            <v>3" BULK METER OUTER COVER - ITEMS</v>
          </cell>
        </row>
        <row r="1175">
          <cell r="H1175" t="str">
            <v>98-3751-000</v>
          </cell>
          <cell r="I1175" t="str">
            <v>1 X 2 1/2 " X 10 ' ELAFLEX HOSE - ITEM</v>
          </cell>
        </row>
        <row r="1176">
          <cell r="H1176" t="str">
            <v>98-3760-000</v>
          </cell>
          <cell r="I1176" t="str">
            <v>GARSITE HOSE TESTER - ITEM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DU Price"/>
      <sheetName val="Purchase Details in Qty"/>
      <sheetName val="Purchase Details in %age"/>
      <sheetName val="Distance Master"/>
      <sheetName val="Actual 2001"/>
      <sheetName val="Budget 2002"/>
      <sheetName val="Stock Flow"/>
      <sheetName val="LocationWie Sales"/>
      <sheetName val="Top Sheet"/>
      <sheetName val="Proposed P&amp;L 2002"/>
      <sheetName val="P&amp;L Detailed 2002"/>
      <sheetName val="Detailed Budget 2003"/>
      <sheetName val="Overhead budget USD"/>
      <sheetName val="BS Detailed Sep 02"/>
      <sheetName val="Volume YTD Dec 02"/>
      <sheetName val="WORKING CAPITAL"/>
      <sheetName val="Sales Quantity"/>
      <sheetName val="Sales 2002 Vs 2003"/>
      <sheetName val="Sales Value"/>
      <sheetName val="Discount Value"/>
      <sheetName val="New Discount"/>
      <sheetName val="COGS"/>
      <sheetName val="Duty"/>
      <sheetName val="Transport"/>
      <sheetName val="Basic Price in USD"/>
      <sheetName val="Price Built up"/>
      <sheetName val="GP Analysis2003 USH"/>
      <sheetName val="GP Analysis2003 USD"/>
      <sheetName val="Capital Project Detail"/>
      <sheetName val="Investment Summay Old"/>
      <sheetName val="Investment Cash Outflow"/>
      <sheetName val="Capex"/>
      <sheetName val="Proposed BS 2002"/>
      <sheetName val="Sales Volume and Revenue"/>
      <sheetName val="Truck Unit Rate"/>
      <sheetName val="Int. Schedule"/>
      <sheetName val="Employee Details"/>
      <sheetName val="Other Workings"/>
      <sheetName val="Corporate Tax"/>
      <sheetName val="Trading Forecast"/>
      <sheetName val="Revenue Assumptions"/>
      <sheetName val="GUL Sales Volume"/>
      <sheetName val="GUL GP Analysis2003"/>
      <sheetName val="GUL P&amp;l Mgt"/>
      <sheetName val="Overhead budget USH"/>
      <sheetName val="GUL P&amp;L Details"/>
      <sheetName val="GUL PL(FI) - USH"/>
      <sheetName val="GUL PL(FI)-USD"/>
      <sheetName val="Exchange Rates"/>
      <sheetName val="GTLBS(IAS)"/>
      <sheetName val="BSheet Summary 2003"/>
      <sheetName val="GTLCFlow With WC Loan"/>
      <sheetName val="GTLBS"/>
      <sheetName val="GTLCFlow Wout WC Loan"/>
      <sheetName val="GTL Details to BS(IAS)"/>
      <sheetName val="BSheet Detailed 2003"/>
      <sheetName val="Fixed Asset"/>
      <sheetName val="GTLDetails to BS(Mgt)"/>
      <sheetName val="Cash Flow"/>
      <sheetName val="PL(Short)"/>
      <sheetName val="Sheet1"/>
      <sheetName val="Lubricants"/>
      <sheetName val="Client Data"/>
      <sheetName val="GUL Budget 2003 Version 8"/>
      <sheetName val="Purchases"/>
      <sheetName val="Sales Qty"/>
      <sheetName val="DDU_Price"/>
      <sheetName val="Purchase_Details_in_Qty"/>
      <sheetName val="Purchase_Details_in_%age"/>
      <sheetName val="Distance_Master"/>
      <sheetName val="Actual_2001"/>
      <sheetName val="Budget_2002"/>
      <sheetName val="Stock_Flow"/>
      <sheetName val="LocationWie_Sales"/>
      <sheetName val="Top_Sheet"/>
      <sheetName val="Proposed_P&amp;L_2002"/>
      <sheetName val="P&amp;L_Detailed_2002"/>
      <sheetName val="Detailed_Budget_2003"/>
      <sheetName val="Overhead_budget_USD"/>
      <sheetName val="BS_Detailed_Sep_02"/>
      <sheetName val="Volume_YTD_Dec_02"/>
      <sheetName val="WORKING_CAPITAL"/>
      <sheetName val="Sales_Quantity"/>
      <sheetName val="Sales_2002_Vs_2003"/>
      <sheetName val="Sales_Value"/>
      <sheetName val="Discount_Value"/>
      <sheetName val="New_Discount"/>
      <sheetName val="Basic_Price_in_USD"/>
      <sheetName val="Price_Built_up"/>
      <sheetName val="GP_Analysis2003_USH"/>
      <sheetName val="GP_Analysis2003_USD"/>
      <sheetName val="Capital_Project_Detail"/>
      <sheetName val="Investment_Summay_Old"/>
      <sheetName val="Investment_Cash_Outflow"/>
      <sheetName val="Proposed_BS_2002"/>
      <sheetName val="Sales_Volume_and_Revenue"/>
      <sheetName val="Truck_Unit_Rate"/>
      <sheetName val="Int__Schedule"/>
      <sheetName val="Employee_Details"/>
      <sheetName val="Other_Workings"/>
      <sheetName val="Corporate_Tax"/>
      <sheetName val="Trading_Forecast"/>
      <sheetName val="Revenue_Assumptions"/>
      <sheetName val="GUL_Sales_Volume"/>
      <sheetName val="GUL_GP_Analysis2003"/>
      <sheetName val="GUL_P&amp;l_Mgt"/>
      <sheetName val="Overhead_budget_USH"/>
      <sheetName val="GUL_P&amp;L_Details"/>
      <sheetName val="GUL_PL(FI)_-_USH"/>
      <sheetName val="GUL_PL(FI)-USD"/>
      <sheetName val="Exchange_Rates"/>
      <sheetName val="BSheet_Summary_2003"/>
      <sheetName val="GTLCFlow_With_WC_Loan"/>
      <sheetName val="GTLCFlow_Wout_WC_Loan"/>
      <sheetName val="GTL_Details_to_BS(IAS)"/>
      <sheetName val="BSheet_Detailed_2003"/>
      <sheetName val="Fixed_Asset"/>
      <sheetName val="GTLDetails_to_BS(Mgt)"/>
      <sheetName val="Cash_Flow"/>
      <sheetName val="DDU_Price1"/>
      <sheetName val="Purchase_Details_in_Qty1"/>
      <sheetName val="Purchase_Details_in_%age1"/>
      <sheetName val="Distance_Master1"/>
      <sheetName val="Actual_20011"/>
      <sheetName val="Budget_20021"/>
      <sheetName val="Stock_Flow1"/>
      <sheetName val="LocationWie_Sales1"/>
      <sheetName val="Top_Sheet1"/>
      <sheetName val="Proposed_P&amp;L_20021"/>
      <sheetName val="P&amp;L_Detailed_20021"/>
      <sheetName val="Detailed_Budget_20031"/>
      <sheetName val="Overhead_budget_USD1"/>
      <sheetName val="BS_Detailed_Sep_021"/>
      <sheetName val="Volume_YTD_Dec_021"/>
      <sheetName val="WORKING_CAPITAL1"/>
      <sheetName val="Sales_Quantity1"/>
      <sheetName val="Sales_2002_Vs_20031"/>
      <sheetName val="Sales_Value1"/>
      <sheetName val="Discount_Value1"/>
      <sheetName val="New_Discount1"/>
      <sheetName val="Basic_Price_in_USD1"/>
      <sheetName val="Price_Built_up1"/>
      <sheetName val="GP_Analysis2003_USH1"/>
      <sheetName val="GP_Analysis2003_USD1"/>
      <sheetName val="Capital_Project_Detail1"/>
      <sheetName val="Investment_Summay_Old1"/>
      <sheetName val="Investment_Cash_Outflow1"/>
      <sheetName val="Proposed_BS_20021"/>
      <sheetName val="Sales_Volume_and_Revenue1"/>
      <sheetName val="Truck_Unit_Rate1"/>
      <sheetName val="Int__Schedule1"/>
      <sheetName val="Employee_Details1"/>
      <sheetName val="Other_Workings1"/>
      <sheetName val="Corporate_Tax1"/>
      <sheetName val="Trading_Forecast1"/>
      <sheetName val="Revenue_Assumptions1"/>
      <sheetName val="GUL_Sales_Volume1"/>
      <sheetName val="GUL_GP_Analysis20031"/>
      <sheetName val="GUL_P&amp;l_Mgt1"/>
      <sheetName val="Overhead_budget_USH1"/>
      <sheetName val="GUL_P&amp;L_Details1"/>
      <sheetName val="GUL_PL(FI)_-_USH1"/>
      <sheetName val="GUL_PL(FI)-USD1"/>
      <sheetName val="Exchange_Rates1"/>
      <sheetName val="BSheet_Summary_20031"/>
      <sheetName val="GTLCFlow_With_WC_Loan1"/>
      <sheetName val="GTLCFlow_Wout_WC_Loan1"/>
      <sheetName val="GTL_Details_to_BS(IAS)1"/>
      <sheetName val="BSheet_Detailed_20031"/>
      <sheetName val="Fixed_Asset1"/>
      <sheetName val="GTLDetails_to_BS(Mgt)1"/>
      <sheetName val="Cash_Flow1"/>
      <sheetName val="Client_Data"/>
      <sheetName val="GUL_Budget_2003_Version_8"/>
      <sheetName val="Sales_Qty"/>
      <sheetName val="DDU_Price2"/>
      <sheetName val="Purchase_Details_in_Qty2"/>
      <sheetName val="Purchase_Details_in_%age2"/>
      <sheetName val="Distance_Master2"/>
      <sheetName val="Actual_20012"/>
      <sheetName val="Budget_20022"/>
      <sheetName val="Stock_Flow2"/>
      <sheetName val="LocationWie_Sales2"/>
      <sheetName val="Top_Sheet2"/>
      <sheetName val="Proposed_P&amp;L_20022"/>
      <sheetName val="P&amp;L_Detailed_20022"/>
      <sheetName val="Detailed_Budget_20032"/>
      <sheetName val="Overhead_budget_USD2"/>
      <sheetName val="BS_Detailed_Sep_022"/>
      <sheetName val="Volume_YTD_Dec_022"/>
      <sheetName val="WORKING_CAPITAL2"/>
      <sheetName val="Sales_Quantity2"/>
      <sheetName val="Sales_2002_Vs_20032"/>
      <sheetName val="Sales_Value2"/>
      <sheetName val="Discount_Value2"/>
      <sheetName val="New_Discount2"/>
      <sheetName val="Basic_Price_in_USD2"/>
      <sheetName val="Price_Built_up2"/>
      <sheetName val="GP_Analysis2003_USH2"/>
      <sheetName val="GP_Analysis2003_USD2"/>
      <sheetName val="Capital_Project_Detail2"/>
      <sheetName val="Investment_Summay_Old2"/>
      <sheetName val="Investment_Cash_Outflow2"/>
      <sheetName val="Proposed_BS_20022"/>
      <sheetName val="Sales_Volume_and_Revenue2"/>
      <sheetName val="Truck_Unit_Rate2"/>
      <sheetName val="Int__Schedule2"/>
      <sheetName val="Employee_Details2"/>
      <sheetName val="Other_Workings2"/>
      <sheetName val="Corporate_Tax2"/>
      <sheetName val="Trading_Forecast2"/>
      <sheetName val="Revenue_Assumptions2"/>
      <sheetName val="GUL_Sales_Volume2"/>
      <sheetName val="GUL_GP_Analysis20032"/>
      <sheetName val="GUL_P&amp;l_Mgt2"/>
      <sheetName val="Overhead_budget_USH2"/>
      <sheetName val="GUL_P&amp;L_Details2"/>
      <sheetName val="GUL_PL(FI)_-_USH2"/>
      <sheetName val="GUL_PL(FI)-USD2"/>
      <sheetName val="Exchange_Rates2"/>
      <sheetName val="BSheet_Summary_20032"/>
      <sheetName val="GTLCFlow_With_WC_Loan2"/>
      <sheetName val="GTLCFlow_Wout_WC_Loan2"/>
      <sheetName val="GTL_Details_to_BS(IAS)2"/>
      <sheetName val="BSheet_Detailed_20032"/>
      <sheetName val="Fixed_Asset2"/>
      <sheetName val="GTLDetails_to_BS(Mgt)2"/>
      <sheetName val="Cash_Flow2"/>
      <sheetName val="Client_Data1"/>
      <sheetName val="GUL_Budget_2003_Version_81"/>
      <sheetName val="Sales_Qty1"/>
      <sheetName val="DDU_Price3"/>
      <sheetName val="Purchase_Details_in_Qty3"/>
      <sheetName val="Purchase_Details_in_%age3"/>
      <sheetName val="Distance_Master3"/>
      <sheetName val="Actual_20013"/>
      <sheetName val="Budget_20023"/>
      <sheetName val="Stock_Flow3"/>
      <sheetName val="LocationWie_Sales3"/>
      <sheetName val="Top_Sheet3"/>
      <sheetName val="Proposed_P&amp;L_20023"/>
      <sheetName val="P&amp;L_Detailed_20023"/>
      <sheetName val="Detailed_Budget_20033"/>
      <sheetName val="Overhead_budget_USD3"/>
      <sheetName val="BS_Detailed_Sep_023"/>
      <sheetName val="Volume_YTD_Dec_023"/>
      <sheetName val="WORKING_CAPITAL3"/>
      <sheetName val="Sales_Quantity3"/>
      <sheetName val="Sales_2002_Vs_20033"/>
      <sheetName val="Sales_Value3"/>
      <sheetName val="Discount_Value3"/>
      <sheetName val="New_Discount3"/>
      <sheetName val="Basic_Price_in_USD3"/>
      <sheetName val="Price_Built_up3"/>
      <sheetName val="GP_Analysis2003_USH3"/>
      <sheetName val="GP_Analysis2003_USD3"/>
      <sheetName val="Capital_Project_Detail3"/>
      <sheetName val="Investment_Summay_Old3"/>
      <sheetName val="Investment_Cash_Outflow3"/>
      <sheetName val="Proposed_BS_20023"/>
      <sheetName val="Sales_Volume_and_Revenue3"/>
      <sheetName val="Truck_Unit_Rate3"/>
      <sheetName val="Int__Schedule3"/>
      <sheetName val="Employee_Details3"/>
      <sheetName val="Other_Workings3"/>
      <sheetName val="Corporate_Tax3"/>
      <sheetName val="Trading_Forecast3"/>
      <sheetName val="Revenue_Assumptions3"/>
      <sheetName val="GUL_Sales_Volume3"/>
      <sheetName val="GUL_GP_Analysis20033"/>
      <sheetName val="GUL_P&amp;l_Mgt3"/>
      <sheetName val="Overhead_budget_USH3"/>
      <sheetName val="GUL_P&amp;L_Details3"/>
      <sheetName val="GUL_PL(FI)_-_USH3"/>
      <sheetName val="GUL_PL(FI)-USD3"/>
      <sheetName val="Exchange_Rates3"/>
      <sheetName val="BSheet_Summary_20033"/>
      <sheetName val="GTLCFlow_With_WC_Loan3"/>
      <sheetName val="GTLCFlow_Wout_WC_Loan3"/>
      <sheetName val="GTL_Details_to_BS(IAS)3"/>
      <sheetName val="BSheet_Detailed_20033"/>
      <sheetName val="Fixed_Asset3"/>
      <sheetName val="GTLDetails_to_BS(Mgt)3"/>
      <sheetName val="Cash_Flow3"/>
      <sheetName val="Client_Data2"/>
      <sheetName val="GUL_Budget_2003_Version_82"/>
      <sheetName val="Sales_Qty2"/>
      <sheetName val="DDU_Price4"/>
      <sheetName val="Purchase_Details_in_Qty4"/>
      <sheetName val="Purchase_Details_in_%age4"/>
      <sheetName val="Distance_Master4"/>
      <sheetName val="Actual_20014"/>
      <sheetName val="Budget_20024"/>
      <sheetName val="Stock_Flow4"/>
      <sheetName val="LocationWie_Sales4"/>
      <sheetName val="Top_Sheet4"/>
      <sheetName val="Proposed_P&amp;L_20024"/>
      <sheetName val="P&amp;L_Detailed_20024"/>
      <sheetName val="Detailed_Budget_20034"/>
      <sheetName val="Overhead_budget_USD4"/>
      <sheetName val="BS_Detailed_Sep_024"/>
      <sheetName val="Volume_YTD_Dec_024"/>
      <sheetName val="WORKING_CAPITAL4"/>
      <sheetName val="Sales_Quantity4"/>
      <sheetName val="Sales_2002_Vs_20034"/>
      <sheetName val="Sales_Value4"/>
      <sheetName val="Discount_Value4"/>
      <sheetName val="New_Discount4"/>
      <sheetName val="Basic_Price_in_USD4"/>
      <sheetName val="Price_Built_up4"/>
      <sheetName val="GP_Analysis2003_USH4"/>
      <sheetName val="GP_Analysis2003_USD4"/>
      <sheetName val="Capital_Project_Detail4"/>
      <sheetName val="Investment_Summay_Old4"/>
      <sheetName val="Investment_Cash_Outflow4"/>
      <sheetName val="Proposed_BS_20024"/>
      <sheetName val="Sales_Volume_and_Revenue4"/>
      <sheetName val="Truck_Unit_Rate4"/>
      <sheetName val="Int__Schedule4"/>
      <sheetName val="Employee_Details4"/>
      <sheetName val="Other_Workings4"/>
      <sheetName val="Corporate_Tax4"/>
      <sheetName val="Trading_Forecast4"/>
      <sheetName val="Revenue_Assumptions4"/>
      <sheetName val="GUL_Sales_Volume4"/>
      <sheetName val="GUL_GP_Analysis20034"/>
      <sheetName val="GUL_P&amp;l_Mgt4"/>
      <sheetName val="Overhead_budget_USH4"/>
      <sheetName val="GUL_P&amp;L_Details4"/>
      <sheetName val="GUL_PL(FI)_-_USH4"/>
      <sheetName val="GUL_PL(FI)-USD4"/>
      <sheetName val="Exchange_Rates4"/>
      <sheetName val="BSheet_Summary_20034"/>
      <sheetName val="GTLCFlow_With_WC_Loan4"/>
      <sheetName val="GTLCFlow_Wout_WC_Loan4"/>
      <sheetName val="GTL_Details_to_BS(IAS)4"/>
      <sheetName val="BSheet_Detailed_20034"/>
      <sheetName val="Fixed_Asset4"/>
      <sheetName val="GTLDetails_to_BS(Mgt)4"/>
      <sheetName val="Cash_Flow4"/>
      <sheetName val="Client_Data3"/>
      <sheetName val="GUL_Budget_2003_Version_83"/>
      <sheetName val="Sales_Qty3"/>
      <sheetName val="DDU_Price5"/>
      <sheetName val="Purchase_Details_in_Qty5"/>
      <sheetName val="Purchase_Details_in_%age5"/>
      <sheetName val="Distance_Master5"/>
      <sheetName val="Actual_20015"/>
      <sheetName val="Budget_20025"/>
      <sheetName val="Stock_Flow5"/>
      <sheetName val="LocationWie_Sales5"/>
      <sheetName val="Top_Sheet5"/>
      <sheetName val="Proposed_P&amp;L_20025"/>
      <sheetName val="P&amp;L_Detailed_20025"/>
      <sheetName val="Detailed_Budget_20035"/>
      <sheetName val="Overhead_budget_USD5"/>
      <sheetName val="BS_Detailed_Sep_025"/>
      <sheetName val="Volume_YTD_Dec_025"/>
      <sheetName val="WORKING_CAPITAL5"/>
      <sheetName val="Sales_Quantity5"/>
      <sheetName val="Sales_2002_Vs_20035"/>
      <sheetName val="Sales_Value5"/>
      <sheetName val="Discount_Value5"/>
      <sheetName val="New_Discount5"/>
      <sheetName val="Basic_Price_in_USD5"/>
      <sheetName val="Price_Built_up5"/>
      <sheetName val="GP_Analysis2003_USH5"/>
      <sheetName val="GP_Analysis2003_USD5"/>
      <sheetName val="Capital_Project_Detail5"/>
      <sheetName val="Investment_Summay_Old5"/>
      <sheetName val="Investment_Cash_Outflow5"/>
      <sheetName val="Proposed_BS_20025"/>
      <sheetName val="Sales_Volume_and_Revenue5"/>
      <sheetName val="Truck_Unit_Rate5"/>
      <sheetName val="Int__Schedule5"/>
      <sheetName val="Employee_Details5"/>
      <sheetName val="Other_Workings5"/>
      <sheetName val="Corporate_Tax5"/>
      <sheetName val="Trading_Forecast5"/>
      <sheetName val="Revenue_Assumptions5"/>
      <sheetName val="GUL_Sales_Volume5"/>
      <sheetName val="GUL_GP_Analysis20035"/>
      <sheetName val="GUL_P&amp;l_Mgt5"/>
      <sheetName val="Overhead_budget_USH5"/>
      <sheetName val="GUL_P&amp;L_Details5"/>
      <sheetName val="GUL_PL(FI)_-_USH5"/>
      <sheetName val="GUL_PL(FI)-USD5"/>
      <sheetName val="Exchange_Rates5"/>
      <sheetName val="BSheet_Summary_20035"/>
      <sheetName val="GTLCFlow_With_WC_Loan5"/>
      <sheetName val="GTLCFlow_Wout_WC_Loan5"/>
      <sheetName val="GTL_Details_to_BS(IAS)5"/>
      <sheetName val="BSheet_Detailed_20035"/>
      <sheetName val="Fixed_Asset5"/>
      <sheetName val="GTLDetails_to_BS(Mgt)5"/>
      <sheetName val="Cash_Flow5"/>
      <sheetName val="Client_Data4"/>
      <sheetName val="GUL_Budget_2003_Version_84"/>
      <sheetName val="Sales_Qty4"/>
      <sheetName val="NBK Amortization Table"/>
      <sheetName val="DDU_Price7"/>
      <sheetName val="Purchase_Details_in_Qty7"/>
      <sheetName val="Purchase_Details_in_%age7"/>
      <sheetName val="Distance_Master7"/>
      <sheetName val="Actual_20017"/>
      <sheetName val="Budget_20027"/>
      <sheetName val="Stock_Flow7"/>
      <sheetName val="LocationWie_Sales7"/>
      <sheetName val="Top_Sheet7"/>
      <sheetName val="Proposed_P&amp;L_20027"/>
      <sheetName val="P&amp;L_Detailed_20027"/>
      <sheetName val="Detailed_Budget_20037"/>
      <sheetName val="Overhead_budget_USD7"/>
      <sheetName val="BS_Detailed_Sep_027"/>
      <sheetName val="Volume_YTD_Dec_027"/>
      <sheetName val="WORKING_CAPITAL7"/>
      <sheetName val="Sales_Quantity7"/>
      <sheetName val="Sales_2002_Vs_20037"/>
      <sheetName val="Sales_Value7"/>
      <sheetName val="Discount_Value7"/>
      <sheetName val="New_Discount7"/>
      <sheetName val="Basic_Price_in_USD7"/>
      <sheetName val="Price_Built_up7"/>
      <sheetName val="GP_Analysis2003_USH7"/>
      <sheetName val="GP_Analysis2003_USD7"/>
      <sheetName val="Capital_Project_Detail7"/>
      <sheetName val="Investment_Summay_Old7"/>
      <sheetName val="Investment_Cash_Outflow7"/>
      <sheetName val="Proposed_BS_20027"/>
      <sheetName val="Sales_Volume_and_Revenue7"/>
      <sheetName val="Truck_Unit_Rate7"/>
      <sheetName val="Int__Schedule7"/>
      <sheetName val="Employee_Details7"/>
      <sheetName val="Other_Workings7"/>
      <sheetName val="Corporate_Tax7"/>
      <sheetName val="Trading_Forecast7"/>
      <sheetName val="Revenue_Assumptions7"/>
      <sheetName val="GUL_Sales_Volume7"/>
      <sheetName val="GUL_GP_Analysis20037"/>
      <sheetName val="GUL_P&amp;l_Mgt7"/>
      <sheetName val="Overhead_budget_USH7"/>
      <sheetName val="GUL_P&amp;L_Details7"/>
      <sheetName val="GUL_PL(FI)_-_USH7"/>
      <sheetName val="GUL_PL(FI)-USD7"/>
      <sheetName val="Exchange_Rates7"/>
      <sheetName val="BSheet_Summary_20037"/>
      <sheetName val="GTLCFlow_With_WC_Loan7"/>
      <sheetName val="GTLCFlow_Wout_WC_Loan7"/>
      <sheetName val="GTL_Details_to_BS(IAS)7"/>
      <sheetName val="BSheet_Detailed_20037"/>
      <sheetName val="Fixed_Asset7"/>
      <sheetName val="GTLDetails_to_BS(Mgt)7"/>
      <sheetName val="Cash_Flow7"/>
      <sheetName val="Client_Data6"/>
      <sheetName val="GUL_Budget_2003_Version_86"/>
      <sheetName val="Sales_Qty6"/>
      <sheetName val="DDU_Price6"/>
      <sheetName val="Purchase_Details_in_Qty6"/>
      <sheetName val="Purchase_Details_in_%age6"/>
      <sheetName val="Distance_Master6"/>
      <sheetName val="Actual_20016"/>
      <sheetName val="Budget_20026"/>
      <sheetName val="Stock_Flow6"/>
      <sheetName val="LocationWie_Sales6"/>
      <sheetName val="Top_Sheet6"/>
      <sheetName val="Proposed_P&amp;L_20026"/>
      <sheetName val="P&amp;L_Detailed_20026"/>
      <sheetName val="Detailed_Budget_20036"/>
      <sheetName val="Overhead_budget_USD6"/>
      <sheetName val="BS_Detailed_Sep_026"/>
      <sheetName val="Volume_YTD_Dec_026"/>
      <sheetName val="WORKING_CAPITAL6"/>
      <sheetName val="Sales_Quantity6"/>
      <sheetName val="Sales_2002_Vs_20036"/>
      <sheetName val="Sales_Value6"/>
      <sheetName val="Discount_Value6"/>
      <sheetName val="New_Discount6"/>
      <sheetName val="Basic_Price_in_USD6"/>
      <sheetName val="Price_Built_up6"/>
      <sheetName val="GP_Analysis2003_USH6"/>
      <sheetName val="GP_Analysis2003_USD6"/>
      <sheetName val="Capital_Project_Detail6"/>
      <sheetName val="Investment_Summay_Old6"/>
      <sheetName val="Investment_Cash_Outflow6"/>
      <sheetName val="Proposed_BS_20026"/>
      <sheetName val="Sales_Volume_and_Revenue6"/>
      <sheetName val="Truck_Unit_Rate6"/>
      <sheetName val="Int__Schedule6"/>
      <sheetName val="Employee_Details6"/>
      <sheetName val="Other_Workings6"/>
      <sheetName val="Corporate_Tax6"/>
      <sheetName val="Trading_Forecast6"/>
      <sheetName val="Revenue_Assumptions6"/>
      <sheetName val="GUL_Sales_Volume6"/>
      <sheetName val="GUL_GP_Analysis20036"/>
      <sheetName val="GUL_P&amp;l_Mgt6"/>
      <sheetName val="Overhead_budget_USH6"/>
      <sheetName val="GUL_P&amp;L_Details6"/>
      <sheetName val="GUL_PL(FI)_-_USH6"/>
      <sheetName val="GUL_PL(FI)-USD6"/>
      <sheetName val="Exchange_Rates6"/>
      <sheetName val="BSheet_Summary_20036"/>
      <sheetName val="GTLCFlow_With_WC_Loan6"/>
      <sheetName val="GTLCFlow_Wout_WC_Loan6"/>
      <sheetName val="GTL_Details_to_BS(IAS)6"/>
      <sheetName val="BSheet_Detailed_20036"/>
      <sheetName val="Fixed_Asset6"/>
      <sheetName val="GTLDetails_to_BS(Mgt)6"/>
      <sheetName val="Cash_Flow6"/>
      <sheetName val="Client_Data5"/>
      <sheetName val="GUL_Budget_2003_Version_85"/>
      <sheetName val="Sales_Qty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xxx"/>
      <sheetName val="Marine Gasoil Rebrand Document"/>
      <sheetName val="xxxx"/>
      <sheetName val="Lookup Tables"/>
      <sheetName val="Sheet2"/>
      <sheetName val="additional charge"/>
      <sheetName val="KPRL Rebrand Document FUELEX"/>
      <sheetName val="KPRL Rebrand Document- NOCK"/>
      <sheetName val="Product Receipt Document-MSP"/>
      <sheetName val="Product Receipt Document-JETNSD"/>
      <sheetName val="Prod Receipt Document-AGO SHL"/>
      <sheetName val="Product Receipt Document-AGO NS"/>
      <sheetName val="Product Receipt Document-AG (3)"/>
      <sheetName val="Product Receipt Document-LPG"/>
      <sheetName val="Product Receipt Document-AGO"/>
      <sheetName val="Receipt Recon Document"/>
      <sheetName val="GAPCO Hospitality Document"/>
      <sheetName val="MASI Sales Document"/>
      <sheetName val="MASI Imports Document"/>
      <sheetName val="Bitumen Drumming Document"/>
      <sheetName val="Fuel Oil Other Rebrand Document"/>
      <sheetName val="KPRL Transfers Document (2)"/>
      <sheetName val="KPRL Transfers Document"/>
      <sheetName val="Transport Cost Document - OTHER"/>
      <sheetName val="KOSF Transfers Document"/>
      <sheetName val="KOSF Kero Delvrs Rbrnd Document"/>
      <sheetName val="Trpt Cost Document - Airports"/>
      <sheetName val="JetE to Kero Rbrnd Document"/>
      <sheetName val="WKna KPC Transfers Document"/>
      <sheetName val="Transport Cost Document - NKU"/>
      <sheetName val="Transport Cost Document - ELD"/>
      <sheetName val="Transport Cost Document - KSU"/>
      <sheetName val="WKna Jet Rbrnd Delvrs Document"/>
      <sheetName val="Transport Cost Document"/>
      <sheetName val="Fuel Oil 1% Rebrand Document"/>
      <sheetName val="LPG Filling Document"/>
      <sheetName val="Mogas Rebrand Document"/>
      <sheetName val="Borrow Loan Document"/>
      <sheetName val="Borrow Loan MKTrs Document"/>
      <sheetName val="Prod Var KOSF+Mainline Document"/>
      <sheetName val="Own use Document"/>
      <sheetName val="KPC Local Reconciliation"/>
      <sheetName val="KPC Export Reconciliation"/>
      <sheetName val="Prod Var WKna Document"/>
      <sheetName val="Buffer Stock Document"/>
      <sheetName val="GAPCO Exchange Document"/>
      <sheetName val="MASI Exchanges Document"/>
      <sheetName val="Misc Items Document (3)"/>
      <sheetName val="Misc Items Document (2)"/>
      <sheetName val="Misc Items Document"/>
      <sheetName val="Stock Booking Procedures"/>
      <sheetName val="BKup"/>
      <sheetName val="Sorc-sup2"/>
      <sheetName val="Product Receipt Document-JET -2"/>
      <sheetName val="Sheet1"/>
      <sheetName val="Sheet3"/>
      <sheetName val="Product Receipt Document-MOGAS"/>
      <sheetName val="Product Receipt Document-PMS"/>
      <sheetName val="KPRL Rebrand Document"/>
      <sheetName val="Transport Cost"/>
      <sheetName val="BLOAN GAPCO"/>
      <sheetName val="WKna KPC KSM Transfer Document"/>
      <sheetName val="WKna KPC NKU Transfer Document"/>
      <sheetName val="WKna KPC ELD Transfers Document"/>
      <sheetName val="PMS Receipt (kprl)"/>
      <sheetName val="PMS TRANSFER"/>
      <sheetName val="PMS Receipt (kprl) (2)"/>
      <sheetName val="PMS TRANSFER (2)"/>
      <sheetName val="LPG Receipt (kprl) "/>
      <sheetName val="LPG TRANSFER "/>
      <sheetName val="LPG Receipt (kprl)  (2)"/>
      <sheetName val="LPG TRANSFER  (2)"/>
      <sheetName val="LPG Receipt (kprl)  (3)"/>
      <sheetName val="LPG TRANSFER  (3)"/>
      <sheetName val="DPK Receipt (kprl)  "/>
      <sheetName val="DPK TRANSFER "/>
      <sheetName val="DPK Receipt (kprl)   (2)"/>
      <sheetName val="HO010.12.12"/>
      <sheetName val="DPK TRANSFER  (2)"/>
      <sheetName val="DPK Receipt (kprl)   (3)"/>
      <sheetName val="DPK TRANSFER  (3)"/>
      <sheetName val="AGO Receipt (kprl)"/>
      <sheetName val="AGO TRANSFER"/>
      <sheetName val="AGO Receipt (kprl) (2)"/>
      <sheetName val="AGO TRANSFER (2)"/>
      <sheetName val="IDO Receipt (kprl) "/>
      <sheetName val="IDO TRANSFER"/>
      <sheetName val="FO 180 Receipt (kprl) "/>
      <sheetName val="FO 180 TRANSFER"/>
      <sheetName val="FO 180 Receipt (kprl)  (2)"/>
      <sheetName val="FO 180 TRANSFER (2)"/>
      <sheetName val="Compatibility Report"/>
      <sheetName val="Product Receipt Document1"/>
      <sheetName val="Product Receipt Document"/>
      <sheetName val="Borrow Loan Document Kobil"/>
      <sheetName val="Borrow Loan Trf Document Kobil"/>
      <sheetName val="Misc Items-Kobil"/>
      <sheetName val="Borrow Loan Document Caltex"/>
      <sheetName val="Borrow Loan Trf Document Caltex"/>
      <sheetName val="Misc Items-Caltex"/>
      <sheetName val="Borrow Loan Document Total"/>
      <sheetName val="Borrow Loan Trf Document Total"/>
      <sheetName val="Misc Items-Total"/>
      <sheetName val="Borrow Loan Document Shell"/>
      <sheetName val="Borrow Loan Trf Document Shell"/>
      <sheetName val="Misc Items-Shell"/>
      <sheetName val="Negativety Stock Document"/>
      <sheetName val="ENGEN Exchange Doc Nrb"/>
      <sheetName val="ENGEN Exchange Doc Msa"/>
      <sheetName val="ENGEN Exchange Doc"/>
      <sheetName val="PETRO (K) Reversal Document"/>
      <sheetName val="PETRO (K) Exchange Doc Nrb"/>
      <sheetName val="PETRO (K) Exchange Doc Msa"/>
      <sheetName val="PETRO (K) Exchange Doc"/>
      <sheetName val="Misc Items Doc Masi"/>
      <sheetName val="Misc1 Items Document"/>
      <sheetName val="ADJMSA"/>
      <sheetName val="ADJHO019.11.04"/>
      <sheetName val="ADJHO021.11.04"/>
      <sheetName val="2 USD ACCRUAL"/>
      <sheetName val="ADJHO023.11.04 "/>
      <sheetName val="MAINLINE REBRANDS"/>
      <sheetName val="ADJ"/>
      <sheetName val="TRFHO031.01.05."/>
      <sheetName val="ADJHO031.01.05"/>
      <sheetName val="TRFHO031.01.05. (2)"/>
      <sheetName val="TRFHO031.01.05. (3)"/>
      <sheetName val="ADJHO031.01.05 (2)"/>
      <sheetName val="buildup"/>
    </sheetNames>
    <sheetDataSet>
      <sheetData sheetId="0"/>
      <sheetData sheetId="1"/>
      <sheetData sheetId="2"/>
      <sheetData sheetId="3" refreshError="1">
        <row r="3">
          <cell r="B3" t="str">
            <v>LOCATION</v>
          </cell>
          <cell r="H3" t="str">
            <v>FMTITEMNO</v>
          </cell>
          <cell r="I3" t="str">
            <v>DESC</v>
          </cell>
        </row>
        <row r="4">
          <cell r="H4" t="str">
            <v>01-0095-001</v>
          </cell>
          <cell r="I4" t="str">
            <v>CONTAMINATED MOBIL PREMIUM - LITRES</v>
          </cell>
        </row>
        <row r="5">
          <cell r="H5" t="str">
            <v>01-0116-000</v>
          </cell>
          <cell r="I5" t="str">
            <v>MOBIL SUPER R 91/93 - KILOS</v>
          </cell>
        </row>
        <row r="6">
          <cell r="H6" t="str">
            <v>01-0116-001</v>
          </cell>
          <cell r="I6" t="str">
            <v>MOBIL SUPER R 91/93 - LITRES</v>
          </cell>
        </row>
        <row r="7">
          <cell r="H7" t="str">
            <v>01-0116-063</v>
          </cell>
          <cell r="I7" t="str">
            <v>MOBIL SUPER R 91/93 - 200 LT</v>
          </cell>
        </row>
        <row r="8">
          <cell r="H8" t="str">
            <v>01-1122-001</v>
          </cell>
          <cell r="I8" t="str">
            <v>MOBIL SUPER R 95 - LITRES</v>
          </cell>
        </row>
        <row r="9">
          <cell r="H9" t="str">
            <v>01-1122-063</v>
          </cell>
          <cell r="I9" t="str">
            <v>MOBIL SUPER R 95 - 200 LT</v>
          </cell>
        </row>
        <row r="10">
          <cell r="H10" t="str">
            <v>01-1205-001</v>
          </cell>
          <cell r="I10" t="str">
            <v>MOBIL GASOHOL - LITRES</v>
          </cell>
        </row>
        <row r="11">
          <cell r="H11" t="str">
            <v>02-0016-000</v>
          </cell>
          <cell r="I11" t="str">
            <v>MOBIL REGULAR - KILOS</v>
          </cell>
        </row>
        <row r="12">
          <cell r="H12" t="str">
            <v>02-0016-001</v>
          </cell>
          <cell r="I12" t="str">
            <v>MOBIL REGULAR - LITRES</v>
          </cell>
        </row>
        <row r="13">
          <cell r="H13" t="str">
            <v>02-0095-001</v>
          </cell>
          <cell r="I13" t="str">
            <v>CONTAMINATED MOBIL REGULAR - LITRES</v>
          </cell>
        </row>
        <row r="14">
          <cell r="H14" t="str">
            <v>02-1873-001</v>
          </cell>
          <cell r="I14" t="str">
            <v>REGULAR GASOHOL - LITRES</v>
          </cell>
        </row>
        <row r="15">
          <cell r="H15" t="str">
            <v>12-1020-000</v>
          </cell>
          <cell r="I15" t="str">
            <v>MOBIL JET A-1 - KILOS</v>
          </cell>
        </row>
        <row r="16">
          <cell r="H16" t="str">
            <v>12-1020-001</v>
          </cell>
          <cell r="I16" t="str">
            <v>MOBIL JET A-1 - LITRES</v>
          </cell>
        </row>
        <row r="17">
          <cell r="H17" t="str">
            <v>12-1020-063</v>
          </cell>
          <cell r="I17" t="str">
            <v>MOBIL JET A-1 - 200 LT</v>
          </cell>
        </row>
        <row r="18">
          <cell r="H18" t="str">
            <v>13-0095-000</v>
          </cell>
          <cell r="I18" t="str">
            <v>CONTAMINATED MOBIL KEROSENE - KILOS</v>
          </cell>
        </row>
        <row r="19">
          <cell r="H19" t="str">
            <v>13-0095-001</v>
          </cell>
          <cell r="I19" t="str">
            <v>CONTAMINATED MOBIL KEROSENE - LITRES</v>
          </cell>
        </row>
        <row r="20">
          <cell r="H20" t="str">
            <v>13-3108-000</v>
          </cell>
          <cell r="I20" t="str">
            <v>MOBIL KEROSENE - KILOS</v>
          </cell>
        </row>
        <row r="21">
          <cell r="H21" t="str">
            <v>13-3108-001</v>
          </cell>
          <cell r="I21" t="str">
            <v>MOBIL KEROSENE - BULK LT</v>
          </cell>
        </row>
        <row r="22">
          <cell r="H22" t="str">
            <v>13-3108-020</v>
          </cell>
          <cell r="I22" t="str">
            <v>MOBIL KEROSENE - 20 LT</v>
          </cell>
        </row>
        <row r="23">
          <cell r="H23" t="str">
            <v>13-3108-063</v>
          </cell>
          <cell r="I23" t="str">
            <v>MOBIL KEROSENE - 200 LT</v>
          </cell>
        </row>
        <row r="24">
          <cell r="H24" t="str">
            <v>15-2066-000</v>
          </cell>
          <cell r="I24" t="str">
            <v>MOBIL DIESEL (GAS-OIL) - KILOS</v>
          </cell>
        </row>
        <row r="25">
          <cell r="H25" t="str">
            <v>15-2066-001</v>
          </cell>
          <cell r="I25" t="str">
            <v>MOBIL DIESEL (GAS-OIL) - BULK LT</v>
          </cell>
        </row>
        <row r="26">
          <cell r="H26" t="str">
            <v>15-2066-063</v>
          </cell>
          <cell r="I26" t="str">
            <v>MOBIL DIESEL (GAS-OIL) - 200 LT</v>
          </cell>
        </row>
        <row r="27">
          <cell r="H27" t="str">
            <v>16-0028-001</v>
          </cell>
          <cell r="I27" t="str">
            <v>MOBIL MARINE DIESEL - LITRES</v>
          </cell>
        </row>
        <row r="28">
          <cell r="H28" t="str">
            <v>16-0028-063</v>
          </cell>
          <cell r="I28" t="str">
            <v>MOBIL MARINE DIESEL - 200 LT</v>
          </cell>
        </row>
        <row r="29">
          <cell r="H29" t="str">
            <v>16-0095-001</v>
          </cell>
          <cell r="I29" t="str">
            <v>CONTAMINATED MOBIL DIESEL - LITRES</v>
          </cell>
        </row>
        <row r="33">
          <cell r="H33" t="str">
            <v>17-0019-000</v>
          </cell>
          <cell r="I33" t="str">
            <v>MOBIL HEAVY DIESEL OIL - KILOS</v>
          </cell>
        </row>
        <row r="34">
          <cell r="H34" t="str">
            <v>17-0019-001</v>
          </cell>
          <cell r="I34" t="str">
            <v>MOBIL HEAVY DIESEL OIL - BULK LT</v>
          </cell>
        </row>
        <row r="35">
          <cell r="H35" t="str">
            <v>17-0019-063</v>
          </cell>
          <cell r="I35" t="str">
            <v>MOBIL HEAVY DIESEL OIL - 200 LT</v>
          </cell>
        </row>
        <row r="36">
          <cell r="H36" t="str">
            <v>20-0022-000</v>
          </cell>
          <cell r="I36" t="str">
            <v>FUELOIL 125CS (2.5% SULP) - KILOS</v>
          </cell>
        </row>
        <row r="37">
          <cell r="H37" t="str">
            <v>20-0022-001</v>
          </cell>
          <cell r="I37" t="str">
            <v>FUEL OIL 125 CS - BULK LT</v>
          </cell>
        </row>
        <row r="38">
          <cell r="H38" t="str">
            <v>21-0294-001</v>
          </cell>
          <cell r="I38" t="str">
            <v>MOBIL MARINE FUEL OIL 280 CST - LITRES</v>
          </cell>
        </row>
        <row r="39">
          <cell r="H39" t="str">
            <v>21-2712-000</v>
          </cell>
          <cell r="I39" t="str">
            <v>LOW SULPHUR FUEL OIL (1.0%) - KILOS</v>
          </cell>
        </row>
        <row r="40">
          <cell r="H40" t="str">
            <v>21-2712-001</v>
          </cell>
          <cell r="I40" t="str">
            <v>LOW SULPHUR FUEL OIL (1.0%) - LITRES</v>
          </cell>
        </row>
        <row r="41">
          <cell r="H41" t="str">
            <v>21-2761-000</v>
          </cell>
          <cell r="I41" t="str">
            <v>FUEL OIL 180 CST - KILOS</v>
          </cell>
        </row>
        <row r="42">
          <cell r="H42" t="str">
            <v>21-2761-001</v>
          </cell>
          <cell r="I42" t="str">
            <v>FUEL OIL 180 CST - LITRES</v>
          </cell>
        </row>
        <row r="43">
          <cell r="H43" t="str">
            <v>22-4006-000</v>
          </cell>
          <cell r="I43" t="str">
            <v>ASPHALTS - KILOS</v>
          </cell>
        </row>
        <row r="44">
          <cell r="H44" t="str">
            <v>24-0101-000</v>
          </cell>
          <cell r="I44" t="str">
            <v>MOBIL LPG - KILOS</v>
          </cell>
        </row>
        <row r="45">
          <cell r="H45" t="str">
            <v>24-0101-001</v>
          </cell>
          <cell r="I45" t="str">
            <v>MOBIL LPG - LITRES</v>
          </cell>
        </row>
        <row r="46">
          <cell r="H46" t="str">
            <v>24-0101-325</v>
          </cell>
          <cell r="I46" t="str">
            <v>MOBIL GAS - 40 KG BOTTLE</v>
          </cell>
        </row>
        <row r="47">
          <cell r="H47" t="str">
            <v>24-0101-326</v>
          </cell>
          <cell r="I47" t="str">
            <v>MOBIL GAS - 13 KG BOTTLE</v>
          </cell>
        </row>
        <row r="48">
          <cell r="H48" t="str">
            <v>24-0101-327</v>
          </cell>
          <cell r="I48" t="str">
            <v>MOBIL LPG - 6KG BOTTLE</v>
          </cell>
        </row>
        <row r="49">
          <cell r="H49" t="str">
            <v>28-1048-000</v>
          </cell>
          <cell r="I49" t="str">
            <v>PENETRATN ASPHALT 80/100 - KILOS</v>
          </cell>
        </row>
        <row r="50">
          <cell r="H50" t="str">
            <v>28-1048-009</v>
          </cell>
          <cell r="I50" t="str">
            <v>PENETRATN ASPHALT 80/100 - 150 KG DRUM</v>
          </cell>
        </row>
        <row r="51">
          <cell r="H51" t="str">
            <v>28-4398-000</v>
          </cell>
          <cell r="I51" t="str">
            <v>CUTBACK ASPHALT MC3000 - KILOS</v>
          </cell>
        </row>
        <row r="52">
          <cell r="H52" t="str">
            <v>30-0202-001</v>
          </cell>
          <cell r="I52" t="str">
            <v>PERMAZONE - LITRES</v>
          </cell>
        </row>
        <row r="53">
          <cell r="H53" t="str">
            <v>30-0202-008</v>
          </cell>
          <cell r="I53" t="str">
            <v>PERMAZONE - 208 LT</v>
          </cell>
        </row>
        <row r="54">
          <cell r="H54" t="str">
            <v>30-0202-121</v>
          </cell>
          <cell r="I54" t="str">
            <v>PERMAZONE - 12 X 1 LT</v>
          </cell>
        </row>
        <row r="55">
          <cell r="H55" t="str">
            <v>33-0095-001</v>
          </cell>
          <cell r="I55" t="str">
            <v>OTHERS (SPECIALITIES) - LITRES</v>
          </cell>
        </row>
        <row r="56">
          <cell r="H56" t="str">
            <v>33-0993-000</v>
          </cell>
          <cell r="I56" t="str">
            <v>MOBIL BRAKE FLUID UNIV. - KILOS</v>
          </cell>
        </row>
        <row r="58">
          <cell r="H58" t="str">
            <v>33-0993-001</v>
          </cell>
          <cell r="I58" t="str">
            <v>MOBIL BRAKE FLUID UNIV. - LITRES</v>
          </cell>
        </row>
        <row r="60">
          <cell r="H60" t="str">
            <v>33-0993-008</v>
          </cell>
          <cell r="I60" t="str">
            <v>MOBIL BRAKE FLUID UNIV. - 208 LT</v>
          </cell>
        </row>
        <row r="61">
          <cell r="H61" t="str">
            <v>33-0993-009</v>
          </cell>
          <cell r="I61" t="str">
            <v>MOBIL BRAKE FLUID UNIV. - 200 KG</v>
          </cell>
        </row>
        <row r="63">
          <cell r="H63" t="str">
            <v>33-0993-020</v>
          </cell>
          <cell r="I63" t="str">
            <v>MOBIL BRAKE FLUID UNIV. - 20 LT PAIL</v>
          </cell>
        </row>
        <row r="64">
          <cell r="H64" t="str">
            <v>33-0993-240</v>
          </cell>
          <cell r="I64" t="str">
            <v>MOBIL BRAKE FLUID UNIV. - 36X0.25 LT CAR</v>
          </cell>
        </row>
        <row r="65">
          <cell r="H65" t="str">
            <v>33-0993-242</v>
          </cell>
          <cell r="I65" t="str">
            <v>MOBIL BRAKE FLUID UNIV. - 0.5 LT</v>
          </cell>
        </row>
        <row r="66">
          <cell r="H66" t="str">
            <v>33-0993-245</v>
          </cell>
          <cell r="I66" t="str">
            <v>MOBIL BRAKE FLUID UNIV. - 32 X 1/2 LT</v>
          </cell>
        </row>
        <row r="67">
          <cell r="H67" t="str">
            <v>33-0993-247</v>
          </cell>
          <cell r="I67" t="str">
            <v>MOBIL BRAKE FLUID UNIV. - 60X0.2 LT</v>
          </cell>
        </row>
        <row r="68">
          <cell r="H68" t="str">
            <v>33-0993-905</v>
          </cell>
          <cell r="I68" t="str">
            <v>MOBIL BRAKE FLUID UNIV. - 205 LT</v>
          </cell>
        </row>
        <row r="69">
          <cell r="H69" t="str">
            <v>33-0993-920</v>
          </cell>
          <cell r="I69" t="str">
            <v>MOBIL BRAKE FLUID UNIV. - 220 KG DRUM</v>
          </cell>
        </row>
        <row r="70">
          <cell r="H70" t="str">
            <v>33-0994-020</v>
          </cell>
          <cell r="I70" t="str">
            <v>MOBIL BRAKE FLUID DOT 3 20 LT</v>
          </cell>
        </row>
        <row r="71">
          <cell r="H71" t="str">
            <v>33-2312-248</v>
          </cell>
          <cell r="I71" t="str">
            <v>MOBIL INSECTICIDE AEROSOL - 100X7.2 LT</v>
          </cell>
        </row>
        <row r="72">
          <cell r="H72" t="str">
            <v>33-2312-249</v>
          </cell>
          <cell r="I72" t="str">
            <v>MOBIL INSECTICIDE AEROSOL - 7X7.2 LT</v>
          </cell>
        </row>
        <row r="73">
          <cell r="H73" t="str">
            <v>33-3286-001</v>
          </cell>
          <cell r="I73" t="str">
            <v>MOBIL FLUSHING OIL - LITRES</v>
          </cell>
        </row>
        <row r="74">
          <cell r="H74" t="str">
            <v>33-3286-008</v>
          </cell>
          <cell r="I74" t="str">
            <v>MOBIL FLUSHING OIL - 208 LT</v>
          </cell>
        </row>
        <row r="75">
          <cell r="H75" t="str">
            <v>33-3286-020</v>
          </cell>
          <cell r="I75" t="str">
            <v>MOBIL FLUSHING OIL - 20 LT</v>
          </cell>
        </row>
        <row r="76">
          <cell r="H76" t="str">
            <v>33-3286-910</v>
          </cell>
          <cell r="I76" t="str">
            <v>MOBIL FLUSHING OIL - 210 LT</v>
          </cell>
        </row>
        <row r="77">
          <cell r="H77" t="str">
            <v>33-8806-001</v>
          </cell>
          <cell r="I77" t="str">
            <v>MOBIL DE-IONIZED WATER - LITRES</v>
          </cell>
        </row>
        <row r="78">
          <cell r="H78" t="str">
            <v>33-8806-121</v>
          </cell>
          <cell r="I78" t="str">
            <v>MOBIL DE-IONIZED WATER - 24 X 1 LT CARTO</v>
          </cell>
        </row>
        <row r="79">
          <cell r="H79" t="str">
            <v>33-8806-921</v>
          </cell>
          <cell r="I79" t="str">
            <v>MOBIL DE-IONIZED WATER - 1 LT</v>
          </cell>
        </row>
        <row r="80">
          <cell r="H80" t="str">
            <v>33-9140-001</v>
          </cell>
          <cell r="I80" t="str">
            <v>MOBIL BRAKEFLUID UNIVERSAL-LITRES</v>
          </cell>
        </row>
        <row r="81">
          <cell r="H81" t="str">
            <v>33-9140-008</v>
          </cell>
          <cell r="I81" t="str">
            <v>MOBIL BRAKE FLUID UNIVERSAL - 208 LT DRU</v>
          </cell>
        </row>
        <row r="82">
          <cell r="H82" t="str">
            <v>33-9140-020</v>
          </cell>
          <cell r="I82" t="str">
            <v>MOBIL BRAKE FLUID UNIVERSAL - 20 LT</v>
          </cell>
        </row>
        <row r="83">
          <cell r="H83" t="str">
            <v>41-0134-001</v>
          </cell>
          <cell r="I83" t="str">
            <v>MOBIL HEAVY DUTY 40 - LITRE</v>
          </cell>
        </row>
        <row r="84">
          <cell r="H84" t="str">
            <v>41-0134-008</v>
          </cell>
          <cell r="I84" t="str">
            <v>MOBIL HEAVY DUTY 40 - 208 LT DRUM</v>
          </cell>
        </row>
        <row r="85">
          <cell r="H85" t="str">
            <v>41-0134-020</v>
          </cell>
          <cell r="I85" t="str">
            <v>MOBIL HEAVY DUTY 40 - 20 LT PAIL</v>
          </cell>
        </row>
        <row r="86">
          <cell r="H86" t="str">
            <v>41-0134-121</v>
          </cell>
          <cell r="I86" t="str">
            <v>MOBIL HEAVY DUTY 40 - 12 X 1 LT CARTON</v>
          </cell>
        </row>
        <row r="87">
          <cell r="H87" t="str">
            <v>41-0134-144</v>
          </cell>
          <cell r="I87" t="str">
            <v>MOBIL HEAVY DUTY 40 - 4 X 4 LT CARTON</v>
          </cell>
        </row>
        <row r="88">
          <cell r="H88" t="str">
            <v>41-0134-145</v>
          </cell>
          <cell r="I88" t="str">
            <v>MOBIL HEAVY DUTY 40 - 4 X 5 LT</v>
          </cell>
        </row>
        <row r="89">
          <cell r="H89" t="str">
            <v>41-0134-240</v>
          </cell>
          <cell r="I89" t="str">
            <v>MOBIL HEAVY DUTY 40 - 40X0.5 LT</v>
          </cell>
        </row>
        <row r="90">
          <cell r="H90" t="str">
            <v>41-0134-242</v>
          </cell>
          <cell r="I90" t="str">
            <v>MOBIL HEAVY DUTY 40 - 0.5 LT</v>
          </cell>
        </row>
        <row r="91">
          <cell r="H91" t="str">
            <v>41-0134-245</v>
          </cell>
          <cell r="I91" t="str">
            <v>MOBIL HEAVY DUTY 40 - 32 X 1/2 LT</v>
          </cell>
        </row>
        <row r="92">
          <cell r="H92" t="str">
            <v>41-0134-910</v>
          </cell>
          <cell r="I92" t="str">
            <v>MOBIL HEAVY DUTY 40 - 210 LT</v>
          </cell>
        </row>
        <row r="93">
          <cell r="H93" t="str">
            <v>41-0134-921</v>
          </cell>
          <cell r="I93" t="str">
            <v>MOBIL HEAVY DUTY 40 - 1 LT CAN</v>
          </cell>
        </row>
        <row r="94">
          <cell r="H94" t="str">
            <v>41-0134-944</v>
          </cell>
          <cell r="I94" t="str">
            <v>MOBIL HEAVY DUTY 40 - 4 LT</v>
          </cell>
        </row>
        <row r="95">
          <cell r="H95" t="str">
            <v>41-0134-945</v>
          </cell>
          <cell r="I95" t="str">
            <v>MOBIL HEAVY DUTY 40 - 5 LT CAN</v>
          </cell>
        </row>
        <row r="96">
          <cell r="H96" t="str">
            <v>41-0142-001</v>
          </cell>
          <cell r="I96" t="str">
            <v>MOBIL HEAVY DUTY 50 - LITRES</v>
          </cell>
        </row>
        <row r="97">
          <cell r="H97" t="str">
            <v>41-0142-008</v>
          </cell>
          <cell r="I97" t="str">
            <v>MOBIL HEAVY DUTY 50 - 208 LT</v>
          </cell>
        </row>
        <row r="98">
          <cell r="H98" t="str">
            <v>41-0142-121</v>
          </cell>
          <cell r="I98" t="str">
            <v>MOBIL HEAVY DUTY 50 - 12 X 1 LT</v>
          </cell>
        </row>
        <row r="99">
          <cell r="H99" t="str">
            <v>41-0332-001</v>
          </cell>
          <cell r="I99" t="str">
            <v>MOBIL HD 40 (EXPORT) - LITRES</v>
          </cell>
        </row>
        <row r="100">
          <cell r="H100" t="str">
            <v>41-0332-008</v>
          </cell>
          <cell r="I100" t="str">
            <v>MOBIL HD 40 (EXPORT) - 208 LT DRUM</v>
          </cell>
        </row>
        <row r="101">
          <cell r="H101" t="str">
            <v>41-0332-020</v>
          </cell>
          <cell r="I101" t="str">
            <v>MOBIL HD 40 (EXPORT) - 20 LT</v>
          </cell>
        </row>
        <row r="102">
          <cell r="H102" t="str">
            <v>41-0332-121</v>
          </cell>
          <cell r="I102" t="str">
            <v>MOBIL HD 40 (EXPORT) - 12 X 1 LT</v>
          </cell>
        </row>
        <row r="103">
          <cell r="H103" t="str">
            <v>41-0332-144</v>
          </cell>
          <cell r="I103" t="str">
            <v>MOBIL HD 40 (EXPORT) - 4 X 4 LT</v>
          </cell>
        </row>
        <row r="104">
          <cell r="H104" t="str">
            <v>41-0332-245</v>
          </cell>
          <cell r="I104" t="str">
            <v>MOBIL HD 40 (EXPORT) - 32 X 1/2 LT</v>
          </cell>
        </row>
        <row r="105">
          <cell r="H105" t="str">
            <v>41-0332-921</v>
          </cell>
          <cell r="I105" t="str">
            <v>MOBIL HD 40 (EXPORT) - 1 LT</v>
          </cell>
        </row>
        <row r="106">
          <cell r="H106" t="str">
            <v>41-0332-944</v>
          </cell>
          <cell r="I106" t="str">
            <v>MOBIL HD 40 (EXPORT) - 4 LT</v>
          </cell>
        </row>
        <row r="107">
          <cell r="H107" t="str">
            <v>41-0506-000</v>
          </cell>
          <cell r="I107" t="str">
            <v>MOBIL SPECIAL 2T - KILOS</v>
          </cell>
        </row>
        <row r="108">
          <cell r="H108" t="str">
            <v>41-0506-001</v>
          </cell>
          <cell r="I108" t="str">
            <v>MOBIL SPECIAL 2T - LITRES</v>
          </cell>
        </row>
        <row r="109">
          <cell r="H109" t="str">
            <v>41-0506-008</v>
          </cell>
          <cell r="I109" t="str">
            <v>MOBIL SPECIAL 2T - 208 LT</v>
          </cell>
        </row>
        <row r="110">
          <cell r="H110" t="str">
            <v>41-0506-020</v>
          </cell>
          <cell r="I110" t="str">
            <v>MOBIL SPECIAL 2T - 20LT PAIL</v>
          </cell>
        </row>
        <row r="111">
          <cell r="H111" t="str">
            <v>41-0506-121</v>
          </cell>
          <cell r="I111" t="str">
            <v>MOBIL SPECIAL 2T - 12 X 1 LT CARTON</v>
          </cell>
        </row>
        <row r="112">
          <cell r="H112" t="str">
            <v>41-0506-144</v>
          </cell>
          <cell r="I112" t="str">
            <v>MOBIL SPECIAL 2T - 4 X 4 LT CARTON</v>
          </cell>
        </row>
        <row r="113">
          <cell r="H113" t="str">
            <v>41-0506-242</v>
          </cell>
          <cell r="I113" t="str">
            <v>MOBIL SPECIAL 2T - 0.5 KG</v>
          </cell>
        </row>
        <row r="114">
          <cell r="H114" t="str">
            <v>41-0506-245</v>
          </cell>
          <cell r="I114" t="str">
            <v>MOBIL SPECIAL 2T - 32 X 1/2 LT</v>
          </cell>
        </row>
        <row r="115">
          <cell r="H115" t="str">
            <v>41-0506-910</v>
          </cell>
          <cell r="I115" t="str">
            <v>MOBIL SPECIAL 2T - 210 LT</v>
          </cell>
        </row>
        <row r="116">
          <cell r="H116" t="str">
            <v>41-0506-921</v>
          </cell>
          <cell r="I116" t="str">
            <v>MOBIL SPECIAL 2T - 1 LT CAN</v>
          </cell>
        </row>
        <row r="117">
          <cell r="H117" t="str">
            <v>41-0514-001</v>
          </cell>
          <cell r="I117" t="str">
            <v>MOBIL SUPER 2T - LITRES</v>
          </cell>
        </row>
        <row r="118">
          <cell r="H118" t="str">
            <v>41-0514-008</v>
          </cell>
          <cell r="I118" t="str">
            <v>MOBIL SUPER 2T - 208 LT</v>
          </cell>
        </row>
        <row r="119">
          <cell r="H119" t="str">
            <v>41-0514-020</v>
          </cell>
          <cell r="I119" t="str">
            <v>MOBIL SUPER 2T - 20 LT</v>
          </cell>
        </row>
        <row r="120">
          <cell r="H120" t="str">
            <v>41-0514-144</v>
          </cell>
          <cell r="I120" t="str">
            <v>MOBIL SUPER 2T - 4 X 4 LT</v>
          </cell>
        </row>
        <row r="121">
          <cell r="H121" t="str">
            <v>41-2056-001</v>
          </cell>
          <cell r="I121" t="str">
            <v>MOBIL OUTBOARD PLUS - LITRES</v>
          </cell>
        </row>
        <row r="122">
          <cell r="H122" t="str">
            <v>41-2056-008</v>
          </cell>
          <cell r="I122" t="str">
            <v>MOBIL OUTBOARD PLUS - 208 LT DRUM</v>
          </cell>
        </row>
        <row r="123">
          <cell r="H123" t="str">
            <v>41-2056-145</v>
          </cell>
          <cell r="I123" t="str">
            <v>MOBIL OUTBOARD PLUS - 4 X 5 LT CARTON</v>
          </cell>
        </row>
        <row r="124">
          <cell r="H124" t="str">
            <v>41-2841-001</v>
          </cell>
          <cell r="I124" t="str">
            <v>MOBILAND SUPER UNIVERSAL 20W40 - LITRES</v>
          </cell>
        </row>
        <row r="125">
          <cell r="H125" t="str">
            <v>41-2841-008</v>
          </cell>
          <cell r="I125" t="str">
            <v>MOBILAND SUPER UNIVERSAL 20W40 -208 LT D</v>
          </cell>
        </row>
        <row r="126">
          <cell r="H126" t="str">
            <v>41-2841-020</v>
          </cell>
          <cell r="I126" t="str">
            <v>MOBILAND SUPER UNIVERSAL 20W40 - 20 LT</v>
          </cell>
        </row>
        <row r="127">
          <cell r="H127" t="str">
            <v>43-0132-008</v>
          </cell>
          <cell r="I127" t="str">
            <v>MOBIL AERO RED BRAND - 208 LT</v>
          </cell>
        </row>
        <row r="128">
          <cell r="H128" t="str">
            <v>43-0207-001</v>
          </cell>
          <cell r="I128" t="str">
            <v>MOBIL JET OIL II - LITRES</v>
          </cell>
        </row>
        <row r="129">
          <cell r="H129" t="str">
            <v>43-0207-002</v>
          </cell>
          <cell r="I129" t="str">
            <v>MOBIL JET OIL II - 24X0.95 LT CARTON</v>
          </cell>
        </row>
        <row r="130">
          <cell r="H130" t="str">
            <v>43-0207-121</v>
          </cell>
          <cell r="I130" t="str">
            <v>MOBIL JET OIL II - 12 X 1 LT</v>
          </cell>
        </row>
        <row r="131">
          <cell r="H131" t="str">
            <v>43-2161-002</v>
          </cell>
          <cell r="I131" t="str">
            <v>MOBIL AERO 100 - 24X0.95 LT CARTON</v>
          </cell>
        </row>
        <row r="132">
          <cell r="H132" t="str">
            <v>43-2161-003</v>
          </cell>
          <cell r="I132" t="str">
            <v>MOBIL AERO 100 - 12X0.95 LT CARTON</v>
          </cell>
        </row>
        <row r="133">
          <cell r="H133" t="str">
            <v>43-2161-008</v>
          </cell>
          <cell r="I133" t="str">
            <v>MOBIL AERO 100 - 208 LT</v>
          </cell>
        </row>
        <row r="134">
          <cell r="H134" t="str">
            <v>43-2179-002</v>
          </cell>
          <cell r="I134" t="str">
            <v>MOBIL AERO 120 - 24X0.95 LT CARTON</v>
          </cell>
        </row>
        <row r="135">
          <cell r="H135" t="str">
            <v>43-2179-003</v>
          </cell>
          <cell r="I135" t="str">
            <v>MOBIL AERO 120 - 12X0.95 LT CARTON</v>
          </cell>
        </row>
        <row r="141">
          <cell r="H141" t="str">
            <v>43-2179-008</v>
          </cell>
          <cell r="I141" t="str">
            <v>MOBIL AERO OIL 120 - 208 LT DRUM</v>
          </cell>
        </row>
        <row r="142">
          <cell r="H142" t="str">
            <v>44-0586-001</v>
          </cell>
          <cell r="I142" t="str">
            <v>MOBIL DELVAC 1140 - LITRES</v>
          </cell>
        </row>
        <row r="143">
          <cell r="H143" t="str">
            <v>44-0586-008</v>
          </cell>
          <cell r="I143" t="str">
            <v>MOBIL DELVAC 1140 - 208 LT</v>
          </cell>
        </row>
        <row r="144">
          <cell r="H144" t="str">
            <v>44-0586-020</v>
          </cell>
          <cell r="I144" t="str">
            <v>MOBIL DELVAC 1140 - 20 LT</v>
          </cell>
        </row>
        <row r="145">
          <cell r="H145" t="str">
            <v>44-0586-121</v>
          </cell>
          <cell r="I145" t="str">
            <v>MOBIL DELVAC 1140 - 12 X 1 LT</v>
          </cell>
        </row>
        <row r="146">
          <cell r="H146" t="str">
            <v>44-0586-145</v>
          </cell>
          <cell r="I146" t="str">
            <v>MOBIL DELVAC 1140 - 6 X 5 LT</v>
          </cell>
        </row>
        <row r="147">
          <cell r="H147" t="str">
            <v>44-0586-240</v>
          </cell>
          <cell r="I147" t="str">
            <v>MOBIL DELVAC 1140 - 40X0.5 LT</v>
          </cell>
        </row>
        <row r="148">
          <cell r="H148" t="str">
            <v>44-0586-242</v>
          </cell>
          <cell r="I148" t="str">
            <v>MOBIL DELVAC 1140 - 0.5 LT</v>
          </cell>
        </row>
        <row r="149">
          <cell r="H149" t="str">
            <v>44-0586-910</v>
          </cell>
          <cell r="I149" t="str">
            <v>MOBIL DELVAC 1140 - 210 LT</v>
          </cell>
        </row>
        <row r="150">
          <cell r="H150" t="str">
            <v>44-0586-945</v>
          </cell>
          <cell r="I150" t="str">
            <v>MOBIL DELVAC 1140 - 5 LT</v>
          </cell>
        </row>
        <row r="151">
          <cell r="H151" t="str">
            <v>44-0594-001</v>
          </cell>
          <cell r="I151" t="str">
            <v>MOBIL DELVAC 1150 - LITRES</v>
          </cell>
        </row>
        <row r="152">
          <cell r="H152" t="str">
            <v>44-0594-145</v>
          </cell>
          <cell r="I152" t="str">
            <v>MOBIL DELVAC 1150 - 4 X 5 LT</v>
          </cell>
        </row>
        <row r="153">
          <cell r="H153" t="str">
            <v>44-0594-945</v>
          </cell>
          <cell r="I153" t="str">
            <v>MOBIL DELVAC 1150 - 5 LT</v>
          </cell>
        </row>
        <row r="154">
          <cell r="H154" t="str">
            <v>44-0701-001</v>
          </cell>
          <cell r="I154" t="str">
            <v>MOBIL DELVAC 1310 - LITRES</v>
          </cell>
        </row>
        <row r="155">
          <cell r="H155" t="str">
            <v>44-0701-008</v>
          </cell>
          <cell r="I155" t="str">
            <v>MOBIL DELVAC 1310 - 208 LT DRUM</v>
          </cell>
        </row>
        <row r="156">
          <cell r="H156" t="str">
            <v>44-0701-020</v>
          </cell>
          <cell r="I156" t="str">
            <v>MOBIL DELVAC 1310 - 20 LT PAIL</v>
          </cell>
        </row>
        <row r="157">
          <cell r="H157" t="str">
            <v>44-0701-063</v>
          </cell>
          <cell r="I157" t="str">
            <v>MOBIL DELVAC 1310 - 200 LT</v>
          </cell>
        </row>
        <row r="158">
          <cell r="H158" t="str">
            <v>44-0727-001</v>
          </cell>
          <cell r="I158" t="str">
            <v/>
          </cell>
        </row>
        <row r="159">
          <cell r="H159" t="str">
            <v>44-0727-008</v>
          </cell>
          <cell r="I159" t="str">
            <v>MOBIL DELVAC 1330 - 208 LT DRUM</v>
          </cell>
        </row>
        <row r="160">
          <cell r="H160" t="str">
            <v>44-0727-020</v>
          </cell>
          <cell r="I160" t="str">
            <v>MOBIL DELVAC 1330 - 20 LT PAIL</v>
          </cell>
        </row>
        <row r="161">
          <cell r="H161" t="str">
            <v>44-0727-145</v>
          </cell>
          <cell r="I161" t="str">
            <v>MOBIL DELVAC 1330 - 4 X 5 LT</v>
          </cell>
        </row>
        <row r="162">
          <cell r="H162" t="str">
            <v>44-0727-905</v>
          </cell>
          <cell r="I162" t="str">
            <v>MOBIL DELVAC 1330 - 205 LT</v>
          </cell>
        </row>
        <row r="163">
          <cell r="H163" t="str">
            <v>44-0735-001</v>
          </cell>
          <cell r="I163" t="str">
            <v>MOBIL DELVAC 1340 - LITRES</v>
          </cell>
        </row>
        <row r="164">
          <cell r="H164" t="str">
            <v>44-0735-008</v>
          </cell>
          <cell r="I164" t="str">
            <v>MOBIL DELVAC 1340 - 208 LT DRUM</v>
          </cell>
        </row>
        <row r="165">
          <cell r="H165" t="str">
            <v>44-0735-020</v>
          </cell>
          <cell r="I165" t="str">
            <v>MOBIL DELVAC 1340 - 20 LT PAIL</v>
          </cell>
        </row>
        <row r="166">
          <cell r="H166" t="str">
            <v>44-0735-121</v>
          </cell>
          <cell r="I166" t="str">
            <v>MOBIL DELVAC 1340 - 12 X 1 LT CARTON</v>
          </cell>
        </row>
        <row r="167">
          <cell r="H167" t="str">
            <v>44-0735-144</v>
          </cell>
          <cell r="I167" t="str">
            <v>MOBIL DELVAC 1340 - 4 X 4 LT CARTON</v>
          </cell>
        </row>
        <row r="168">
          <cell r="H168" t="str">
            <v>44-0735-145</v>
          </cell>
          <cell r="I168" t="str">
            <v>MOBIL DELVAC 1340 - 4 X 5 LT</v>
          </cell>
        </row>
        <row r="169">
          <cell r="H169" t="str">
            <v>44-0735-910</v>
          </cell>
          <cell r="I169" t="str">
            <v>MOBIL DELVAC 1340 - 210 LT</v>
          </cell>
        </row>
        <row r="170">
          <cell r="H170" t="str">
            <v>44-0735-921</v>
          </cell>
          <cell r="I170" t="str">
            <v>MOBIL DELVAC 1340 - 1 LT CAN</v>
          </cell>
        </row>
        <row r="171">
          <cell r="H171" t="str">
            <v>44-0735-944</v>
          </cell>
          <cell r="I171" t="str">
            <v>MOBIL DELVAC 1340 - 4 LT CAN</v>
          </cell>
        </row>
        <row r="172">
          <cell r="H172" t="str">
            <v>44-0743-001</v>
          </cell>
          <cell r="I172" t="str">
            <v>MOBIL DELVAC 1350 - LITRES</v>
          </cell>
        </row>
        <row r="173">
          <cell r="H173" t="str">
            <v>44-0743-008</v>
          </cell>
          <cell r="I173" t="str">
            <v>MOBIL DELVAC 1350 - 208 LT DRUM</v>
          </cell>
        </row>
        <row r="174">
          <cell r="H174" t="str">
            <v>44-0743-020</v>
          </cell>
          <cell r="I174" t="str">
            <v>MOBIL DELVAC 1350 - 20 LT PAIL</v>
          </cell>
        </row>
        <row r="175">
          <cell r="H175" t="str">
            <v>44-0743-121</v>
          </cell>
          <cell r="I175" t="str">
            <v>MOBIL DELVAC 1350 - 12 X 1 LT CARTON</v>
          </cell>
        </row>
        <row r="176">
          <cell r="H176" t="str">
            <v>44-0743-144</v>
          </cell>
          <cell r="I176" t="str">
            <v>MOBIL DELVAC 1350 - 4 X 4 LT CARTON</v>
          </cell>
        </row>
        <row r="177">
          <cell r="H177" t="str">
            <v>44-0826-144</v>
          </cell>
          <cell r="I177" t="str">
            <v>MOBIL DELVAC 1430 - 4 X 4 LT</v>
          </cell>
        </row>
        <row r="178">
          <cell r="H178" t="str">
            <v>44-0834-001</v>
          </cell>
          <cell r="I178" t="str">
            <v>MOBIL DELVAC 1440 - LITRES</v>
          </cell>
        </row>
        <row r="179">
          <cell r="H179" t="str">
            <v>44-0834-008</v>
          </cell>
          <cell r="I179" t="str">
            <v>MOBIL DELVAC 1440 - 208 LT DRUM</v>
          </cell>
        </row>
        <row r="180">
          <cell r="H180" t="str">
            <v>44-0834-020</v>
          </cell>
          <cell r="I180" t="str">
            <v>MOBIL DELVAC 1440 - 20 LT PAIL</v>
          </cell>
        </row>
        <row r="181">
          <cell r="H181" t="str">
            <v>44-1048-000</v>
          </cell>
          <cell r="I181" t="str">
            <v>MOBIL DELVAC MX 15W 40 -BULK</v>
          </cell>
        </row>
        <row r="182">
          <cell r="H182" t="str">
            <v>44-1048-001</v>
          </cell>
          <cell r="I182" t="str">
            <v>MOBIL DELVAC MX 15W-40 - LITRES</v>
          </cell>
        </row>
        <row r="183">
          <cell r="H183" t="str">
            <v>44-1048-008</v>
          </cell>
          <cell r="I183" t="str">
            <v>MOBIL DELVAC MX 15W-40 - 208 LT DRUM</v>
          </cell>
        </row>
        <row r="184">
          <cell r="H184" t="str">
            <v>44-1048-020</v>
          </cell>
          <cell r="I184" t="str">
            <v>MOBIL DELVAC MX 15W-40 - 20 LT PAIL</v>
          </cell>
        </row>
        <row r="185">
          <cell r="H185" t="str">
            <v>44-1048-121</v>
          </cell>
          <cell r="I185" t="str">
            <v>MOBIL DELVAC MX 15W-40 - 12 X 1 LT CARTO</v>
          </cell>
        </row>
        <row r="186">
          <cell r="H186" t="str">
            <v>44-1048-144</v>
          </cell>
          <cell r="I186" t="str">
            <v>MOBIL DELVAC MX 15W-40 - 4 X 4 LT CARTON</v>
          </cell>
        </row>
        <row r="187">
          <cell r="H187" t="str">
            <v>44-1048-910</v>
          </cell>
          <cell r="I187" t="str">
            <v>MOBIL DELVAC MX 15W-40 - 210 LT</v>
          </cell>
        </row>
        <row r="188">
          <cell r="H188" t="str">
            <v>44-1048-944</v>
          </cell>
          <cell r="I188" t="str">
            <v>MOBIL DELVAC MX 15W-40 - 4 LT CAN</v>
          </cell>
        </row>
        <row r="189">
          <cell r="H189" t="str">
            <v>44-1204-020</v>
          </cell>
          <cell r="I189" t="str">
            <v>MOBIL DELVAC XHP SAE 15W-40 - 20 LT</v>
          </cell>
        </row>
        <row r="190">
          <cell r="H190" t="str">
            <v>44-1428-008</v>
          </cell>
          <cell r="I190" t="str">
            <v>MOBIL DELVAC 1 SHC - 208 LT DRUM</v>
          </cell>
        </row>
        <row r="191">
          <cell r="H191" t="str">
            <v>44-1428-020</v>
          </cell>
          <cell r="I191" t="str">
            <v>MOBIL DELVAC 1 SHC - 20 LT</v>
          </cell>
        </row>
        <row r="192">
          <cell r="H192" t="str">
            <v>47-5087-001</v>
          </cell>
          <cell r="I192" t="str">
            <v>MOBIL MOTOR OIL SAE 40 - LITRES</v>
          </cell>
        </row>
        <row r="193">
          <cell r="H193" t="str">
            <v>47-5087-020</v>
          </cell>
          <cell r="I193" t="str">
            <v>MOBIL MOTOR OIL SAE 40 - 20 LT</v>
          </cell>
        </row>
        <row r="194">
          <cell r="H194" t="str">
            <v>47-5087-121</v>
          </cell>
          <cell r="I194" t="str">
            <v>MOBIL MOTOR OIL SAE 40 - 12 X 1 LT</v>
          </cell>
        </row>
        <row r="195">
          <cell r="H195" t="str">
            <v>47-5087-144</v>
          </cell>
          <cell r="I195" t="str">
            <v>MOBIL MOTOR OIL SAE 40 - 4 X 4 LT</v>
          </cell>
        </row>
        <row r="196">
          <cell r="H196" t="str">
            <v>47-5087-145</v>
          </cell>
          <cell r="I196" t="str">
            <v>MOBIL MOTOR OIL SAE 40 - 4 X 5 LT</v>
          </cell>
        </row>
        <row r="197">
          <cell r="H197" t="str">
            <v>47-5087-245</v>
          </cell>
          <cell r="I197" t="str">
            <v>MOBIL MOTOR OIL SAE 40 - 32 X 1/2 LT</v>
          </cell>
        </row>
        <row r="198">
          <cell r="H198" t="str">
            <v>47-5090-020</v>
          </cell>
          <cell r="I198" t="str">
            <v>MOBIL MOTOR OIL SAE 50 - 20 LT</v>
          </cell>
        </row>
        <row r="199">
          <cell r="H199" t="str">
            <v>47-5095-001</v>
          </cell>
          <cell r="I199" t="str">
            <v>MOBIL MOTOR OIL SAE 50 - LITRES</v>
          </cell>
        </row>
        <row r="200">
          <cell r="H200" t="str">
            <v>47-5095-008</v>
          </cell>
          <cell r="I200" t="str">
            <v>MOBIL MOTOR OIL SAE 50 - 208 LT</v>
          </cell>
        </row>
        <row r="201">
          <cell r="H201" t="str">
            <v>47-5095-020</v>
          </cell>
          <cell r="I201" t="str">
            <v>MOBIL MOTOR OIL SAE 50 - 20 LT</v>
          </cell>
        </row>
        <row r="202">
          <cell r="H202" t="str">
            <v>47-5095-121</v>
          </cell>
          <cell r="I202" t="str">
            <v>MOBIL MOTOR OIL SAE 50 - 12 X 1 LT</v>
          </cell>
        </row>
        <row r="203">
          <cell r="H203" t="str">
            <v>47-5095-144</v>
          </cell>
          <cell r="I203" t="str">
            <v>MOBIL MOTOR OIL SAE 50 - 4 X 4 LT</v>
          </cell>
        </row>
        <row r="204">
          <cell r="H204" t="str">
            <v>47-5095-145</v>
          </cell>
          <cell r="I204" t="str">
            <v>MOBIL MOTOR OIL SAE 50 - 4 X 5 LT</v>
          </cell>
        </row>
        <row r="205">
          <cell r="H205" t="str">
            <v>47-5095-245</v>
          </cell>
          <cell r="I205" t="str">
            <v>MOBIL MOTOR OIL SAE 50 - 32  X 1/2 LT</v>
          </cell>
        </row>
        <row r="206">
          <cell r="H206" t="str">
            <v>47-5095-910</v>
          </cell>
          <cell r="I206" t="str">
            <v>MOBIL MOTOR OIL SAE 50 - 210 LT</v>
          </cell>
        </row>
        <row r="207">
          <cell r="H207" t="str">
            <v>47-8784-001</v>
          </cell>
          <cell r="I207" t="str">
            <v>CAT DEO CG-4 15W40 - BULK LTRS</v>
          </cell>
        </row>
        <row r="208">
          <cell r="H208" t="str">
            <v>47-8784-008</v>
          </cell>
          <cell r="I208" t="str">
            <v>CAT DEO CG-4 15W40 - 208 LT</v>
          </cell>
        </row>
        <row r="209">
          <cell r="H209" t="str">
            <v>47-8784-020</v>
          </cell>
          <cell r="I209" t="str">
            <v>CAT DEO CG-4 15W40 - 20 LT</v>
          </cell>
        </row>
        <row r="210">
          <cell r="H210" t="str">
            <v>47-8784-144</v>
          </cell>
          <cell r="I210" t="str">
            <v>CAT DEO CG-4 15W40 - 4 X 4 LT</v>
          </cell>
        </row>
        <row r="211">
          <cell r="H211" t="str">
            <v>47-8909-008</v>
          </cell>
          <cell r="I211" t="str">
            <v>CAT HYDO 10W - 208 LT</v>
          </cell>
        </row>
        <row r="212">
          <cell r="H212" t="str">
            <v>47-8909-020</v>
          </cell>
          <cell r="I212" t="str">
            <v>CAT HYDO 10W - 20 LT</v>
          </cell>
        </row>
        <row r="213">
          <cell r="H213" t="str">
            <v>48-0269-001</v>
          </cell>
          <cell r="I213" t="str">
            <v>MOBIL SUPER 20W - 50 - LITRES</v>
          </cell>
        </row>
        <row r="214">
          <cell r="H214" t="str">
            <v>48-0269-008</v>
          </cell>
          <cell r="I214" t="str">
            <v>MOBIL SUPER 20W - 50 - 208 LT DRUM</v>
          </cell>
        </row>
        <row r="215">
          <cell r="H215" t="str">
            <v>48-0269-020</v>
          </cell>
          <cell r="I215" t="str">
            <v>MOBIL SUPER 20W - 50 - 20 LT PAIL</v>
          </cell>
        </row>
        <row r="216">
          <cell r="H216" t="str">
            <v>48-0269-121</v>
          </cell>
          <cell r="I216" t="str">
            <v>MOBIL SUPER 20W - 50 - 12 X 1 LT CARTON</v>
          </cell>
        </row>
        <row r="217">
          <cell r="H217" t="str">
            <v>48-0269-144</v>
          </cell>
          <cell r="I217" t="str">
            <v>MOBIL SUPER 20W - 50 - 4 X 4 LT CARTON</v>
          </cell>
        </row>
        <row r="218">
          <cell r="H218" t="str">
            <v>48-0269-910</v>
          </cell>
          <cell r="I218" t="str">
            <v>MOBIL SUPER 20W - 50 - 210 LT</v>
          </cell>
        </row>
        <row r="219">
          <cell r="H219" t="str">
            <v>48-0269-921</v>
          </cell>
          <cell r="I219" t="str">
            <v>MOBIL SUPER 20W - 50 - 1 LT CAN</v>
          </cell>
        </row>
        <row r="220">
          <cell r="H220" t="str">
            <v>48-0269-944</v>
          </cell>
          <cell r="I220" t="str">
            <v>MOBIL SUPER 20W - 50 - 4 LT CAN</v>
          </cell>
        </row>
        <row r="221">
          <cell r="H221" t="str">
            <v>48-0269-945</v>
          </cell>
          <cell r="I221" t="str">
            <v>MOBIL SUPER 20W - 50 - 5 LT</v>
          </cell>
        </row>
        <row r="222">
          <cell r="H222" t="str">
            <v>48-0426-144</v>
          </cell>
          <cell r="I222" t="str">
            <v>MOBIL SUPER S 15W40 - 4 X 4 LT</v>
          </cell>
        </row>
        <row r="223">
          <cell r="H223" t="str">
            <v>48-0566-001</v>
          </cell>
          <cell r="I223" t="str">
            <v>MOBIL SUPER XHP 20W - 50 - LITRES</v>
          </cell>
        </row>
        <row r="224">
          <cell r="H224" t="str">
            <v>48-0566-008</v>
          </cell>
          <cell r="I224" t="str">
            <v>MOBIL SUPER XHP 20W - 50 - 208 LT DRUM</v>
          </cell>
        </row>
        <row r="225">
          <cell r="H225" t="str">
            <v>48-0566-020</v>
          </cell>
          <cell r="I225" t="str">
            <v>MOBIL SUPER XHP 20W - 50 - 20 LT PAIL</v>
          </cell>
        </row>
        <row r="226">
          <cell r="H226" t="str">
            <v>48-1184-001</v>
          </cell>
          <cell r="I226" t="str">
            <v>MOBIL 1 15W - 50 - LITRES</v>
          </cell>
        </row>
        <row r="227">
          <cell r="H227" t="str">
            <v>48-1184-008</v>
          </cell>
          <cell r="I227" t="str">
            <v>MOBIL 1 15W - 50 - 208 LT DRUM</v>
          </cell>
        </row>
        <row r="228">
          <cell r="H228" t="str">
            <v>48-1184-020</v>
          </cell>
          <cell r="I228" t="str">
            <v>MOBIL 1 15W - 50 - 20 LT PAIL</v>
          </cell>
        </row>
        <row r="229">
          <cell r="H229" t="str">
            <v>48-1184-121</v>
          </cell>
          <cell r="I229" t="str">
            <v>MOBIL 1 15W - 50 - 12 X 1 LT CARTON</v>
          </cell>
        </row>
        <row r="230">
          <cell r="H230" t="str">
            <v>48-1184-144</v>
          </cell>
          <cell r="I230" t="str">
            <v>MOBIL 1 15W - 50 - 4 X 4 LT CARTON</v>
          </cell>
        </row>
        <row r="231">
          <cell r="H231" t="str">
            <v>49-0128-002</v>
          </cell>
          <cell r="I231" t="str">
            <v>MOBIL AERO HF - 24X0.95 LT CARTON</v>
          </cell>
        </row>
        <row r="232">
          <cell r="H232" t="str">
            <v>49-0128-020</v>
          </cell>
          <cell r="I232" t="str">
            <v>MOBIL AERO HF - 6 X 1USG CARTON</v>
          </cell>
        </row>
        <row r="233">
          <cell r="H233" t="str">
            <v>49-0128-021</v>
          </cell>
          <cell r="I233" t="str">
            <v>MOBIL AERO HF - 1X5USG PAIL</v>
          </cell>
        </row>
        <row r="234">
          <cell r="H234" t="str">
            <v>49-0128-144</v>
          </cell>
          <cell r="I234" t="str">
            <v>MOBIL AERO HF - 4 X 4 LT</v>
          </cell>
        </row>
        <row r="235">
          <cell r="H235" t="str">
            <v>49-0128-241</v>
          </cell>
          <cell r="I235" t="str">
            <v>MOBIL AERO HF - 6X3.79 LT CARTON</v>
          </cell>
        </row>
        <row r="236">
          <cell r="H236" t="str">
            <v>49-1280-020</v>
          </cell>
          <cell r="I236" t="str">
            <v>MOBIL AERO HF - 18.9 LITRES</v>
          </cell>
        </row>
        <row r="237">
          <cell r="H237" t="str">
            <v>51-0156-001</v>
          </cell>
          <cell r="I237" t="str">
            <v>MOBILUBE HD 80W90 - LITRES</v>
          </cell>
        </row>
        <row r="238">
          <cell r="H238" t="str">
            <v>51-0156-008</v>
          </cell>
          <cell r="I238" t="str">
            <v>MOBILUBE HD 80W90 - 208 LT DRUM</v>
          </cell>
        </row>
        <row r="239">
          <cell r="H239" t="str">
            <v>51-0156-020</v>
          </cell>
          <cell r="I239" t="str">
            <v>MOBILUBE HD 80W90 - 20 LT PAIL</v>
          </cell>
        </row>
        <row r="240">
          <cell r="H240" t="str">
            <v>51-0156-121</v>
          </cell>
          <cell r="I240" t="str">
            <v>MOBILUBE HD 80W90 - 12 X 1 LT CARTON</v>
          </cell>
        </row>
        <row r="241">
          <cell r="H241" t="str">
            <v>51-0156-144</v>
          </cell>
          <cell r="I241" t="str">
            <v>MOBILUBE HD 80W90 - 4 X 4 LT CARTON</v>
          </cell>
        </row>
        <row r="242">
          <cell r="H242" t="str">
            <v>51-0156-145</v>
          </cell>
          <cell r="I242" t="str">
            <v>MOBILUBE HD 80W90 - 4 X 5 LT CARTON</v>
          </cell>
        </row>
        <row r="243">
          <cell r="H243" t="str">
            <v>51-0156-910</v>
          </cell>
          <cell r="I243" t="str">
            <v>MOBILUBE HD 80W90 - 210 LT</v>
          </cell>
        </row>
        <row r="244">
          <cell r="H244" t="str">
            <v>51-0156-921</v>
          </cell>
          <cell r="I244" t="str">
            <v>MOBILUBE HD 80W90 - 1 LT CAN</v>
          </cell>
        </row>
        <row r="245">
          <cell r="H245" t="str">
            <v>51-0156-945</v>
          </cell>
          <cell r="I245" t="str">
            <v>MOBILUBE HD 80W90 - 5 LT</v>
          </cell>
        </row>
        <row r="246">
          <cell r="H246" t="str">
            <v>51-0198-001</v>
          </cell>
          <cell r="I246" t="str">
            <v>MOBILUBE HD85W140 - LITRES</v>
          </cell>
        </row>
        <row r="247">
          <cell r="H247" t="str">
            <v>51-0198-008</v>
          </cell>
          <cell r="I247" t="str">
            <v>MOBILUBE HD85W140 - 208 LT DRUM</v>
          </cell>
        </row>
        <row r="248">
          <cell r="H248" t="str">
            <v>51-0198-020</v>
          </cell>
          <cell r="I248" t="str">
            <v>MOBILUBE HD85W140 - 20 LT PAIL</v>
          </cell>
        </row>
        <row r="249">
          <cell r="H249" t="str">
            <v>51-0198-121</v>
          </cell>
          <cell r="I249" t="str">
            <v>MOBILUBE HD85W140 - 12 X 1 LT CARTON</v>
          </cell>
        </row>
        <row r="250">
          <cell r="H250" t="str">
            <v>51-0198-144</v>
          </cell>
          <cell r="I250" t="str">
            <v>MOBILUBE HD85W140 - 4 X 4 LT CARTON</v>
          </cell>
        </row>
        <row r="251">
          <cell r="H251" t="str">
            <v>51-0198-145</v>
          </cell>
          <cell r="I251" t="str">
            <v>MOBILUBE HD85W140 - 4 X 5 LT CARTON</v>
          </cell>
        </row>
        <row r="252">
          <cell r="H252" t="str">
            <v>51-0198-240</v>
          </cell>
          <cell r="I252" t="str">
            <v>MOBILUBE HD85W140 - 40X0.5 LT</v>
          </cell>
        </row>
        <row r="253">
          <cell r="H253" t="str">
            <v>51-0198-910</v>
          </cell>
          <cell r="I253" t="str">
            <v>MOBIL HD 80W140 - 210 LT</v>
          </cell>
        </row>
        <row r="254">
          <cell r="H254" t="str">
            <v>51-0198-944</v>
          </cell>
          <cell r="I254" t="str">
            <v>MOBILUBE HD85W140 - 4 LT CAN</v>
          </cell>
        </row>
        <row r="255">
          <cell r="H255" t="str">
            <v>51-0198-945</v>
          </cell>
          <cell r="I255" t="str">
            <v>MOBIL HD 80W140 - 5 LT</v>
          </cell>
        </row>
        <row r="256">
          <cell r="H256" t="str">
            <v>51-0222-020</v>
          </cell>
          <cell r="I256" t="str">
            <v>MOBILUBE GX 80W-A - 20 LT PAIL</v>
          </cell>
        </row>
        <row r="257">
          <cell r="H257" t="str">
            <v>51-0263-008</v>
          </cell>
          <cell r="I257" t="str">
            <v>MOBIL GL4 85W140 - 208 LT DRUM</v>
          </cell>
        </row>
        <row r="258">
          <cell r="H258" t="str">
            <v>51-1006-020</v>
          </cell>
          <cell r="I258" t="str">
            <v>MOBILUBE SHC 75W-90 - 20 LT</v>
          </cell>
        </row>
        <row r="259">
          <cell r="H259" t="str">
            <v>51-1008-020</v>
          </cell>
          <cell r="I259" t="str">
            <v>MOBILUBE 1 SHC 75W-90 - 20 LT</v>
          </cell>
        </row>
        <row r="260">
          <cell r="H260" t="str">
            <v>51-1014-020</v>
          </cell>
          <cell r="I260" t="str">
            <v>MOBILUBE SHC 80W - 140 - 20 LT</v>
          </cell>
        </row>
        <row r="261">
          <cell r="H261" t="str">
            <v>51-1014-021</v>
          </cell>
          <cell r="I261" t="str">
            <v>MOBILUBE SHC 80W - 140 - 1 X 25 LT</v>
          </cell>
        </row>
        <row r="262">
          <cell r="H262" t="str">
            <v>51-1014-022</v>
          </cell>
          <cell r="I262" t="str">
            <v>MOBILUBE SHC 80W - 140 - 17.2 LT PAIL</v>
          </cell>
        </row>
        <row r="263">
          <cell r="H263" t="str">
            <v>51-1139-001</v>
          </cell>
          <cell r="I263" t="str">
            <v>MOBILTRANS HD30 - LITRES</v>
          </cell>
        </row>
        <row r="264">
          <cell r="H264" t="str">
            <v>51-1139-008</v>
          </cell>
          <cell r="I264" t="str">
            <v>MOBILTRANS HD30 - 208 LT</v>
          </cell>
        </row>
        <row r="265">
          <cell r="H265" t="str">
            <v>51-1139-020</v>
          </cell>
          <cell r="I265" t="str">
            <v>MOBILTRANS HD30 - 20 LT</v>
          </cell>
        </row>
        <row r="266">
          <cell r="H266" t="str">
            <v>51-1147-001</v>
          </cell>
          <cell r="I266" t="str">
            <v>MOBILTRANS HD50 - LITRES</v>
          </cell>
        </row>
        <row r="267">
          <cell r="H267" t="str">
            <v>51-1147-008</v>
          </cell>
          <cell r="I267" t="str">
            <v>MOBILTRANS HD50 - 208 LT DRUM</v>
          </cell>
        </row>
        <row r="268">
          <cell r="H268" t="str">
            <v>51-1147-020</v>
          </cell>
          <cell r="I268" t="str">
            <v>MOBILTRANS HD50 - 20 LT</v>
          </cell>
        </row>
        <row r="269">
          <cell r="H269" t="str">
            <v>51-1147-144</v>
          </cell>
          <cell r="I269" t="str">
            <v>MOBILTRANS HD50 - 4 X 4 LT</v>
          </cell>
        </row>
        <row r="270">
          <cell r="H270" t="str">
            <v>51-1280-008</v>
          </cell>
          <cell r="I270" t="str">
            <v>MOBILUBE LS 85W90 - 208 LT</v>
          </cell>
        </row>
        <row r="271">
          <cell r="H271" t="str">
            <v>51-1280-020</v>
          </cell>
          <cell r="I271" t="str">
            <v>MOBILUBE LS 85W90 - 20 LT</v>
          </cell>
        </row>
        <row r="272">
          <cell r="H272" t="str">
            <v>51-1287-008</v>
          </cell>
          <cell r="I272" t="str">
            <v>MOBILUBE LS 85W90 - 208 LT</v>
          </cell>
        </row>
        <row r="273">
          <cell r="H273" t="str">
            <v>51-1287-020</v>
          </cell>
          <cell r="I273" t="str">
            <v>MOBILUBE LS 85W90 - 20 LT</v>
          </cell>
        </row>
        <row r="274">
          <cell r="H274" t="str">
            <v>52-0254-008</v>
          </cell>
          <cell r="I274" t="str">
            <v>MOBIL ATF DEXTRON 111 - 208 LT DRUM</v>
          </cell>
        </row>
        <row r="275">
          <cell r="H275" t="str">
            <v>52-0254-121</v>
          </cell>
          <cell r="I275" t="str">
            <v>MOBIL ATF DEXTRON 111 - 12X1 LT CARTON</v>
          </cell>
        </row>
        <row r="276">
          <cell r="H276" t="str">
            <v>52-2177-000</v>
          </cell>
          <cell r="I276" t="str">
            <v>MOBIL ATF 220 - KILOS</v>
          </cell>
        </row>
        <row r="277">
          <cell r="H277" t="str">
            <v>52-2177-001</v>
          </cell>
          <cell r="I277" t="str">
            <v>MOBIL ATF 220 - LITRES</v>
          </cell>
        </row>
        <row r="278">
          <cell r="H278" t="str">
            <v>52-2177-008</v>
          </cell>
          <cell r="I278" t="str">
            <v>MOBIL ATF 220 - 208 LT DRUM</v>
          </cell>
        </row>
        <row r="279">
          <cell r="H279" t="str">
            <v>52-2177-020</v>
          </cell>
          <cell r="I279" t="str">
            <v>MOBIL ATF 220 - 20 LT PAIL</v>
          </cell>
        </row>
        <row r="280">
          <cell r="H280" t="str">
            <v>52-2177-121</v>
          </cell>
          <cell r="I280" t="str">
            <v>MOBIL ATF 220 - 12 X 1 LT CARTON</v>
          </cell>
        </row>
        <row r="281">
          <cell r="H281" t="str">
            <v>52-2177-144</v>
          </cell>
          <cell r="I281" t="str">
            <v>MOBIL ATF 220 - 4 X 4 LT CARTON</v>
          </cell>
        </row>
        <row r="282">
          <cell r="H282" t="str">
            <v>52-2177-921</v>
          </cell>
          <cell r="I282" t="str">
            <v>MOBIL ATF 220 - 1 LT CAN</v>
          </cell>
        </row>
        <row r="283">
          <cell r="H283" t="str">
            <v>52-2177-944</v>
          </cell>
          <cell r="I283" t="str">
            <v>MOBIL ATF 220 - 4 LT CAN</v>
          </cell>
        </row>
        <row r="284">
          <cell r="H284" t="str">
            <v>52-2334-001</v>
          </cell>
          <cell r="I284" t="str">
            <v>MOBILFLUID 424 - LITRES</v>
          </cell>
        </row>
        <row r="285">
          <cell r="H285" t="str">
            <v>52-2334-008</v>
          </cell>
          <cell r="I285" t="str">
            <v>MOBILFLUID 424 - 208 LT DRUM</v>
          </cell>
        </row>
        <row r="286">
          <cell r="H286" t="str">
            <v>52-2334-020</v>
          </cell>
          <cell r="I286" t="str">
            <v>MOBILFLUID 424 - 20 LT PAIL</v>
          </cell>
        </row>
        <row r="287">
          <cell r="H287" t="str">
            <v>52-5014-020</v>
          </cell>
          <cell r="I287" t="str">
            <v>MOBIL ATF D 21412 - 20 LT</v>
          </cell>
        </row>
        <row r="288">
          <cell r="H288" t="str">
            <v>53-0204-050</v>
          </cell>
          <cell r="I288" t="str">
            <v>MOBIL GREASE MP - 1 X 50 KG  KEG</v>
          </cell>
        </row>
        <row r="289">
          <cell r="H289" t="str">
            <v>53-0204-123</v>
          </cell>
          <cell r="I289" t="str">
            <v>MOBIL GREASE MP - 12 X 1 KG</v>
          </cell>
        </row>
        <row r="290">
          <cell r="H290" t="str">
            <v>53-0204-163</v>
          </cell>
          <cell r="I290" t="str">
            <v>MOBIL GREASE MP - 6 X 3 KG</v>
          </cell>
        </row>
        <row r="291">
          <cell r="H291" t="str">
            <v>53-0220-009</v>
          </cell>
          <cell r="I291" t="str">
            <v>MOBILGREASE HP 103 - 180 KG DRUM</v>
          </cell>
        </row>
        <row r="292">
          <cell r="H292" t="str">
            <v>53-0220-020</v>
          </cell>
          <cell r="I292" t="str">
            <v>MOBILGREASE HP 103 - 18 KG</v>
          </cell>
        </row>
        <row r="293">
          <cell r="H293" t="str">
            <v>53-0220-021</v>
          </cell>
          <cell r="I293" t="str">
            <v>MOBILGREASE HP 103 - 20 KG BAG</v>
          </cell>
        </row>
        <row r="294">
          <cell r="H294" t="str">
            <v>53-0220-990</v>
          </cell>
          <cell r="I294" t="str">
            <v>MOBILGREASE HP 103 - 190 KG</v>
          </cell>
        </row>
        <row r="295">
          <cell r="H295" t="str">
            <v>53-0311-009</v>
          </cell>
          <cell r="I295" t="str">
            <v>MOBILGREASE HP 222 - 180 KG DRUM</v>
          </cell>
        </row>
        <row r="296">
          <cell r="H296" t="str">
            <v>53-0311-020</v>
          </cell>
          <cell r="I296" t="str">
            <v>MOBILGREASE HP 222 - 18 KG</v>
          </cell>
        </row>
        <row r="297">
          <cell r="H297" t="str">
            <v>53-0311-021</v>
          </cell>
          <cell r="I297" t="str">
            <v>MOBILGREASE HP 222 - 20 KG BAG</v>
          </cell>
        </row>
        <row r="298">
          <cell r="H298" t="str">
            <v>53-0345-009</v>
          </cell>
          <cell r="I298" t="str">
            <v>MOBILGREASE HP 322 SPECIAL - 180 KG</v>
          </cell>
        </row>
        <row r="299">
          <cell r="H299" t="str">
            <v>53-0626-246</v>
          </cell>
          <cell r="I299" t="str">
            <v>MOBIL GREASE 28 - 6 X 2.27 KG</v>
          </cell>
        </row>
        <row r="300">
          <cell r="H300" t="str">
            <v>55-4154-008</v>
          </cell>
          <cell r="I300" t="str">
            <v>INFILREX 33 - 208 LT DRUM</v>
          </cell>
        </row>
        <row r="301">
          <cell r="H301" t="str">
            <v>55-4154-020</v>
          </cell>
          <cell r="I301" t="str">
            <v>INFILREX 33 - 20 LT PAIL</v>
          </cell>
        </row>
        <row r="302">
          <cell r="H302" t="str">
            <v>56-4666-008</v>
          </cell>
          <cell r="I302" t="str">
            <v>TDTO TO - 4 SAE 30 - 208 LT</v>
          </cell>
        </row>
        <row r="303">
          <cell r="H303" t="str">
            <v>56-4666-020</v>
          </cell>
          <cell r="I303" t="str">
            <v>TDTO TO - 4 SAE 30 - 20 LT</v>
          </cell>
        </row>
        <row r="304">
          <cell r="H304" t="str">
            <v>56-4674-008</v>
          </cell>
          <cell r="I304" t="str">
            <v>TDTO TO - 4 SAE 50 - 208 LT</v>
          </cell>
        </row>
        <row r="305">
          <cell r="H305" t="str">
            <v>56-4674-020</v>
          </cell>
          <cell r="I305" t="str">
            <v>TDTO TO - 4 SAE 50 - 20 LT</v>
          </cell>
        </row>
        <row r="306">
          <cell r="H306" t="str">
            <v>60-0148-008</v>
          </cell>
          <cell r="I306" t="str">
            <v>MOBIL DTE OIL LIGHT - 208 LT DRUM</v>
          </cell>
        </row>
        <row r="307">
          <cell r="H307" t="str">
            <v>60-0155-008</v>
          </cell>
          <cell r="I307" t="str">
            <v>MOBIL DTE OIL MEDIUM - 208 LT DRUM</v>
          </cell>
        </row>
        <row r="308">
          <cell r="H308" t="str">
            <v>60-0163-008</v>
          </cell>
          <cell r="I308" t="str">
            <v>MOBIL DTE OIL HEAVY MEDIUM - 208 LT DRUM</v>
          </cell>
        </row>
        <row r="309">
          <cell r="H309" t="str">
            <v>60-0189-001</v>
          </cell>
          <cell r="I309" t="str">
            <v>MOBIL DTE OIL HEAVY - LITRES</v>
          </cell>
        </row>
        <row r="310">
          <cell r="H310" t="str">
            <v>60-0189-008</v>
          </cell>
          <cell r="I310" t="str">
            <v>MOBIL DTE OIL HEAVY - 208 LT</v>
          </cell>
        </row>
        <row r="311">
          <cell r="H311" t="str">
            <v>60-0205-001</v>
          </cell>
          <cell r="I311" t="str">
            <v>MOBIL DTE OIL EXTRA HEAVY - LITRES</v>
          </cell>
        </row>
        <row r="312">
          <cell r="H312" t="str">
            <v>60-0205-008</v>
          </cell>
          <cell r="I312" t="str">
            <v>MOBIL DTE OIL EXTRA HEAVY - 208 LT DRUM</v>
          </cell>
        </row>
        <row r="313">
          <cell r="H313" t="str">
            <v>60-0510-008</v>
          </cell>
          <cell r="I313" t="str">
            <v>MOBIL VACTRA OIL NO. 4 - 208 LT DRUM</v>
          </cell>
        </row>
        <row r="314">
          <cell r="H314" t="str">
            <v>60-0510-020</v>
          </cell>
          <cell r="I314" t="str">
            <v>MOBIL VACTRA OIL NO. 4 - 20 LTR</v>
          </cell>
        </row>
        <row r="315">
          <cell r="H315" t="str">
            <v>60-0668-008</v>
          </cell>
          <cell r="I315" t="str">
            <v>MOBIL VELOCITE OIL NO. 6 - 208 LT DRUM</v>
          </cell>
        </row>
        <row r="316">
          <cell r="H316" t="str">
            <v>60-0668-018</v>
          </cell>
          <cell r="I316" t="str">
            <v>VELOCITE NO. 6 18 KG</v>
          </cell>
        </row>
        <row r="317">
          <cell r="H317" t="str">
            <v>60-0668-020</v>
          </cell>
          <cell r="I317" t="str">
            <v>MOBIL VELOCITE OIL NO. 6 - 20 LT PAIL</v>
          </cell>
        </row>
        <row r="318">
          <cell r="H318" t="str">
            <v>60-0791-020</v>
          </cell>
          <cell r="I318" t="str">
            <v>MOBIL GARGOYLE ARCTIC SHC 226E - 20 LT P</v>
          </cell>
        </row>
        <row r="319">
          <cell r="H319" t="str">
            <v>60-1021-020</v>
          </cell>
          <cell r="I319" t="str">
            <v>GARGOYLE ARCTIC SHC 426 - 20 LT</v>
          </cell>
        </row>
        <row r="320">
          <cell r="H320" t="str">
            <v>60-1211-008</v>
          </cell>
          <cell r="I320" t="str">
            <v>MOBIL 600W SUPER CYLINDER OIL -208 LT DR</v>
          </cell>
        </row>
        <row r="321">
          <cell r="H321" t="str">
            <v>60-1732-020</v>
          </cell>
          <cell r="I321" t="str">
            <v>GARGOYLE ARCTIC 300 - 20 LT</v>
          </cell>
        </row>
        <row r="322">
          <cell r="H322" t="str">
            <v>60-1740-008</v>
          </cell>
          <cell r="I322" t="str">
            <v>MOBIL GARGOYLE ARCTIC OIL 300 -208 LT DR</v>
          </cell>
        </row>
        <row r="323">
          <cell r="H323" t="str">
            <v>60-1740-020</v>
          </cell>
          <cell r="I323" t="str">
            <v>MOBIL GARGOYLE ARCTIC OIL 300 - 20 LT PA</v>
          </cell>
        </row>
        <row r="324">
          <cell r="H324" t="str">
            <v>60-1997-001</v>
          </cell>
          <cell r="I324" t="str">
            <v>MOBIL STERN TUBE LUBRICANT - LITRES</v>
          </cell>
        </row>
        <row r="325">
          <cell r="H325" t="str">
            <v>60-1997-008</v>
          </cell>
          <cell r="I325" t="str">
            <v>MOBIL STERN TUBE LUBRICANT - 208 LT DRUM</v>
          </cell>
        </row>
        <row r="326">
          <cell r="H326" t="str">
            <v>60-1997-020</v>
          </cell>
          <cell r="I326" t="str">
            <v>MOBIL STERN TUBE LUBRICANT - 20 LT PAIL</v>
          </cell>
        </row>
        <row r="327">
          <cell r="H327" t="str">
            <v>60-2177-001</v>
          </cell>
          <cell r="I327" t="str">
            <v>MOBILGARD 330 - LITRES</v>
          </cell>
        </row>
        <row r="328">
          <cell r="H328" t="str">
            <v>60-2177-008</v>
          </cell>
          <cell r="I328" t="str">
            <v>MOBILGARD 330 - 208 LT DRUM</v>
          </cell>
        </row>
        <row r="329">
          <cell r="H329" t="str">
            <v>60-2177-910</v>
          </cell>
          <cell r="I329" t="str">
            <v>MOBILGARD 330 - 210 LT</v>
          </cell>
        </row>
        <row r="330">
          <cell r="H330" t="str">
            <v>60-2219-001</v>
          </cell>
          <cell r="I330" t="str">
            <v>MOBILGARD 440 - LITRES</v>
          </cell>
        </row>
        <row r="331">
          <cell r="H331" t="str">
            <v>60-2219-008</v>
          </cell>
          <cell r="I331" t="str">
            <v>MOBILGARD 440 - 208 LT DRUM</v>
          </cell>
        </row>
        <row r="332">
          <cell r="H332" t="str">
            <v>60-2219-020</v>
          </cell>
          <cell r="I332" t="str">
            <v>MOBILGARD 440 - 20 LT</v>
          </cell>
        </row>
        <row r="333">
          <cell r="H333" t="str">
            <v>60-2391-001</v>
          </cell>
          <cell r="I333" t="str">
            <v>MOBILGARD ADL 30 - LITRES</v>
          </cell>
        </row>
        <row r="334">
          <cell r="H334" t="str">
            <v>60-2391-008</v>
          </cell>
          <cell r="I334" t="str">
            <v>MOBILGARD ADL 30 - 208 LT</v>
          </cell>
        </row>
        <row r="335">
          <cell r="H335" t="str">
            <v>60-2391-020</v>
          </cell>
          <cell r="I335" t="str">
            <v>MOBILGARD ADL 30 - 20 LT</v>
          </cell>
        </row>
        <row r="336">
          <cell r="H336" t="str">
            <v>60-2417-001</v>
          </cell>
          <cell r="I336" t="str">
            <v>MOBILGARD ADL 40 - LITRES</v>
          </cell>
        </row>
        <row r="337">
          <cell r="H337" t="str">
            <v>60-2417-008</v>
          </cell>
          <cell r="I337" t="str">
            <v>MOBILGARD ADL 40 - 208 LT DRUM</v>
          </cell>
        </row>
        <row r="338">
          <cell r="H338" t="str">
            <v>60-2417-020</v>
          </cell>
          <cell r="I338" t="str">
            <v>MOBILGARD ADL 40 - 20 LT</v>
          </cell>
        </row>
        <row r="339">
          <cell r="H339" t="str">
            <v>60-2474-001</v>
          </cell>
          <cell r="I339" t="str">
            <v>MOBILGARD 312 - LITRES</v>
          </cell>
        </row>
        <row r="340">
          <cell r="H340" t="str">
            <v>60-2474-008</v>
          </cell>
          <cell r="I340" t="str">
            <v>MOBILGARD 312 - 208 LT DRUM</v>
          </cell>
        </row>
        <row r="341">
          <cell r="H341" t="str">
            <v>60-2474-020</v>
          </cell>
          <cell r="I341" t="str">
            <v>MOBILGARD 312 - 20 LT PAIL</v>
          </cell>
        </row>
        <row r="342">
          <cell r="H342" t="str">
            <v>60-2474-910</v>
          </cell>
          <cell r="I342" t="str">
            <v>MOBILGARD 312 - 210 LT</v>
          </cell>
        </row>
        <row r="343">
          <cell r="H343" t="str">
            <v>60-2482-000</v>
          </cell>
          <cell r="I343" t="str">
            <v>MOBILGARD 412 - KILOS</v>
          </cell>
        </row>
        <row r="344">
          <cell r="H344" t="str">
            <v>60-2482-001</v>
          </cell>
          <cell r="I344" t="str">
            <v>MOBILGARD 412 - LITRES</v>
          </cell>
        </row>
        <row r="345">
          <cell r="H345" t="str">
            <v>60-2482-008</v>
          </cell>
          <cell r="I345" t="str">
            <v>MOBILGARD 412 - 208 LT DRUM</v>
          </cell>
        </row>
        <row r="346">
          <cell r="H346" t="str">
            <v>60-2482-020</v>
          </cell>
          <cell r="I346" t="str">
            <v>MOBILGARD 412 - 20 LT</v>
          </cell>
        </row>
        <row r="347">
          <cell r="H347" t="str">
            <v>60-2482-905</v>
          </cell>
          <cell r="I347" t="str">
            <v>MOBILGARD 412 - 205 LT</v>
          </cell>
        </row>
        <row r="348">
          <cell r="H348" t="str">
            <v>60-2482-910</v>
          </cell>
          <cell r="I348" t="str">
            <v>MOBILGARD 412 - 210 LT</v>
          </cell>
        </row>
        <row r="349">
          <cell r="H349" t="str">
            <v>60-2557-008</v>
          </cell>
          <cell r="I349" t="str">
            <v>MOBILGARD 324 - 208 LT</v>
          </cell>
        </row>
        <row r="350">
          <cell r="H350" t="str">
            <v>60-2560-000</v>
          </cell>
          <cell r="I350" t="str">
            <v>MOBILGARD 430 - BULK KILOS</v>
          </cell>
        </row>
        <row r="351">
          <cell r="H351" t="str">
            <v>60-2560-001</v>
          </cell>
          <cell r="I351" t="str">
            <v>MOBILGARD 430 - BULK LT</v>
          </cell>
        </row>
        <row r="352">
          <cell r="H352" t="str">
            <v>60-2560-008</v>
          </cell>
          <cell r="I352" t="str">
            <v>MOBILGARD 430 - 208 LT</v>
          </cell>
        </row>
        <row r="353">
          <cell r="H353" t="str">
            <v>60-2565-000</v>
          </cell>
          <cell r="I353" t="str">
            <v>MOBILGARD 430 - KILOS</v>
          </cell>
        </row>
        <row r="354">
          <cell r="H354" t="str">
            <v>60-2565-001</v>
          </cell>
          <cell r="I354" t="str">
            <v>MOBILGARD 430 - BULK LT</v>
          </cell>
        </row>
        <row r="355">
          <cell r="H355" t="str">
            <v>60-2565-008</v>
          </cell>
          <cell r="I355" t="str">
            <v>MOBILGARD 430 - 208 LT</v>
          </cell>
        </row>
        <row r="356">
          <cell r="H356" t="str">
            <v>60-2565-020</v>
          </cell>
          <cell r="I356" t="str">
            <v>MOBILGARD 430 - 20 LT</v>
          </cell>
        </row>
        <row r="357">
          <cell r="H357" t="str">
            <v>60-2565-910</v>
          </cell>
          <cell r="I357" t="str">
            <v>MOBILGARD 430 - 210 LT</v>
          </cell>
        </row>
        <row r="358">
          <cell r="H358" t="str">
            <v>60-2623-001</v>
          </cell>
          <cell r="I358" t="str">
            <v>MOBIL DTE 24 - LITRES</v>
          </cell>
        </row>
        <row r="359">
          <cell r="H359" t="str">
            <v>60-2623-008</v>
          </cell>
          <cell r="I359" t="str">
            <v>MOBIL DTE 24 - 208 LT DRUM</v>
          </cell>
        </row>
        <row r="360">
          <cell r="H360" t="str">
            <v>60-2623-020</v>
          </cell>
          <cell r="I360" t="str">
            <v>MOBIL DTE 24 - 20 LT PAIL</v>
          </cell>
        </row>
        <row r="361">
          <cell r="H361" t="str">
            <v>60-2623-910</v>
          </cell>
          <cell r="I361" t="str">
            <v>MOBIL DTE 24 - 210 LT</v>
          </cell>
        </row>
        <row r="362">
          <cell r="H362" t="str">
            <v>60-2631-001</v>
          </cell>
          <cell r="I362" t="str">
            <v>MOBIL DTE 25 - LITRES</v>
          </cell>
        </row>
        <row r="363">
          <cell r="H363" t="str">
            <v>60-2631-008</v>
          </cell>
          <cell r="I363" t="str">
            <v>MOBIL DTE 25 - 208 LT DRUM</v>
          </cell>
        </row>
        <row r="364">
          <cell r="H364" t="str">
            <v>60-2631-020</v>
          </cell>
          <cell r="I364" t="str">
            <v>MOBIL DTE 25 - 20 LT</v>
          </cell>
        </row>
        <row r="365">
          <cell r="H365" t="str">
            <v>60-2649-001</v>
          </cell>
          <cell r="I365" t="str">
            <v>MOBIL DTE 26 - LITRES</v>
          </cell>
        </row>
        <row r="366">
          <cell r="H366" t="str">
            <v>60-2649-008</v>
          </cell>
          <cell r="I366" t="str">
            <v>MOBIL DTE 26 - 208 LT DRUM</v>
          </cell>
        </row>
        <row r="367">
          <cell r="H367" t="str">
            <v>60-2649-020</v>
          </cell>
          <cell r="I367" t="str">
            <v>MOBIL DTE 26 - 20 LT PAIL</v>
          </cell>
        </row>
        <row r="368">
          <cell r="H368" t="str">
            <v>60-2649-145</v>
          </cell>
          <cell r="I368" t="str">
            <v>MOBIL DTE 26 - 4 X 5 LT</v>
          </cell>
        </row>
        <row r="369">
          <cell r="H369" t="str">
            <v>60-2649-910</v>
          </cell>
          <cell r="I369" t="str">
            <v>MOBIL DTE 26 - 210 LT</v>
          </cell>
        </row>
        <row r="370">
          <cell r="H370" t="str">
            <v>60-2656-001</v>
          </cell>
          <cell r="I370" t="str">
            <v>MOBIL DTE 27 - LITRES</v>
          </cell>
        </row>
        <row r="371">
          <cell r="H371" t="str">
            <v>60-2656-008</v>
          </cell>
          <cell r="I371" t="str">
            <v>MOBIL DTE 27 - 208 LT DRUM</v>
          </cell>
        </row>
        <row r="372">
          <cell r="H372" t="str">
            <v>60-2656-020</v>
          </cell>
          <cell r="I372" t="str">
            <v>MOBIL DTE 27 - 20 LT PAIL</v>
          </cell>
        </row>
        <row r="373">
          <cell r="H373" t="str">
            <v>60-2698-008</v>
          </cell>
          <cell r="I373" t="str">
            <v>MOBIL DTE 13M - 208 LT DRUM</v>
          </cell>
        </row>
        <row r="374">
          <cell r="H374" t="str">
            <v>60-2722-008</v>
          </cell>
          <cell r="I374" t="str">
            <v>MOBIL DTE 15M - 208 LT DRUM</v>
          </cell>
        </row>
        <row r="375">
          <cell r="H375" t="str">
            <v>60-2771-008</v>
          </cell>
          <cell r="I375" t="str">
            <v>MOBIL DTE 16M - 208 LT DRUM</v>
          </cell>
        </row>
        <row r="376">
          <cell r="H376" t="str">
            <v>60-2789-008</v>
          </cell>
          <cell r="I376" t="str">
            <v>MOBIL DTE 18M - 208 LT DRUM</v>
          </cell>
        </row>
        <row r="377">
          <cell r="H377" t="str">
            <v>60-2904-008</v>
          </cell>
          <cell r="I377" t="str">
            <v>MOBIL SHC 639 - 208 LT DRUM</v>
          </cell>
        </row>
        <row r="378">
          <cell r="H378" t="str">
            <v>60-2904-020</v>
          </cell>
          <cell r="I378" t="str">
            <v>MOBIL SHC 639 - 20 LT PAIL</v>
          </cell>
        </row>
        <row r="379">
          <cell r="H379" t="str">
            <v>60-2912-008</v>
          </cell>
          <cell r="I379" t="str">
            <v>MOBIL SHC 634 - 208 LT DRUM</v>
          </cell>
        </row>
        <row r="380">
          <cell r="H380" t="str">
            <v>60-2912-020</v>
          </cell>
          <cell r="I380" t="str">
            <v>MOBIL SHC 634 - 20 LT PAIL</v>
          </cell>
        </row>
        <row r="381">
          <cell r="H381" t="str">
            <v>60-2938-008</v>
          </cell>
          <cell r="I381" t="str">
            <v>MOBIL SHC 626 - 208 LT</v>
          </cell>
        </row>
        <row r="382">
          <cell r="H382" t="str">
            <v>60-2938-020</v>
          </cell>
          <cell r="I382" t="str">
            <v>MOBIL SHC 626 - 20 LT</v>
          </cell>
        </row>
        <row r="383">
          <cell r="H383" t="str">
            <v>60-2946-008</v>
          </cell>
          <cell r="I383" t="str">
            <v>MOBIL SHC 629 - 208 LT DRUM</v>
          </cell>
        </row>
        <row r="384">
          <cell r="H384" t="str">
            <v>60-2946-020</v>
          </cell>
          <cell r="I384" t="str">
            <v>MOBIL SHC 629 - 20 LT PAIL</v>
          </cell>
        </row>
        <row r="385">
          <cell r="H385" t="str">
            <v>60-2953-008</v>
          </cell>
          <cell r="I385" t="str">
            <v>MOBIL SHC 630 - 208 LT DRUM</v>
          </cell>
        </row>
        <row r="386">
          <cell r="H386" t="str">
            <v>60-2953-020</v>
          </cell>
          <cell r="I386" t="str">
            <v>MOBIL SHC 630 - 20 LT PAIL</v>
          </cell>
        </row>
        <row r="387">
          <cell r="H387" t="str">
            <v>60-2987-008</v>
          </cell>
          <cell r="I387" t="str">
            <v>MOBIL SHC 632 - 208 LT DRUM</v>
          </cell>
        </row>
        <row r="388">
          <cell r="H388" t="str">
            <v>60-2987-020</v>
          </cell>
          <cell r="I388" t="str">
            <v>MOBIL SHC 632 - 20 LT PAIL</v>
          </cell>
        </row>
        <row r="389">
          <cell r="H389" t="str">
            <v>60-2995-008</v>
          </cell>
          <cell r="I389" t="str">
            <v>MOBIL SHC 636 - 208 LT DRUM</v>
          </cell>
        </row>
        <row r="390">
          <cell r="H390" t="str">
            <v>60-2995-020</v>
          </cell>
          <cell r="I390" t="str">
            <v>MOBIL SHC 636 - 18.9 KG PAIL</v>
          </cell>
        </row>
        <row r="391">
          <cell r="H391" t="str">
            <v>60-2995-021</v>
          </cell>
          <cell r="I391" t="str">
            <v>MOBIL SHC 636 - 20 LT PAIL</v>
          </cell>
        </row>
        <row r="392">
          <cell r="H392" t="str">
            <v>60-3191-008</v>
          </cell>
          <cell r="I392" t="str">
            <v>MOBIL ALMO 527 - 208 LT DRUM</v>
          </cell>
        </row>
        <row r="393">
          <cell r="H393" t="str">
            <v>60-3373-020</v>
          </cell>
          <cell r="I393" t="str">
            <v>PYROLUBE 830 (DUTY PAID) - 20 LT PAIL</v>
          </cell>
        </row>
        <row r="394">
          <cell r="H394" t="str">
            <v>60-3381-020</v>
          </cell>
          <cell r="I394" t="str">
            <v>MOBIL PYROLUBE 830 - 20 LT PAIL</v>
          </cell>
        </row>
        <row r="395">
          <cell r="H395" t="str">
            <v>60-6194-008</v>
          </cell>
          <cell r="I395" t="str">
            <v>MOBIL RARUS 425 - 208 LT DRUM</v>
          </cell>
        </row>
        <row r="396">
          <cell r="H396" t="str">
            <v>60-6194-020</v>
          </cell>
          <cell r="I396" t="str">
            <v>MOBIL RARUS 425 - 20 LT PAIL</v>
          </cell>
        </row>
        <row r="397">
          <cell r="H397" t="str">
            <v>60-6202-001</v>
          </cell>
          <cell r="I397" t="str">
            <v>MOBIL RARUS 427 - LITRES</v>
          </cell>
        </row>
        <row r="398">
          <cell r="H398" t="str">
            <v>60-6202-008</v>
          </cell>
          <cell r="I398" t="str">
            <v>MOBIL RARUS 427 - 208 LT DRUM</v>
          </cell>
        </row>
        <row r="399">
          <cell r="H399" t="str">
            <v>60-6202-020</v>
          </cell>
          <cell r="I399" t="str">
            <v>MOBIL RARUS 427 - 20 LT PAIL</v>
          </cell>
        </row>
        <row r="400">
          <cell r="H400" t="str">
            <v>60-6244-001</v>
          </cell>
          <cell r="I400" t="str">
            <v>MOBIL RARUS 827 - LITRES</v>
          </cell>
        </row>
        <row r="401">
          <cell r="H401" t="str">
            <v>60-6244-008</v>
          </cell>
          <cell r="I401" t="str">
            <v>MOBIL RARUS 827 - 208 LT DRUM</v>
          </cell>
        </row>
        <row r="402">
          <cell r="H402" t="str">
            <v>60-6244-020</v>
          </cell>
          <cell r="I402" t="str">
            <v>MOBIL RARUS 827 - 20 LT PAIL</v>
          </cell>
        </row>
        <row r="403">
          <cell r="H403" t="str">
            <v>60-6343-000</v>
          </cell>
          <cell r="I403" t="str">
            <v>MOBIL RARUS SHC 1025 - KILOS</v>
          </cell>
        </row>
        <row r="404">
          <cell r="H404" t="str">
            <v>60-6343-008</v>
          </cell>
          <cell r="I404" t="str">
            <v>MOBIL RARUS SHC 1025 - 208 LT DRUM</v>
          </cell>
        </row>
        <row r="405">
          <cell r="H405" t="str">
            <v>60-6343-009</v>
          </cell>
          <cell r="I405" t="str">
            <v>MOBIL RARUS SHC 1025 - 165 KG</v>
          </cell>
        </row>
        <row r="406">
          <cell r="H406" t="str">
            <v>60-6343-020</v>
          </cell>
          <cell r="I406" t="str">
            <v>MOBIL RARUS SHC 1025 - 20 LT PAIL</v>
          </cell>
        </row>
        <row r="407">
          <cell r="H407" t="str">
            <v>60-6350-008</v>
          </cell>
          <cell r="I407" t="str">
            <v>MOBIL RARUS SHC 1026 - 208 LT DRUM</v>
          </cell>
        </row>
        <row r="408">
          <cell r="H408" t="str">
            <v>60-6350-020</v>
          </cell>
          <cell r="I408" t="str">
            <v>MOBIL RARUS SHC 1026 - 20 LT PAIL</v>
          </cell>
        </row>
        <row r="409">
          <cell r="H409" t="str">
            <v>60-6665-001</v>
          </cell>
          <cell r="I409" t="str">
            <v>MOBILGARD 300 - LITRES</v>
          </cell>
        </row>
        <row r="410">
          <cell r="H410" t="str">
            <v>60-6665-008</v>
          </cell>
          <cell r="I410" t="str">
            <v>MOBILGARD 300 - 208 LT DRUM</v>
          </cell>
        </row>
        <row r="411">
          <cell r="H411" t="str">
            <v>60-6665-905</v>
          </cell>
          <cell r="I411" t="str">
            <v>MOBILGARD 300 - 205 LT DRUM</v>
          </cell>
        </row>
        <row r="412">
          <cell r="H412" t="str">
            <v>60-6806-001</v>
          </cell>
          <cell r="I412" t="str">
            <v>MOBILGARD 570 - LITRES</v>
          </cell>
        </row>
        <row r="413">
          <cell r="H413" t="str">
            <v>60-6806-008</v>
          </cell>
          <cell r="I413" t="str">
            <v>MOBILGARD 570 - 208 LT DRUM</v>
          </cell>
        </row>
        <row r="414">
          <cell r="H414" t="str">
            <v>60-6806-910</v>
          </cell>
          <cell r="I414" t="str">
            <v>MOBILGARD 570 - 210 LT</v>
          </cell>
        </row>
        <row r="415">
          <cell r="H415" t="str">
            <v>61-0857-001</v>
          </cell>
          <cell r="I415" t="str">
            <v>MOBIL GEAR 626 - LITRES</v>
          </cell>
        </row>
        <row r="416">
          <cell r="H416" t="str">
            <v>61-0857-008</v>
          </cell>
          <cell r="I416" t="str">
            <v>MOBIL GEAR 626 - 208 LT DRUM</v>
          </cell>
        </row>
        <row r="417">
          <cell r="H417" t="str">
            <v>61-0857-009</v>
          </cell>
          <cell r="I417" t="str">
            <v>MOBIL GEAR 626 - 183.5 KG DRUM</v>
          </cell>
        </row>
        <row r="418">
          <cell r="H418" t="str">
            <v>61-0857-020</v>
          </cell>
          <cell r="I418" t="str">
            <v>MOBIL GEAR 626 - 20 LT</v>
          </cell>
        </row>
        <row r="419">
          <cell r="H419" t="str">
            <v>61-0865-001</v>
          </cell>
          <cell r="I419" t="str">
            <v>MOBIL GEAR 629 - LITRES</v>
          </cell>
        </row>
        <row r="420">
          <cell r="H420" t="str">
            <v>61-0865-008</v>
          </cell>
          <cell r="I420" t="str">
            <v>MOBIL GEAR 629 - 208 LT DRUM</v>
          </cell>
        </row>
        <row r="421">
          <cell r="H421" t="str">
            <v>61-0865-020</v>
          </cell>
          <cell r="I421" t="str">
            <v>MOBIL GEAR 629 - 20 LT PAIL</v>
          </cell>
        </row>
        <row r="422">
          <cell r="H422" t="str">
            <v>61-0873-001</v>
          </cell>
          <cell r="I422" t="str">
            <v>MOBILGEAR 630 - LITRES</v>
          </cell>
        </row>
        <row r="423">
          <cell r="H423" t="str">
            <v>61-0873-008</v>
          </cell>
          <cell r="I423" t="str">
            <v>MOBILGEAR 630 - 208 LT DRUM</v>
          </cell>
        </row>
        <row r="424">
          <cell r="H424" t="str">
            <v>61-0873-020</v>
          </cell>
          <cell r="I424" t="str">
            <v>MOBILGEAR 630 - 20 LT</v>
          </cell>
        </row>
        <row r="425">
          <cell r="H425" t="str">
            <v>61-0881-001</v>
          </cell>
          <cell r="I425" t="str">
            <v>MOBIL GEAR 632 - LITRES</v>
          </cell>
        </row>
        <row r="426">
          <cell r="H426" t="str">
            <v>61-0881-008</v>
          </cell>
          <cell r="I426" t="str">
            <v>MOBIL GEAR 632 - 208 LT DRUM</v>
          </cell>
        </row>
        <row r="427">
          <cell r="H427" t="str">
            <v>61-0881-020</v>
          </cell>
          <cell r="I427" t="str">
            <v>MOBIL GEAR 632 - 20 LT</v>
          </cell>
        </row>
        <row r="428">
          <cell r="H428" t="str">
            <v>61-0907-001</v>
          </cell>
          <cell r="I428" t="str">
            <v>MOBILGEAR 634 - LITRES</v>
          </cell>
        </row>
        <row r="429">
          <cell r="H429" t="str">
            <v>61-0907-008</v>
          </cell>
          <cell r="I429" t="str">
            <v>MOBILGEAR 634 - 208 LT DRUM</v>
          </cell>
        </row>
        <row r="430">
          <cell r="H430" t="str">
            <v>61-0907-020</v>
          </cell>
          <cell r="I430" t="str">
            <v>MOBILGEAR 634 - 20 LT</v>
          </cell>
        </row>
        <row r="431">
          <cell r="H431" t="str">
            <v>61-0931-009</v>
          </cell>
          <cell r="I431" t="str">
            <v>MOBILGEAR SHC 6800 - 181.44 KG</v>
          </cell>
        </row>
        <row r="432">
          <cell r="H432" t="str">
            <v>61-0931-020</v>
          </cell>
          <cell r="I432" t="str">
            <v>MOBILGEAR SHC 6800 - 6 X 23 LT</v>
          </cell>
        </row>
        <row r="433">
          <cell r="H433" t="str">
            <v>61-0931-022</v>
          </cell>
          <cell r="I433" t="str">
            <v>MOBILGEAR SHC 6800 - 1 X 54.4 KG</v>
          </cell>
        </row>
        <row r="434">
          <cell r="H434" t="str">
            <v>61-1400-009</v>
          </cell>
          <cell r="I434" t="str">
            <v>MOBILGEAR OGL 007 - 180 KG DRUM</v>
          </cell>
        </row>
        <row r="435">
          <cell r="H435" t="str">
            <v>61-1400-020</v>
          </cell>
          <cell r="I435" t="str">
            <v>MOBILGEAR OGL 007 - 17 KG</v>
          </cell>
        </row>
        <row r="436">
          <cell r="H436" t="str">
            <v>62-1847-020</v>
          </cell>
          <cell r="I436" t="str">
            <v>MOBIL FLUSHING OIL - 20 LT</v>
          </cell>
        </row>
        <row r="437">
          <cell r="H437" t="str">
            <v>64-1274-009</v>
          </cell>
          <cell r="I437" t="str">
            <v>MOBILUX EP2 - 180 KG DRUM</v>
          </cell>
        </row>
        <row r="438">
          <cell r="H438" t="str">
            <v>64-1274-020</v>
          </cell>
          <cell r="I438" t="str">
            <v>MOBILUX EP2 - 18 KG PAIL</v>
          </cell>
        </row>
        <row r="439">
          <cell r="H439" t="str">
            <v>64-1274-021</v>
          </cell>
          <cell r="I439" t="str">
            <v>MOBILUX EP2 - 20 KG PAIL</v>
          </cell>
        </row>
        <row r="440">
          <cell r="H440" t="str">
            <v>64-1274-024</v>
          </cell>
          <cell r="I440" t="str">
            <v>MOBILUX EP2 - 15 KG</v>
          </cell>
        </row>
        <row r="441">
          <cell r="H441" t="str">
            <v>64-1274-050</v>
          </cell>
          <cell r="I441" t="str">
            <v>MOBILUX EP2 - 50 KG KEG</v>
          </cell>
        </row>
        <row r="442">
          <cell r="H442" t="str">
            <v>64-1274-123</v>
          </cell>
          <cell r="I442" t="str">
            <v>MOBILUX EP2 - 12 X 1 KG CARTON</v>
          </cell>
        </row>
        <row r="443">
          <cell r="H443" t="str">
            <v>64-1274-163</v>
          </cell>
          <cell r="I443" t="str">
            <v>MOBILUX EP2 - 6 X 3 KG</v>
          </cell>
        </row>
        <row r="444">
          <cell r="H444" t="str">
            <v>64-1274-244</v>
          </cell>
          <cell r="I444" t="str">
            <v>MOBILUX EP2 - 24 X 0.4 KG</v>
          </cell>
        </row>
        <row r="445">
          <cell r="H445" t="str">
            <v>64-1274-245</v>
          </cell>
          <cell r="I445" t="str">
            <v>MOBILUX EP2 - 24 X 1/2 KG</v>
          </cell>
        </row>
        <row r="446">
          <cell r="H446" t="str">
            <v>64-1274-962</v>
          </cell>
          <cell r="I446" t="str">
            <v>MOBILUX EP2 - 8 X 3 KG</v>
          </cell>
        </row>
        <row r="447">
          <cell r="H447" t="str">
            <v>64-2363-009</v>
          </cell>
          <cell r="I447" t="str">
            <v>MOBILGREASE FM 102 - 180 KG</v>
          </cell>
        </row>
        <row r="448">
          <cell r="H448" t="str">
            <v>64-3551-008</v>
          </cell>
          <cell r="I448" t="str">
            <v>MOBILITH SHC 460 - 208 LTR</v>
          </cell>
        </row>
        <row r="449">
          <cell r="H449" t="str">
            <v>64-3551-020</v>
          </cell>
          <cell r="I449" t="str">
            <v>MOBILITH SHC 460 - 20 LT</v>
          </cell>
        </row>
        <row r="450">
          <cell r="H450" t="str">
            <v>64-3551-021</v>
          </cell>
          <cell r="I450" t="str">
            <v>MOBILITH SHC 460 - 20 KG</v>
          </cell>
        </row>
        <row r="451">
          <cell r="H451" t="str">
            <v>64-3569-009</v>
          </cell>
          <cell r="I451" t="str">
            <v>MOBILITH SHC 007 - 165 KG DRUM</v>
          </cell>
        </row>
        <row r="452">
          <cell r="H452" t="str">
            <v>64-3569-020</v>
          </cell>
          <cell r="I452" t="str">
            <v>MOBILITH SHC 007 - 18 KG PAIL</v>
          </cell>
        </row>
        <row r="453">
          <cell r="H453" t="str">
            <v>64-3569-021</v>
          </cell>
          <cell r="I453" t="str">
            <v>MOBILITH SHC 007 - 20 KG PAIL</v>
          </cell>
        </row>
        <row r="454">
          <cell r="H454" t="str">
            <v>64-3569-045</v>
          </cell>
          <cell r="I454" t="str">
            <v>MOBILITH SHC 007 - 45 KG KEG</v>
          </cell>
        </row>
        <row r="455">
          <cell r="H455" t="str">
            <v>64-4039-000</v>
          </cell>
          <cell r="I455" t="str">
            <v>MOBILITH SHC 1500 - KILOS</v>
          </cell>
        </row>
        <row r="456">
          <cell r="H456" t="str">
            <v>64-4039-008</v>
          </cell>
          <cell r="I456" t="str">
            <v>MOBILITH SHC 1500 - 208 LT</v>
          </cell>
        </row>
        <row r="457">
          <cell r="H457" t="str">
            <v>64-4039-009</v>
          </cell>
          <cell r="I457" t="str">
            <v>MOBILITH SHC 1500 - 165 KG DRUM</v>
          </cell>
        </row>
        <row r="458">
          <cell r="H458" t="str">
            <v>64-4039-020</v>
          </cell>
          <cell r="I458" t="str">
            <v>MOBILITH SHC 1500 - 17 KG PAIL</v>
          </cell>
        </row>
        <row r="459">
          <cell r="H459" t="str">
            <v>66-1314-008</v>
          </cell>
          <cell r="I459" t="str">
            <v>MOBILMET 324 - 208 LT DRUM</v>
          </cell>
        </row>
        <row r="460">
          <cell r="H460" t="str">
            <v>66-7212-008</v>
          </cell>
          <cell r="I460" t="str">
            <v>MOBILARMA 798 - 208 LT</v>
          </cell>
        </row>
        <row r="461">
          <cell r="H461" t="str">
            <v>66-7212-009</v>
          </cell>
          <cell r="I461" t="str">
            <v>MOBILARMA 798 - 170 KG DRUM</v>
          </cell>
        </row>
        <row r="462">
          <cell r="H462" t="str">
            <v>66-7212-020</v>
          </cell>
          <cell r="I462" t="str">
            <v>MOBILARMA 798 - 20 LT PAIL</v>
          </cell>
        </row>
        <row r="463">
          <cell r="H463" t="str">
            <v>66-7212-021</v>
          </cell>
          <cell r="I463" t="str">
            <v>MOBILARMA 798 - 20 KG BAG</v>
          </cell>
        </row>
        <row r="464">
          <cell r="H464" t="str">
            <v>66-8004-008</v>
          </cell>
          <cell r="I464" t="str">
            <v>MOBILTHERM D - 208 LT</v>
          </cell>
        </row>
        <row r="465">
          <cell r="H465" t="str">
            <v>67-0158-008</v>
          </cell>
          <cell r="I465" t="str">
            <v>SOLVAC 1533 - 208 LT DRUM</v>
          </cell>
        </row>
        <row r="466">
          <cell r="H466" t="str">
            <v>67-0158-009</v>
          </cell>
          <cell r="I466" t="str">
            <v>SOLVAC 1533 - 180 KG</v>
          </cell>
        </row>
        <row r="467">
          <cell r="H467" t="str">
            <v>67-0158-020</v>
          </cell>
          <cell r="I467" t="str">
            <v>SOLVAC 1533 - 20 LT PAIL</v>
          </cell>
        </row>
        <row r="468">
          <cell r="H468" t="str">
            <v>67-6502-008</v>
          </cell>
          <cell r="I468" t="str">
            <v>GENREX 56 - 208 LT</v>
          </cell>
        </row>
        <row r="469">
          <cell r="H469" t="str">
            <v>68-0538-001</v>
          </cell>
          <cell r="I469" t="str">
            <v>MOBILTHERM 605 - LITRES</v>
          </cell>
        </row>
        <row r="470">
          <cell r="H470" t="str">
            <v>68-0538-008</v>
          </cell>
          <cell r="I470" t="str">
            <v>MOBILTHERM 605 - 208 LT DRUM</v>
          </cell>
        </row>
        <row r="471">
          <cell r="H471" t="str">
            <v>70-2233-008</v>
          </cell>
          <cell r="I471" t="str">
            <v>MOBILECT 35 - 208 LT</v>
          </cell>
        </row>
        <row r="472">
          <cell r="H472" t="str">
            <v>70-2233-063</v>
          </cell>
          <cell r="I472" t="str">
            <v>MOBILECT 35 - 200 LT DRUM</v>
          </cell>
        </row>
        <row r="473">
          <cell r="H473" t="str">
            <v>71-2257-001</v>
          </cell>
          <cell r="I473" t="str">
            <v>300 SOLVENT NEUTRAL - LITRES</v>
          </cell>
        </row>
        <row r="474">
          <cell r="H474" t="str">
            <v>71-2406-001</v>
          </cell>
          <cell r="I474" t="str">
            <v>600 SOLVENT NEUTRAL - LITRES</v>
          </cell>
        </row>
        <row r="475">
          <cell r="H475" t="str">
            <v>71-2455-001</v>
          </cell>
          <cell r="I475" t="str">
            <v>700 SOLVENT NEUTRAL - LITRES</v>
          </cell>
        </row>
        <row r="476">
          <cell r="H476" t="str">
            <v>71-2521-001</v>
          </cell>
          <cell r="I476" t="str">
            <v>850 SOLVENT NEUTRAL - LITRES</v>
          </cell>
        </row>
        <row r="477">
          <cell r="H477" t="str">
            <v>71-3057-001</v>
          </cell>
          <cell r="I477" t="str">
            <v>150 SOLVENT NEUTRAL - LITRES</v>
          </cell>
        </row>
        <row r="478">
          <cell r="H478" t="str">
            <v>71-3123-001</v>
          </cell>
          <cell r="I478" t="str">
            <v>500 SOLVENT NEUTRAL - LITRES</v>
          </cell>
        </row>
        <row r="479">
          <cell r="H479" t="str">
            <v>71-3248-000</v>
          </cell>
          <cell r="I479" t="str">
            <v>BRIGHT STOCK 150 - BULK LT</v>
          </cell>
        </row>
        <row r="480">
          <cell r="H480" t="str">
            <v>71-3248-001</v>
          </cell>
          <cell r="I480" t="str">
            <v>150 SOLVENT BRIGHT STOCK - LITRES</v>
          </cell>
        </row>
        <row r="481">
          <cell r="H481" t="str">
            <v>71-9970-000</v>
          </cell>
          <cell r="I481" t="str">
            <v>RED SLOPS - LUBES - KILOS</v>
          </cell>
        </row>
        <row r="482">
          <cell r="H482" t="str">
            <v>71-9970-001</v>
          </cell>
          <cell r="I482" t="str">
            <v>RED SLOPS - LUBES - LITRES</v>
          </cell>
        </row>
        <row r="483">
          <cell r="H483" t="str">
            <v>71-9970-063</v>
          </cell>
          <cell r="I483" t="str">
            <v>RED SLOPS - LUBES - 200 LT DRUM</v>
          </cell>
        </row>
        <row r="484">
          <cell r="H484" t="str">
            <v>71-9970-910</v>
          </cell>
          <cell r="I484" t="str">
            <v>RED SLOPS - LUBES - 210 LT</v>
          </cell>
        </row>
        <row r="485">
          <cell r="H485" t="str">
            <v>71-9980-001</v>
          </cell>
          <cell r="I485" t="str">
            <v>BLACK SLOPS - LUBES - LITRES</v>
          </cell>
        </row>
        <row r="486">
          <cell r="H486" t="str">
            <v>71-9990-001</v>
          </cell>
          <cell r="I486" t="str">
            <v>WASTE OIL  - LUBES - LITRES</v>
          </cell>
        </row>
        <row r="487">
          <cell r="H487" t="str">
            <v>75-0448-000</v>
          </cell>
          <cell r="I487" t="str">
            <v>WHITEREX 215 - KILOS</v>
          </cell>
        </row>
        <row r="488">
          <cell r="H488" t="str">
            <v>75-0448-001</v>
          </cell>
          <cell r="I488" t="str">
            <v>WHITEREX 215 - LITRES</v>
          </cell>
        </row>
        <row r="489">
          <cell r="H489" t="str">
            <v>75-0448-008</v>
          </cell>
          <cell r="I489" t="str">
            <v>WHITEREX 215 - 208 LT</v>
          </cell>
        </row>
        <row r="490">
          <cell r="H490" t="str">
            <v>75-0448-009</v>
          </cell>
          <cell r="I490" t="str">
            <v>WHITEREX 215 - 178 KG</v>
          </cell>
        </row>
        <row r="491">
          <cell r="H491" t="str">
            <v>75-0448-063</v>
          </cell>
          <cell r="I491" t="str">
            <v>WHITEREX 215 - 200 LT</v>
          </cell>
        </row>
        <row r="492">
          <cell r="H492" t="str">
            <v>75-5710-001</v>
          </cell>
          <cell r="I492" t="str">
            <v>PROREX 33 - LITRES</v>
          </cell>
        </row>
        <row r="493">
          <cell r="H493" t="str">
            <v>75-5710-008</v>
          </cell>
          <cell r="I493" t="str">
            <v>PROREX 33 - 208 LT</v>
          </cell>
        </row>
        <row r="494">
          <cell r="H494" t="str">
            <v>75-5710-910</v>
          </cell>
          <cell r="I494" t="str">
            <v>PROREX 33 - 210 LT</v>
          </cell>
        </row>
        <row r="495">
          <cell r="H495" t="str">
            <v>75-7170-001</v>
          </cell>
          <cell r="I495" t="str">
            <v>WHITEREX 215 - BULK LT</v>
          </cell>
        </row>
        <row r="496">
          <cell r="H496" t="str">
            <v>75-7179-009</v>
          </cell>
          <cell r="I496" t="str">
            <v>WHITEREX 308 - 180 KG DRUM</v>
          </cell>
        </row>
        <row r="497">
          <cell r="H497" t="str">
            <v>75-7237-009</v>
          </cell>
          <cell r="I497" t="str">
            <v>WHITEREX 334 - 180 KG DRUM</v>
          </cell>
        </row>
        <row r="498">
          <cell r="H498" t="str">
            <v>76-6139-009</v>
          </cell>
          <cell r="I498" t="str">
            <v>WAX REX 521 - 175 KG DRUM</v>
          </cell>
        </row>
        <row r="499">
          <cell r="H499" t="str">
            <v>81-3246-000</v>
          </cell>
          <cell r="I499" t="str">
            <v>STOCK 3263 - KILOS</v>
          </cell>
        </row>
        <row r="500">
          <cell r="H500" t="str">
            <v>86-3449-008</v>
          </cell>
          <cell r="I500" t="str">
            <v>PROVALENT 33 - 208 LT</v>
          </cell>
        </row>
        <row r="501">
          <cell r="H501" t="str">
            <v>86-3449-020</v>
          </cell>
          <cell r="I501" t="str">
            <v>PROVALENT 33 - 20 LT PAIL</v>
          </cell>
        </row>
        <row r="502">
          <cell r="H502" t="str">
            <v>86-8141-009</v>
          </cell>
          <cell r="I502" t="str">
            <v>HEPTANE - 145 KG DRUM</v>
          </cell>
        </row>
        <row r="503">
          <cell r="H503" t="str">
            <v>86-8190-000</v>
          </cell>
          <cell r="I503" t="str">
            <v>HEXANE - KILOS</v>
          </cell>
        </row>
        <row r="504">
          <cell r="H504" t="str">
            <v>86-8190-001</v>
          </cell>
          <cell r="I504" t="str">
            <v>HEXANE - LITRES</v>
          </cell>
        </row>
        <row r="505">
          <cell r="H505" t="str">
            <v>86-8190-008</v>
          </cell>
          <cell r="I505" t="str">
            <v>HEXANE - 208 LT</v>
          </cell>
        </row>
        <row r="506">
          <cell r="H506" t="str">
            <v>86-8190-009</v>
          </cell>
          <cell r="I506" t="str">
            <v>HEXANE - 134 KG DRUM</v>
          </cell>
        </row>
        <row r="507">
          <cell r="H507" t="str">
            <v>86-8190-020</v>
          </cell>
          <cell r="I507" t="str">
            <v>HEXANE - 17 KG</v>
          </cell>
        </row>
        <row r="508">
          <cell r="H508" t="str">
            <v>86-8190-063</v>
          </cell>
          <cell r="I508" t="str">
            <v>HEXANE - 200 LT</v>
          </cell>
        </row>
        <row r="509">
          <cell r="H509" t="str">
            <v>86-8273-000</v>
          </cell>
          <cell r="I509" t="str">
            <v>ISOPROPYL ALCOHOL - KILOS</v>
          </cell>
        </row>
        <row r="510">
          <cell r="H510" t="str">
            <v>86-8273-009</v>
          </cell>
          <cell r="I510" t="str">
            <v>ISOPROPYL ALCOHOL - 185 KG</v>
          </cell>
        </row>
        <row r="511">
          <cell r="H511" t="str">
            <v>86-8273-960</v>
          </cell>
          <cell r="I511" t="str">
            <v>ISOPROPYL ALCOHOL - 160 KG DRUM</v>
          </cell>
        </row>
        <row r="512">
          <cell r="H512" t="str">
            <v>86-8273-970</v>
          </cell>
          <cell r="I512" t="str">
            <v>ISOPROPYL ALCOHOL - 165 KG DRUM</v>
          </cell>
        </row>
        <row r="513">
          <cell r="H513" t="str">
            <v>86-8273-990</v>
          </cell>
          <cell r="I513" t="str">
            <v>ISOPROPYL ALCOHOL - 190 KG DRUM</v>
          </cell>
        </row>
        <row r="514">
          <cell r="H514" t="str">
            <v>86-8489-001</v>
          </cell>
          <cell r="I514" t="str">
            <v>PEGASOL 3040 - LITRES</v>
          </cell>
        </row>
        <row r="515">
          <cell r="H515" t="str">
            <v>86-8489-063</v>
          </cell>
          <cell r="I515" t="str">
            <v>PEGASOL 3040 - 200 LT DRUM</v>
          </cell>
        </row>
        <row r="516">
          <cell r="H516" t="str">
            <v>86-8521-001</v>
          </cell>
          <cell r="I516" t="str">
            <v>POWER ALCOHOL - LITRES</v>
          </cell>
        </row>
        <row r="517">
          <cell r="H517" t="str">
            <v>86-9001-000</v>
          </cell>
          <cell r="I517" t="str">
            <v>HEXANE -BULK KG</v>
          </cell>
        </row>
        <row r="518">
          <cell r="H518" t="str">
            <v>86-9001-001</v>
          </cell>
          <cell r="I518" t="str">
            <v>HEXANE -BULK LT</v>
          </cell>
        </row>
        <row r="519">
          <cell r="H519" t="str">
            <v>86-9001-009</v>
          </cell>
          <cell r="I519" t="str">
            <v>hexane 134 kg</v>
          </cell>
        </row>
        <row r="520">
          <cell r="H520" t="str">
            <v>86-9020-000</v>
          </cell>
          <cell r="I520" t="str">
            <v>EXXSOL DSP 80/110 - KILOS</v>
          </cell>
        </row>
        <row r="521">
          <cell r="H521" t="str">
            <v>86-9020-001</v>
          </cell>
          <cell r="I521" t="str">
            <v>EXXSOL DSP 80/110 - LITRES</v>
          </cell>
        </row>
        <row r="522">
          <cell r="H522" t="str">
            <v>86-9020-063</v>
          </cell>
          <cell r="I522" t="str">
            <v>EXXSOL DSP 80/110 - 200 LT DRUM</v>
          </cell>
        </row>
        <row r="523">
          <cell r="H523" t="str">
            <v>86-9040-009</v>
          </cell>
          <cell r="I523" t="str">
            <v>ISOPAR M - 185 KG DRUM</v>
          </cell>
        </row>
        <row r="524">
          <cell r="H524" t="str">
            <v>86-9040-960</v>
          </cell>
          <cell r="I524" t="str">
            <v>ISOPAR M - 160 KG</v>
          </cell>
        </row>
        <row r="525">
          <cell r="H525" t="str">
            <v>86-9050-009</v>
          </cell>
          <cell r="I525" t="str">
            <v>EXXOL D60 - 185 KG DRUM</v>
          </cell>
        </row>
        <row r="526">
          <cell r="H526" t="str">
            <v>86-9050-010</v>
          </cell>
          <cell r="I526" t="str">
            <v>EXXOL D60 - 156 KG</v>
          </cell>
        </row>
        <row r="527">
          <cell r="H527" t="str">
            <v>86-9050-960</v>
          </cell>
          <cell r="I527" t="str">
            <v>EXXOL D60 - 160 KG</v>
          </cell>
        </row>
        <row r="528">
          <cell r="H528" t="str">
            <v>86-9060-009</v>
          </cell>
          <cell r="I528" t="str">
            <v>HEPTANE - 168 KG DRUM</v>
          </cell>
        </row>
        <row r="529">
          <cell r="H529" t="str">
            <v>86-9061-000</v>
          </cell>
          <cell r="I529" t="str">
            <v>SOLVESSO-100 - KILOS</v>
          </cell>
        </row>
        <row r="530">
          <cell r="H530" t="str">
            <v>86-9061-009</v>
          </cell>
          <cell r="I530" t="str">
            <v>SOLVESSO-100 - 206 KG DRUM</v>
          </cell>
        </row>
        <row r="531">
          <cell r="H531" t="str">
            <v>86-9061-010</v>
          </cell>
          <cell r="I531" t="str">
            <v>SOLVESSO-100 - 178 KG DRUM</v>
          </cell>
        </row>
        <row r="532">
          <cell r="H532" t="str">
            <v>86-9061-020</v>
          </cell>
          <cell r="I532" t="str">
            <v>SOLVESSO-100 - 20 LT PAIL</v>
          </cell>
        </row>
        <row r="533">
          <cell r="H533" t="str">
            <v>86-9061-063</v>
          </cell>
          <cell r="I533" t="str">
            <v>SOLVESSO-100 - 200 LT DRUM</v>
          </cell>
        </row>
        <row r="534">
          <cell r="H534" t="str">
            <v>86-9070-901</v>
          </cell>
          <cell r="I534" t="str">
            <v>SOLVESSO-200 - 201 KG DRUM</v>
          </cell>
        </row>
        <row r="535">
          <cell r="H535" t="str">
            <v>86-9070-933</v>
          </cell>
          <cell r="I535" t="str">
            <v>SOLVESSO-200 - 233 KG DRUM</v>
          </cell>
        </row>
        <row r="536">
          <cell r="H536" t="str">
            <v>86-9082-009</v>
          </cell>
          <cell r="I536" t="str">
            <v>SOLVESSO-150 - 181 KG DRUM</v>
          </cell>
        </row>
        <row r="537">
          <cell r="H537" t="str">
            <v>86-9090-009</v>
          </cell>
          <cell r="I537" t="str">
            <v>ISOPAR-G - 151 KG</v>
          </cell>
        </row>
        <row r="538">
          <cell r="H538" t="str">
            <v>86-9100-009</v>
          </cell>
          <cell r="I538" t="str">
            <v>EXX-PRINT T76A - 169 KG</v>
          </cell>
        </row>
        <row r="539">
          <cell r="H539" t="str">
            <v>86-9100-995</v>
          </cell>
          <cell r="I539" t="str">
            <v>EXX-PRINT T76A - 195 KG</v>
          </cell>
        </row>
        <row r="540">
          <cell r="H540" t="str">
            <v>86-9110-009</v>
          </cell>
          <cell r="I540" t="str">
            <v>VAT</v>
          </cell>
        </row>
        <row r="541">
          <cell r="H541" t="str">
            <v>86-9110-246</v>
          </cell>
          <cell r="I541" t="str">
            <v>EXX-PRINT H84D - 6 X 2.27 KG</v>
          </cell>
        </row>
        <row r="542">
          <cell r="H542" t="str">
            <v>86-9110-989</v>
          </cell>
          <cell r="I542" t="str">
            <v>EXX-PRINT H84D - 189 KG</v>
          </cell>
        </row>
        <row r="543">
          <cell r="H543" t="str">
            <v>86-9120-964</v>
          </cell>
          <cell r="I543" t="str">
            <v>EXX-PRINT H80D - 164 KG</v>
          </cell>
        </row>
        <row r="544">
          <cell r="H544" t="str">
            <v>86-9120-966</v>
          </cell>
          <cell r="I544" t="str">
            <v>EXX-PRINT H80D 166 KG</v>
          </cell>
        </row>
        <row r="545">
          <cell r="H545" t="str">
            <v>87-0162-000</v>
          </cell>
          <cell r="I545" t="str">
            <v>MOBILAD G-210 - KILOS</v>
          </cell>
        </row>
        <row r="546">
          <cell r="H546" t="str">
            <v>87-0442-009</v>
          </cell>
          <cell r="I546" t="str">
            <v>COREXIT 9527 - 200 KG DRUM</v>
          </cell>
        </row>
        <row r="547">
          <cell r="H547" t="str">
            <v>87-0451-021</v>
          </cell>
          <cell r="I547" t="str">
            <v>ESCOREZ 1102 - 25 KG BAG</v>
          </cell>
        </row>
        <row r="548">
          <cell r="H548" t="str">
            <v>87-0460-021</v>
          </cell>
          <cell r="I548" t="str">
            <v>ESCOREZ 5320 - 25 KG BAG</v>
          </cell>
        </row>
        <row r="549">
          <cell r="H549" t="str">
            <v>87-0808-001</v>
          </cell>
          <cell r="I549" t="str">
            <v>XYLENE - LITRES</v>
          </cell>
        </row>
        <row r="550">
          <cell r="H550" t="str">
            <v>87-0808-008</v>
          </cell>
          <cell r="I550" t="str">
            <v>XYLENE - 208 LT DRUM</v>
          </cell>
        </row>
        <row r="551">
          <cell r="H551" t="str">
            <v>87-0808-063</v>
          </cell>
          <cell r="I551" t="str">
            <v>XYLENE - 200 LT DRUM</v>
          </cell>
        </row>
        <row r="552">
          <cell r="H552" t="str">
            <v>87-1004-001</v>
          </cell>
          <cell r="I552" t="str">
            <v>TOLUENE - LITRES</v>
          </cell>
        </row>
        <row r="553">
          <cell r="H553" t="str">
            <v>87-1004-008</v>
          </cell>
          <cell r="I553" t="str">
            <v>TOLUENE - 202 LT DRUM</v>
          </cell>
        </row>
        <row r="554">
          <cell r="H554" t="str">
            <v>87-1004-063</v>
          </cell>
          <cell r="I554" t="str">
            <v>TOLUENE - 200 LT DRUM</v>
          </cell>
        </row>
        <row r="555">
          <cell r="H555" t="str">
            <v>87-2341-001</v>
          </cell>
          <cell r="I555" t="str">
            <v>DINP - LITRES</v>
          </cell>
        </row>
        <row r="556">
          <cell r="H556" t="str">
            <v>87-2341-009</v>
          </cell>
          <cell r="I556" t="str">
            <v>DINP - 200 KG</v>
          </cell>
        </row>
        <row r="557">
          <cell r="H557" t="str">
            <v>87-2341-063</v>
          </cell>
          <cell r="I557" t="str">
            <v>DINP - 200 LT DRUM</v>
          </cell>
        </row>
        <row r="558">
          <cell r="H558" t="str">
            <v>87-8041-009</v>
          </cell>
          <cell r="I558" t="str">
            <v>METHYL ETHYL KETONE - 163 KG</v>
          </cell>
        </row>
        <row r="559">
          <cell r="H559" t="str">
            <v>87-8041-010</v>
          </cell>
          <cell r="I559" t="str">
            <v>METHYL ETHYL KETONE - 165 KG</v>
          </cell>
        </row>
        <row r="560">
          <cell r="H560" t="str">
            <v>87-8041-964</v>
          </cell>
          <cell r="I560" t="str">
            <v>METHYL ETHYL KETONE - 164 KG DRUM</v>
          </cell>
        </row>
        <row r="561">
          <cell r="H561" t="str">
            <v>87-8041-989</v>
          </cell>
          <cell r="I561" t="str">
            <v>METHYL ETHYL KETONE - 189 KG DRUM</v>
          </cell>
        </row>
        <row r="562">
          <cell r="H562" t="str">
            <v>87-8058-000</v>
          </cell>
          <cell r="I562" t="str">
            <v>METHYL ISOBUTYL KETONE - KILOS</v>
          </cell>
        </row>
        <row r="563">
          <cell r="H563" t="str">
            <v>87-8066-009</v>
          </cell>
          <cell r="I563" t="str">
            <v>SEC BUTYL ALCOHOL - 170 KG</v>
          </cell>
        </row>
        <row r="564">
          <cell r="H564" t="str">
            <v>87-9011-063</v>
          </cell>
          <cell r="I564" t="str">
            <v>TOLUENE - 200 LT</v>
          </cell>
        </row>
        <row r="565">
          <cell r="H565" t="str">
            <v>87-9144-000</v>
          </cell>
          <cell r="I565" t="str">
            <v>EXXATE 1000 - KILOS</v>
          </cell>
        </row>
        <row r="566">
          <cell r="H566" t="str">
            <v>87-9144-009</v>
          </cell>
          <cell r="I566" t="str">
            <v>EXXATE 1000 - 181 KG DRUM</v>
          </cell>
        </row>
        <row r="567">
          <cell r="H567" t="str">
            <v>87-9155-000</v>
          </cell>
          <cell r="I567" t="str">
            <v>EXXATE 900 - KILOS</v>
          </cell>
        </row>
        <row r="568">
          <cell r="H568" t="str">
            <v>87-9155-009</v>
          </cell>
          <cell r="I568" t="str">
            <v>EXXATE 900 - 181 KG DRUM</v>
          </cell>
        </row>
        <row r="569">
          <cell r="H569" t="str">
            <v>87-9211-009</v>
          </cell>
          <cell r="I569" t="str">
            <v>BUTYL JAYSOLVE - 215 KG DRUM</v>
          </cell>
        </row>
        <row r="570">
          <cell r="H570" t="str">
            <v>88-0000-240</v>
          </cell>
          <cell r="I570" t="str">
            <v>MOBIL INSECTICIDE AEROSOL - 24 X 0.3 LT</v>
          </cell>
        </row>
        <row r="571">
          <cell r="H571" t="str">
            <v>88-0000-244</v>
          </cell>
          <cell r="I571" t="str">
            <v>MOBIL INSECTICIDE AEROSOL - 24 X 0.4 KG</v>
          </cell>
        </row>
        <row r="572">
          <cell r="H572" t="str">
            <v>88-0000-940</v>
          </cell>
          <cell r="I572" t="str">
            <v>MOBIL INSECTICIDE AEROSOL - 24 X 0.3 KG</v>
          </cell>
        </row>
        <row r="573">
          <cell r="H573" t="str">
            <v>88-0203-910</v>
          </cell>
          <cell r="I573" t="str">
            <v>MOBILSOL 30 - 210 LT</v>
          </cell>
        </row>
        <row r="574">
          <cell r="H574" t="str">
            <v>88-2308-001</v>
          </cell>
          <cell r="I574" t="str">
            <v>SLOPS FUEL PRODUCTS - LITRES</v>
          </cell>
        </row>
        <row r="575">
          <cell r="H575" t="str">
            <v>90-1447-000</v>
          </cell>
          <cell r="I575" t="str">
            <v>STOCK 1096 - KILOS</v>
          </cell>
        </row>
        <row r="576">
          <cell r="H576" t="str">
            <v>90-1629-000</v>
          </cell>
          <cell r="I576" t="str">
            <v>MOX 162 - KILOS</v>
          </cell>
        </row>
        <row r="577">
          <cell r="H577" t="str">
            <v>90-1629-905</v>
          </cell>
          <cell r="I577" t="str">
            <v>MOX 162 - 205 LT</v>
          </cell>
        </row>
        <row r="578">
          <cell r="H578" t="str">
            <v>90-1629-999</v>
          </cell>
          <cell r="I578" t="str">
            <v>MOX 162 - BULK GRMS</v>
          </cell>
        </row>
        <row r="579">
          <cell r="H579" t="str">
            <v>90-2023-000</v>
          </cell>
          <cell r="I579" t="str">
            <v>STOCK 1022 - KILOS</v>
          </cell>
        </row>
        <row r="580">
          <cell r="H580" t="str">
            <v>90-2287-000</v>
          </cell>
          <cell r="I580" t="str">
            <v>MOX 238 - KILOS</v>
          </cell>
        </row>
        <row r="581">
          <cell r="H581" t="str">
            <v>90-2759-000</v>
          </cell>
          <cell r="I581" t="str">
            <v>STOCK 820 - KILOS</v>
          </cell>
        </row>
        <row r="582">
          <cell r="H582" t="str">
            <v>90-3641-000</v>
          </cell>
          <cell r="I582" t="str">
            <v>STOCK 1319 - KILOS</v>
          </cell>
        </row>
        <row r="583">
          <cell r="H583" t="str">
            <v>91-0117-000</v>
          </cell>
          <cell r="I583" t="str">
            <v>MOX 011 - KILOS</v>
          </cell>
        </row>
        <row r="584">
          <cell r="H584" t="str">
            <v>91-0430-000</v>
          </cell>
          <cell r="I584" t="str">
            <v>MOX 043 - KILOS</v>
          </cell>
        </row>
        <row r="585">
          <cell r="H585" t="str">
            <v>91-0439-000</v>
          </cell>
          <cell r="I585" t="str">
            <v>MOX 043 - BULK KG</v>
          </cell>
        </row>
        <row r="586">
          <cell r="H586" t="str">
            <v>91-0752-000</v>
          </cell>
          <cell r="I586" t="str">
            <v>STOCK 2493 - KILOS</v>
          </cell>
        </row>
        <row r="587">
          <cell r="H587" t="str">
            <v>91-0794-000</v>
          </cell>
          <cell r="I587" t="str">
            <v>MOX 079 - KILOS</v>
          </cell>
        </row>
        <row r="588">
          <cell r="H588" t="str">
            <v>91-0828-000</v>
          </cell>
          <cell r="I588" t="str">
            <v>STOCK 2841 - KILOS</v>
          </cell>
        </row>
        <row r="589">
          <cell r="H589" t="str">
            <v>91-0935-000</v>
          </cell>
          <cell r="I589" t="str">
            <v>STOCK 2830 - KILOS</v>
          </cell>
        </row>
        <row r="590">
          <cell r="H590" t="str">
            <v>91-1313-000</v>
          </cell>
          <cell r="I590" t="str">
            <v>MOX 131 - KILOS</v>
          </cell>
        </row>
        <row r="591">
          <cell r="H591" t="str">
            <v>91-1321-000</v>
          </cell>
          <cell r="I591" t="str">
            <v>MOX 132 - KILOS</v>
          </cell>
        </row>
        <row r="592">
          <cell r="H592" t="str">
            <v>91-1396-000</v>
          </cell>
          <cell r="I592" t="str">
            <v>MOX 139 - KILOS</v>
          </cell>
        </row>
        <row r="593">
          <cell r="H593" t="str">
            <v>91-1622-000</v>
          </cell>
          <cell r="I593" t="str">
            <v>MOX 162 - BULK KG</v>
          </cell>
        </row>
        <row r="594">
          <cell r="H594" t="str">
            <v>91-1693-000</v>
          </cell>
          <cell r="I594" t="str">
            <v>STOCK 1418 - KILOS</v>
          </cell>
        </row>
        <row r="595">
          <cell r="H595" t="str">
            <v>91-1909-000</v>
          </cell>
          <cell r="I595" t="str">
            <v>STOCK 3047 - KILOS</v>
          </cell>
        </row>
        <row r="596">
          <cell r="H596" t="str">
            <v>91-1950-000</v>
          </cell>
          <cell r="I596" t="str">
            <v>MOX 195 - BULK KG</v>
          </cell>
        </row>
        <row r="597">
          <cell r="H597" t="str">
            <v>91-1958-000</v>
          </cell>
          <cell r="I597" t="str">
            <v>MOX 195 - KILOS</v>
          </cell>
        </row>
        <row r="598">
          <cell r="H598" t="str">
            <v>91-2380-000</v>
          </cell>
          <cell r="I598" t="str">
            <v>MOX 238 - BULK KG</v>
          </cell>
        </row>
        <row r="599">
          <cell r="H599" t="str">
            <v>91-2584-000</v>
          </cell>
          <cell r="I599" t="str">
            <v>STOCK 2989 - KILOS</v>
          </cell>
        </row>
        <row r="600">
          <cell r="H600" t="str">
            <v>91-2766-000</v>
          </cell>
          <cell r="I600" t="str">
            <v>STOCK 1090 - KILOS</v>
          </cell>
        </row>
        <row r="601">
          <cell r="H601" t="str">
            <v>91-2881-000</v>
          </cell>
          <cell r="I601" t="str">
            <v>STOCK 1474 - KILOS</v>
          </cell>
        </row>
        <row r="602">
          <cell r="H602" t="str">
            <v>91-3244-000</v>
          </cell>
          <cell r="I602" t="str">
            <v>STOCK 1443 - KILOS</v>
          </cell>
        </row>
        <row r="603">
          <cell r="H603" t="str">
            <v>91-3590-000</v>
          </cell>
          <cell r="I603" t="str">
            <v>MOX 359 - KILOS</v>
          </cell>
        </row>
        <row r="604">
          <cell r="H604" t="str">
            <v>91-4010-000</v>
          </cell>
          <cell r="I604" t="str">
            <v>MOX 401 - KILOS</v>
          </cell>
        </row>
        <row r="605">
          <cell r="H605" t="str">
            <v>91-4093-000</v>
          </cell>
          <cell r="I605" t="str">
            <v>MOX 409 - KILOS</v>
          </cell>
        </row>
        <row r="606">
          <cell r="H606" t="str">
            <v>91-4325-000</v>
          </cell>
          <cell r="I606" t="str">
            <v>MOX 432 - KILOS</v>
          </cell>
        </row>
        <row r="607">
          <cell r="H607" t="str">
            <v>91-4424-000</v>
          </cell>
          <cell r="I607" t="str">
            <v>MOX 442 - KILOS</v>
          </cell>
        </row>
        <row r="608">
          <cell r="H608" t="str">
            <v>91-4424-905</v>
          </cell>
          <cell r="I608" t="str">
            <v>MOX 442 - 205 LT</v>
          </cell>
        </row>
        <row r="609">
          <cell r="H609" t="str">
            <v>91-5504-000</v>
          </cell>
          <cell r="I609" t="str">
            <v>MOX 550 - KILOS</v>
          </cell>
        </row>
        <row r="610">
          <cell r="H610" t="str">
            <v>91-5603-000</v>
          </cell>
          <cell r="I610" t="str">
            <v>MOX 560 - KILOS</v>
          </cell>
        </row>
        <row r="611">
          <cell r="H611" t="str">
            <v>91-5611-000</v>
          </cell>
          <cell r="I611" t="str">
            <v>MOX 561 - KILOS</v>
          </cell>
        </row>
        <row r="612">
          <cell r="H612" t="str">
            <v>91-5728-000</v>
          </cell>
          <cell r="I612" t="str">
            <v>STOCK 1907 - KILOS</v>
          </cell>
        </row>
        <row r="613">
          <cell r="H613" t="str">
            <v>91-5740-000</v>
          </cell>
          <cell r="I613" t="str">
            <v>MOX 574 - BULK KG</v>
          </cell>
        </row>
        <row r="614">
          <cell r="H614" t="str">
            <v>91-5744-000</v>
          </cell>
          <cell r="I614" t="str">
            <v>MOX 574 - KILOS</v>
          </cell>
        </row>
        <row r="615">
          <cell r="H615" t="str">
            <v>91-6114-000</v>
          </cell>
          <cell r="I615" t="str">
            <v>MOX 611 - KILOS</v>
          </cell>
        </row>
        <row r="616">
          <cell r="H616" t="str">
            <v>91-7856-000</v>
          </cell>
          <cell r="I616" t="str">
            <v>STOCK 1885 - KILOS</v>
          </cell>
        </row>
        <row r="617">
          <cell r="H617" t="str">
            <v>91-7955-000</v>
          </cell>
          <cell r="I617" t="str">
            <v>STOCK 1953 - KILOS</v>
          </cell>
        </row>
        <row r="618">
          <cell r="H618" t="str">
            <v>91-8086-000</v>
          </cell>
          <cell r="I618" t="str">
            <v>STOCK 2216 - KILOS</v>
          </cell>
        </row>
        <row r="619">
          <cell r="H619" t="str">
            <v>91-8623-000</v>
          </cell>
          <cell r="I619" t="str">
            <v>STOCK 2514 - KILOS</v>
          </cell>
        </row>
        <row r="620">
          <cell r="H620" t="str">
            <v>91-8896-000</v>
          </cell>
          <cell r="I620" t="str">
            <v>MOX 889 - KILOS</v>
          </cell>
        </row>
        <row r="621">
          <cell r="H621" t="str">
            <v>91-8896-001</v>
          </cell>
          <cell r="I621" t="str">
            <v>MOX 889 - LITRES</v>
          </cell>
        </row>
        <row r="622">
          <cell r="H622" t="str">
            <v>91-8896-905</v>
          </cell>
          <cell r="I622" t="str">
            <v>MOX 889 - 205 LT</v>
          </cell>
        </row>
        <row r="623">
          <cell r="H623" t="str">
            <v>92-0820-000</v>
          </cell>
          <cell r="I623" t="str">
            <v>STOCK 820 - BULK KG</v>
          </cell>
        </row>
        <row r="624">
          <cell r="H624" t="str">
            <v>92-1022-999</v>
          </cell>
          <cell r="I624" t="str">
            <v>STOCK 1022 - BULK KG</v>
          </cell>
        </row>
        <row r="625">
          <cell r="H625" t="str">
            <v>92-1090-000</v>
          </cell>
          <cell r="I625" t="str">
            <v>STOCK 1090 - BULK KG</v>
          </cell>
        </row>
        <row r="626">
          <cell r="H626" t="str">
            <v>92-1096-000</v>
          </cell>
          <cell r="I626" t="str">
            <v>STOCK 1096 - BULK KG</v>
          </cell>
        </row>
        <row r="627">
          <cell r="H627" t="str">
            <v>92-1319-000</v>
          </cell>
          <cell r="I627" t="str">
            <v>STOCK 1319 - BULK KG</v>
          </cell>
        </row>
        <row r="628">
          <cell r="H628" t="str">
            <v>92-1418-000</v>
          </cell>
          <cell r="I628" t="str">
            <v>STOCK 1418 - BULK KG</v>
          </cell>
        </row>
        <row r="629">
          <cell r="H629" t="str">
            <v>92-1443-000</v>
          </cell>
          <cell r="I629" t="str">
            <v>STOCK 1443 - BULK KG</v>
          </cell>
        </row>
        <row r="630">
          <cell r="H630" t="str">
            <v>92-1474-000</v>
          </cell>
          <cell r="I630" t="str">
            <v>STOCK 1474 - BULK KG</v>
          </cell>
        </row>
        <row r="631">
          <cell r="H631" t="str">
            <v>92-1634-000</v>
          </cell>
          <cell r="I631" t="str">
            <v>STOCK 1634 - BULK KG</v>
          </cell>
        </row>
        <row r="632">
          <cell r="H632" t="str">
            <v>92-1634-008</v>
          </cell>
          <cell r="I632" t="str">
            <v>STOCK 1634 - BULK KG</v>
          </cell>
        </row>
        <row r="633">
          <cell r="H633" t="str">
            <v>92-1885-000</v>
          </cell>
          <cell r="I633" t="str">
            <v>STOCK 1885 - BULK KG</v>
          </cell>
        </row>
        <row r="634">
          <cell r="H634" t="str">
            <v>92-1907-000</v>
          </cell>
          <cell r="I634" t="str">
            <v>STOCK 1907 - BULK KG</v>
          </cell>
        </row>
        <row r="635">
          <cell r="H635" t="str">
            <v>92-1953-000</v>
          </cell>
          <cell r="I635" t="str">
            <v>STOCK 1953 - BULK KG</v>
          </cell>
        </row>
        <row r="636">
          <cell r="H636" t="str">
            <v>92-2216-000</v>
          </cell>
          <cell r="I636" t="str">
            <v>STOCK 2216 - BULK KG</v>
          </cell>
        </row>
        <row r="637">
          <cell r="H637" t="str">
            <v>92-2493-000</v>
          </cell>
          <cell r="I637" t="str">
            <v>STOCK 2493 - BULK KG</v>
          </cell>
        </row>
        <row r="638">
          <cell r="H638" t="str">
            <v>92-2514-000</v>
          </cell>
          <cell r="I638" t="str">
            <v>STOCK 2514 - BULK KG</v>
          </cell>
        </row>
        <row r="639">
          <cell r="H639" t="str">
            <v>92-2830-000</v>
          </cell>
          <cell r="I639" t="str">
            <v>STOCK 2830 - BULK KG</v>
          </cell>
        </row>
        <row r="640">
          <cell r="H640" t="str">
            <v>92-2841-000</v>
          </cell>
          <cell r="I640" t="str">
            <v>STOCK 2841 - BULK KG</v>
          </cell>
        </row>
        <row r="641">
          <cell r="H641" t="str">
            <v>92-2989-000</v>
          </cell>
          <cell r="I641" t="str">
            <v>STOCK 2989 - BULK KG</v>
          </cell>
        </row>
        <row r="642">
          <cell r="H642" t="str">
            <v>92-3047-000</v>
          </cell>
          <cell r="I642" t="str">
            <v>STOCK 3047 - BULK KG</v>
          </cell>
        </row>
        <row r="643">
          <cell r="H643" t="str">
            <v>92-3196-000</v>
          </cell>
          <cell r="I643" t="str">
            <v>STOCK 3196 - BULK KG</v>
          </cell>
        </row>
        <row r="644">
          <cell r="H644" t="str">
            <v>92-3208-000</v>
          </cell>
          <cell r="I644" t="str">
            <v>STOCK 3208 - KILOS</v>
          </cell>
        </row>
        <row r="645">
          <cell r="H645" t="str">
            <v>92-3229-000</v>
          </cell>
          <cell r="I645" t="str">
            <v>STOCK 3229 - KILOS</v>
          </cell>
        </row>
        <row r="646">
          <cell r="H646" t="str">
            <v>92-3255-000</v>
          </cell>
          <cell r="I646" t="str">
            <v>STOCK 3255 - BULK KG</v>
          </cell>
        </row>
        <row r="647">
          <cell r="H647" t="str">
            <v>92-3263-000</v>
          </cell>
          <cell r="I647" t="str">
            <v>STOCK 3263 - BULK KG</v>
          </cell>
        </row>
        <row r="648">
          <cell r="H648" t="str">
            <v>92-3288-000</v>
          </cell>
          <cell r="I648" t="str">
            <v>STOCK 3288 - KILOS</v>
          </cell>
        </row>
        <row r="649">
          <cell r="H649" t="str">
            <v>92-3376-000</v>
          </cell>
          <cell r="I649" t="str">
            <v>STOCK 3376 - KILOS</v>
          </cell>
        </row>
        <row r="650">
          <cell r="H650" t="str">
            <v>94-0023-000</v>
          </cell>
          <cell r="I650" t="str">
            <v>ARABIAN HEAVY - KILOS</v>
          </cell>
        </row>
        <row r="651">
          <cell r="H651" t="str">
            <v>94-0080-000</v>
          </cell>
          <cell r="I651" t="str">
            <v>KUWAIT CRUDE - KILOS</v>
          </cell>
        </row>
        <row r="652">
          <cell r="H652" t="str">
            <v>94-1021-000</v>
          </cell>
          <cell r="I652" t="str">
            <v>MURBAN - KILOS</v>
          </cell>
        </row>
        <row r="653">
          <cell r="H653" t="str">
            <v>94-1534-000</v>
          </cell>
          <cell r="I653" t="str">
            <v>ZAKUM CRUDE - KILOS</v>
          </cell>
        </row>
        <row r="654">
          <cell r="H654" t="str">
            <v>94-1765-000</v>
          </cell>
          <cell r="I654" t="str">
            <v>MARIB RECONSTITUTED - KILOS</v>
          </cell>
        </row>
        <row r="655">
          <cell r="H655" t="str">
            <v>94-3514-000</v>
          </cell>
          <cell r="I655" t="str">
            <v>MARIB LIGHT - KILOS</v>
          </cell>
        </row>
        <row r="656">
          <cell r="H656" t="str">
            <v>94-4058-000</v>
          </cell>
          <cell r="I656" t="str">
            <v>SLOPS CRUDE OIL - KILOS</v>
          </cell>
        </row>
        <row r="657">
          <cell r="H657" t="str">
            <v>94-7069-000</v>
          </cell>
          <cell r="I657" t="str">
            <v>FUEL &amp; LOSS - KILOS</v>
          </cell>
        </row>
        <row r="658">
          <cell r="H658" t="str">
            <v>94-7069-001</v>
          </cell>
          <cell r="I658" t="str">
            <v>FUEL &amp; LOSS - LITRES</v>
          </cell>
        </row>
        <row r="659">
          <cell r="H659" t="str">
            <v>94-9000-001</v>
          </cell>
          <cell r="I659" t="str">
            <v>CRUDE SLOPS KPRL - LITRES</v>
          </cell>
        </row>
        <row r="660">
          <cell r="H660" t="str">
            <v>95-8041-000</v>
          </cell>
          <cell r="I660" t="str">
            <v>STOCK 3255 - KILOS</v>
          </cell>
        </row>
        <row r="661">
          <cell r="H661" t="str">
            <v>96-5624-000</v>
          </cell>
          <cell r="I661" t="str">
            <v>STOCK 3196 - KILOS</v>
          </cell>
        </row>
        <row r="662">
          <cell r="H662" t="str">
            <v>97-0000-000</v>
          </cell>
          <cell r="I662" t="str">
            <v>PORT DIFFERENTIAL - LITRE</v>
          </cell>
        </row>
        <row r="663">
          <cell r="H663" t="str">
            <v>97-0355-000</v>
          </cell>
          <cell r="I663" t="str">
            <v>MOBIL 6 KG CYLINDER - ITEMS</v>
          </cell>
        </row>
        <row r="664">
          <cell r="H664" t="str">
            <v>97-1000-000</v>
          </cell>
          <cell r="I664" t="str">
            <v>NEW 210/200 LITRE DRUM  - ITEMS</v>
          </cell>
        </row>
        <row r="665">
          <cell r="H665" t="str">
            <v>97-1019-000</v>
          </cell>
          <cell r="I665" t="str">
            <v>SECOND HAND FUEL SLOPES DRUMS - ITEMS</v>
          </cell>
        </row>
        <row r="666">
          <cell r="H666" t="str">
            <v>97-1028-000</v>
          </cell>
          <cell r="I666" t="str">
            <v>SECOND HND 210/200 LTR DM  - ITEMS</v>
          </cell>
        </row>
        <row r="667">
          <cell r="H667" t="str">
            <v>97-1032-000</v>
          </cell>
          <cell r="I667" t="str">
            <v>NEW 150 K.G. DRUM  - ITEMS</v>
          </cell>
        </row>
        <row r="668">
          <cell r="H668" t="str">
            <v>97-1037-000</v>
          </cell>
          <cell r="I668" t="str">
            <v>NEW 180 K.G. DRUM  - ITEMS</v>
          </cell>
        </row>
        <row r="669">
          <cell r="H669" t="str">
            <v>97-1055-000</v>
          </cell>
          <cell r="I669" t="str">
            <v>DIS DRMS 180 KG. OR 210LT  - ITEMS</v>
          </cell>
        </row>
        <row r="670">
          <cell r="H670" t="str">
            <v>97-1073-000</v>
          </cell>
          <cell r="I670" t="str">
            <v>NEW 20LTR ROUND PAILS  - ITEMS</v>
          </cell>
        </row>
        <row r="671">
          <cell r="H671" t="str">
            <v>97-1082-000</v>
          </cell>
          <cell r="I671" t="str">
            <v>NEW 20 LTR PLASTIC J CANS  - ITEMS</v>
          </cell>
        </row>
        <row r="672">
          <cell r="H672" t="str">
            <v>97-1091-000</v>
          </cell>
          <cell r="I672" t="str">
            <v>EMPTY DRUMS 1X200 RETURNABLE - ITEMS</v>
          </cell>
        </row>
        <row r="673">
          <cell r="H673" t="str">
            <v>97-1100-000</v>
          </cell>
          <cell r="I673" t="str">
            <v>SECOND HAND 20LTR CONTNER  - ITEMS</v>
          </cell>
        </row>
        <row r="674">
          <cell r="H674" t="str">
            <v>97-1119-000</v>
          </cell>
          <cell r="I674" t="str">
            <v>CARTNS 4X5 JERRYCANS/TINS  - ITEMS</v>
          </cell>
        </row>
        <row r="675">
          <cell r="H675" t="str">
            <v>97-1137-000</v>
          </cell>
          <cell r="I675" t="str">
            <v>1X5 LITRE JERRY CAN  - ITEMS</v>
          </cell>
        </row>
        <row r="676">
          <cell r="H676" t="str">
            <v>97-1146-000</v>
          </cell>
          <cell r="I676" t="str">
            <v>EMPTY CARTONS 40X1/2 LTR - ITEMS</v>
          </cell>
        </row>
        <row r="677">
          <cell r="H677" t="str">
            <v>97-1155-000</v>
          </cell>
          <cell r="I677" t="str">
            <v>1X1/2 LITRE TINS  - ITEMS</v>
          </cell>
        </row>
        <row r="678">
          <cell r="H678" t="str">
            <v>97-1173-000</v>
          </cell>
          <cell r="I678" t="str">
            <v>1X17KG PAILS    - ITEMS</v>
          </cell>
        </row>
        <row r="679">
          <cell r="H679" t="str">
            <v>97-1182-000</v>
          </cell>
          <cell r="I679" t="str">
            <v>8X3 KG. CARTON  - ITEMS</v>
          </cell>
        </row>
        <row r="680">
          <cell r="H680" t="str">
            <v>97-1200-000</v>
          </cell>
          <cell r="I680" t="str">
            <v>208 LITRE DRUM - ITEMS</v>
          </cell>
        </row>
        <row r="681">
          <cell r="H681" t="str">
            <v>97-1219-000</v>
          </cell>
          <cell r="I681" t="str">
            <v>36X1/2 LITRE CARTON  - ITEMS</v>
          </cell>
        </row>
        <row r="682">
          <cell r="H682" t="str">
            <v>97-1228-000</v>
          </cell>
          <cell r="I682" t="str">
            <v>32 X 1/2 LITRE CARTON - ITEMS</v>
          </cell>
        </row>
        <row r="683">
          <cell r="H683" t="str">
            <v>97-1237-000</v>
          </cell>
          <cell r="I683" t="str">
            <v>40X1/4 LTR. CARTON  - ITEMS</v>
          </cell>
        </row>
        <row r="684">
          <cell r="H684" t="str">
            <v>97-1246-000</v>
          </cell>
          <cell r="I684" t="str">
            <v>1X1/4 LITRE TIN  - ITEMS</v>
          </cell>
        </row>
        <row r="685">
          <cell r="H685" t="str">
            <v>97-1264-000</v>
          </cell>
          <cell r="I685" t="str">
            <v>1X1 LITRE EMPTY NEW CANS  - ITEMS</v>
          </cell>
        </row>
        <row r="686">
          <cell r="H686" t="str">
            <v>97-1273-000</v>
          </cell>
          <cell r="I686" t="str">
            <v>1X3 KG TINS  - ITEMS</v>
          </cell>
        </row>
        <row r="687">
          <cell r="H687" t="str">
            <v>97-1282-000</v>
          </cell>
          <cell r="I687" t="str">
            <v>1X0.5 KG TINS  - ITEMS</v>
          </cell>
        </row>
        <row r="688">
          <cell r="H688" t="str">
            <v>97-1287-000</v>
          </cell>
          <cell r="I688" t="str">
            <v>200  ML PLASTIC CONTAINER</v>
          </cell>
        </row>
        <row r="689">
          <cell r="H689" t="str">
            <v>97-1291-000</v>
          </cell>
          <cell r="I689" t="str">
            <v>CARTONS WITH 36X1/2 KG TN  - ITEMS</v>
          </cell>
        </row>
        <row r="690">
          <cell r="H690" t="str">
            <v>97-1300-000</v>
          </cell>
          <cell r="I690" t="str">
            <v>24x1 LTR EMPTY CARTONS  - ITEMS</v>
          </cell>
        </row>
        <row r="691">
          <cell r="H691" t="str">
            <v>97-1319-000</v>
          </cell>
          <cell r="I691" t="str">
            <v>12 X 1 LTRS CARTON - ITEMS</v>
          </cell>
        </row>
        <row r="692">
          <cell r="H692" t="str">
            <v>97-1328-000</v>
          </cell>
          <cell r="I692" t="str">
            <v>MOBIL 40KG LPG CYLINDER - ITEMS</v>
          </cell>
        </row>
        <row r="693">
          <cell r="H693" t="str">
            <v>97-1337-000</v>
          </cell>
          <cell r="I693" t="str">
            <v>MOBIL 13KG LPG CYLINDER - ITEMS</v>
          </cell>
        </row>
        <row r="694">
          <cell r="H694" t="str">
            <v>97-1346-000</v>
          </cell>
          <cell r="I694" t="str">
            <v>5KG. L.P. GAS CYLINDER  - ITEMS</v>
          </cell>
        </row>
        <row r="695">
          <cell r="H695" t="str">
            <v>97-1355-000</v>
          </cell>
          <cell r="I695" t="str">
            <v>MOBIL 6KG LPG CYLINDER - ITEMS</v>
          </cell>
        </row>
        <row r="696">
          <cell r="H696" t="str">
            <v>97-1364-000</v>
          </cell>
          <cell r="I696" t="str">
            <v>OTHER CONTAINERS  - ITEMS</v>
          </cell>
        </row>
        <row r="697">
          <cell r="H697" t="str">
            <v>97-1373-000</v>
          </cell>
          <cell r="I697" t="str">
            <v>EMPTY 1X210 BASI-BLENDING  - ITEMS</v>
          </cell>
        </row>
        <row r="698">
          <cell r="H698" t="str">
            <v>97-1464-000</v>
          </cell>
          <cell r="I698" t="str">
            <v>EMPTY 1X20 BASIC-BLENDING  - ITEMS</v>
          </cell>
        </row>
        <row r="699">
          <cell r="H699" t="str">
            <v>97-1482-000</v>
          </cell>
          <cell r="I699" t="str">
            <v>60X200 ENPTY CARTON - ITEMS</v>
          </cell>
        </row>
        <row r="700">
          <cell r="H700" t="str">
            <v>97-1755-000</v>
          </cell>
          <cell r="I700" t="str">
            <v>36 X 1/4LTR CARTON  - ITEMS</v>
          </cell>
        </row>
        <row r="701">
          <cell r="H701" t="str">
            <v>97-1764-000</v>
          </cell>
          <cell r="I701" t="str">
            <v>12 X 1 CORRUGATED CARTON - ITEMS</v>
          </cell>
        </row>
        <row r="702">
          <cell r="H702" t="str">
            <v>97-1773-000</v>
          </cell>
          <cell r="I702" t="str">
            <v>4X4 EMPTY CARTON - ITEMS</v>
          </cell>
        </row>
        <row r="703">
          <cell r="H703" t="str">
            <v>97-1782-000</v>
          </cell>
          <cell r="I703" t="str">
            <v>1X210 S.H.DRUM BLENDING  - ITEMS</v>
          </cell>
        </row>
        <row r="704">
          <cell r="H704" t="str">
            <v>97-1791-000</v>
          </cell>
          <cell r="I704" t="str">
            <v>1X210 EMPTY AGIP BASIC  - ITEMS</v>
          </cell>
        </row>
        <row r="705">
          <cell r="H705" t="str">
            <v>97-1928-000</v>
          </cell>
          <cell r="I705" t="str">
            <v>1X20 EMTY AGIP BASIC PAIL  - ITEMS</v>
          </cell>
        </row>
        <row r="706">
          <cell r="H706" t="str">
            <v>97-2000-000</v>
          </cell>
          <cell r="I706" t="str">
            <v>PACKAGE SURCHARGE DRUMS- KILOS</v>
          </cell>
        </row>
        <row r="707">
          <cell r="H707" t="str">
            <v>97-2055-000</v>
          </cell>
          <cell r="I707" t="str">
            <v>1X5 EMTY AGIP BASIC PAIL  - ITEMS</v>
          </cell>
        </row>
        <row r="708">
          <cell r="H708" t="str">
            <v>97-2128-000</v>
          </cell>
          <cell r="I708" t="str">
            <v>1X210 EMPTY TOTAL DRUMS  - ITEMS</v>
          </cell>
        </row>
        <row r="709">
          <cell r="H709" t="str">
            <v>97-2355-000</v>
          </cell>
          <cell r="I709" t="str">
            <v>1X20 EMT TOTAL BASIC PAIL  - ITEMS</v>
          </cell>
        </row>
        <row r="710">
          <cell r="H710" t="str">
            <v>97-2600-000</v>
          </cell>
          <cell r="I710" t="str">
            <v>HALF LTR CONTAINER LABELS  - ITEMS</v>
          </cell>
        </row>
        <row r="711">
          <cell r="H711" t="str">
            <v>97-2619-000</v>
          </cell>
          <cell r="I711" t="str">
            <v>FIVE LTR CONTAINER LABELS  - ITEMS</v>
          </cell>
        </row>
        <row r="712">
          <cell r="H712" t="str">
            <v>97-2628-000</v>
          </cell>
          <cell r="I712" t="str">
            <v>4X5 CORRUGATED CARTON - ITEMS</v>
          </cell>
        </row>
        <row r="713">
          <cell r="H713" t="str">
            <v>97-2637-000</v>
          </cell>
          <cell r="I713" t="str">
            <v>4X5 LT CORRUGATED CARTONS - ITEMS</v>
          </cell>
        </row>
        <row r="714">
          <cell r="H714" t="str">
            <v>97-2655-000</v>
          </cell>
          <cell r="I714" t="str">
            <v>40 KG.L.P. GAS CYLINDER  - OLD</v>
          </cell>
        </row>
        <row r="715">
          <cell r="H715" t="str">
            <v>97-2664-000</v>
          </cell>
          <cell r="I715" t="str">
            <v>13 KG.L.P. GAS CYLINDER  - OLD</v>
          </cell>
        </row>
        <row r="716">
          <cell r="H716" t="str">
            <v>97-2673-000</v>
          </cell>
          <cell r="I716" t="str">
            <v>5KG. L.P. GAS CYLINDER  - ITEMS</v>
          </cell>
        </row>
        <row r="717">
          <cell r="H717" t="str">
            <v>97-2682-000</v>
          </cell>
          <cell r="I717" t="str">
            <v>LPG LOW PRESS. REGULATOR - ITEMS</v>
          </cell>
        </row>
        <row r="718">
          <cell r="H718" t="str">
            <v>97-2691-000</v>
          </cell>
          <cell r="I718" t="str">
            <v>LPG LOW PRESSURE HOSES - ITEMS</v>
          </cell>
        </row>
        <row r="719">
          <cell r="H719" t="str">
            <v>97-2700-000</v>
          </cell>
          <cell r="I719" t="str">
            <v>LPG HIGH PRESSURE HOSES - ITEMS</v>
          </cell>
        </row>
        <row r="720">
          <cell r="H720" t="str">
            <v>97-2719-000</v>
          </cell>
          <cell r="I720" t="str">
            <v>LPG HIGH PRESS. REGULATOR - ITEMS</v>
          </cell>
        </row>
        <row r="721">
          <cell r="H721" t="str">
            <v>97-2727-000</v>
          </cell>
          <cell r="I721" t="str">
            <v>MOBIL 6 KG LPG LANTERN - ITEMS</v>
          </cell>
        </row>
        <row r="722">
          <cell r="H722" t="str">
            <v>97-2728-000</v>
          </cell>
          <cell r="I722" t="str">
            <v>NOZZLE UNION HP REG. - ITEMS</v>
          </cell>
        </row>
        <row r="723">
          <cell r="H723" t="str">
            <v>97-2737-000</v>
          </cell>
          <cell r="I723" t="str">
            <v>MOBIL 6KG LPG LANTERN - ITEMS</v>
          </cell>
        </row>
        <row r="724">
          <cell r="H724" t="str">
            <v>97-2746-000</v>
          </cell>
          <cell r="I724" t="str">
            <v>MOBIL 6KG LPG GRILL - ITEMS</v>
          </cell>
        </row>
        <row r="725">
          <cell r="H725" t="str">
            <v>97-2755-000</v>
          </cell>
          <cell r="I725" t="str">
            <v>MOBIL 6KG LPG BURNER - ITEMS</v>
          </cell>
        </row>
        <row r="726">
          <cell r="H726" t="str">
            <v>97-2764-000</v>
          </cell>
          <cell r="I726" t="str">
            <v>MOBIL 6KG LPG CARTON - ITEMS</v>
          </cell>
        </row>
        <row r="727">
          <cell r="H727" t="str">
            <v>97-2773-000</v>
          </cell>
          <cell r="I727" t="str">
            <v>MOBIL LPG CYLINDER VALVES - ITEMS</v>
          </cell>
        </row>
        <row r="728">
          <cell r="H728" t="str">
            <v>97-2782-000</v>
          </cell>
          <cell r="I728" t="str">
            <v>MOBIL 6 KG GRILL &amp; CARTON - ITEMS</v>
          </cell>
        </row>
        <row r="729">
          <cell r="H729" t="str">
            <v>97-2791-000</v>
          </cell>
          <cell r="I729" t="str">
            <v>1X4 LITRE PLASTIC CAN  - ITEMS</v>
          </cell>
        </row>
        <row r="730">
          <cell r="H730" t="str">
            <v>97-2800-000</v>
          </cell>
          <cell r="I730" t="str">
            <v>200 ML PLASTIC CONTAINERS</v>
          </cell>
        </row>
        <row r="731">
          <cell r="H731" t="str">
            <v>97-3000-000</v>
          </cell>
          <cell r="I731" t="str">
            <v>PACKAGE SURCHARGE DRUMS- LITRE</v>
          </cell>
        </row>
        <row r="732">
          <cell r="H732" t="str">
            <v>97-4000-000</v>
          </cell>
          <cell r="I732" t="str">
            <v>PACKAGE SURCHARGE - PACKS</v>
          </cell>
        </row>
        <row r="733">
          <cell r="H733" t="str">
            <v>98-0045-000</v>
          </cell>
          <cell r="I733" t="str">
            <v>1200 X 20 RETREAD TYRES - ITEMS</v>
          </cell>
        </row>
        <row r="734">
          <cell r="H734" t="str">
            <v>98-0047-000</v>
          </cell>
          <cell r="I734" t="str">
            <v>3'' FUEL MECAIR VALVE</v>
          </cell>
        </row>
        <row r="735">
          <cell r="H735" t="str">
            <v>98-0048-000</v>
          </cell>
          <cell r="I735" t="str">
            <v>115LTS OIL DRAINING KIT</v>
          </cell>
        </row>
        <row r="736">
          <cell r="H736" t="str">
            <v>98-0049-000</v>
          </cell>
          <cell r="I736" t="str">
            <v>PNEUMATIC RASMA AURAS</v>
          </cell>
        </row>
        <row r="737">
          <cell r="H737" t="str">
            <v>98-0050-000</v>
          </cell>
          <cell r="I737" t="str">
            <v>OIL DRUM PUMP</v>
          </cell>
        </row>
        <row r="738">
          <cell r="H738" t="str">
            <v>98-0051-000</v>
          </cell>
          <cell r="I738" t="str">
            <v>GREASE PUMP S/H</v>
          </cell>
        </row>
        <row r="739">
          <cell r="H739" t="str">
            <v>98-0052-000</v>
          </cell>
          <cell r="I739" t="str">
            <v>J.C. CARTER HOSE END PRES - ITEMS</v>
          </cell>
        </row>
        <row r="740">
          <cell r="H740" t="str">
            <v>98-0053-000</v>
          </cell>
          <cell r="I740" t="str">
            <v>CD 70 MONO PMP S/H</v>
          </cell>
        </row>
        <row r="741">
          <cell r="H741" t="str">
            <v>98-0054-000</v>
          </cell>
          <cell r="I741" t="str">
            <v>CD 60 MONO PMP S/H</v>
          </cell>
        </row>
        <row r="742">
          <cell r="H742" t="str">
            <v>98-0055-000</v>
          </cell>
          <cell r="I742" t="str">
            <v>CD 40 MONO PMP S/H</v>
          </cell>
        </row>
        <row r="743">
          <cell r="H743" t="str">
            <v>98-0056-000</v>
          </cell>
          <cell r="I743" t="str">
            <v>3.0 HP COMPRESSOR S/H</v>
          </cell>
        </row>
        <row r="744">
          <cell r="H744" t="str">
            <v>98-0057-000</v>
          </cell>
          <cell r="I744" t="str">
            <v>ONE DOOR SHILLER FRIDGE S/H</v>
          </cell>
        </row>
        <row r="745">
          <cell r="H745" t="str">
            <v>98-0058-000</v>
          </cell>
          <cell r="I745" t="str">
            <v>TWO DOOR SHILLER FRIDGE S/H</v>
          </cell>
        </row>
        <row r="746">
          <cell r="H746" t="str">
            <v>98-0059-000</v>
          </cell>
          <cell r="I746" t="str">
            <v>HOT DOG STANDS</v>
          </cell>
        </row>
        <row r="747">
          <cell r="H747" t="str">
            <v>98-0060-000</v>
          </cell>
          <cell r="I747" t="str">
            <v>NEW MICHELIN TYRES - ITEMS</v>
          </cell>
        </row>
        <row r="748">
          <cell r="H748" t="str">
            <v>98-0061-000</v>
          </cell>
          <cell r="I748" t="str">
            <v>1 METER WHITE BARRIERS</v>
          </cell>
        </row>
        <row r="749">
          <cell r="H749" t="str">
            <v>98-0062-000</v>
          </cell>
          <cell r="I749" t="str">
            <v>SERVICE STN GIFT BOARDS</v>
          </cell>
        </row>
        <row r="750">
          <cell r="H750" t="str">
            <v>98-0063-000</v>
          </cell>
          <cell r="I750" t="str">
            <v>HYDRAULIC LIFT (PARKLANDS)</v>
          </cell>
        </row>
        <row r="751">
          <cell r="H751" t="str">
            <v>98-0064-000</v>
          </cell>
          <cell r="I751" t="str">
            <v>OSR ENGINE</v>
          </cell>
        </row>
        <row r="752">
          <cell r="H752" t="str">
            <v>98-0065-000</v>
          </cell>
          <cell r="I752" t="str">
            <v>OSR SUCKING UNIT</v>
          </cell>
        </row>
        <row r="753">
          <cell r="H753" t="str">
            <v>98-0070-000</v>
          </cell>
          <cell r="I753" t="str">
            <v>OSR REPAIR KIT BOX</v>
          </cell>
        </row>
        <row r="754">
          <cell r="H754" t="str">
            <v>98-0071-000</v>
          </cell>
          <cell r="I754" t="str">
            <v>LPG FILLING HEAD VALVE</v>
          </cell>
        </row>
        <row r="755">
          <cell r="H755" t="str">
            <v>98-0072-000</v>
          </cell>
          <cell r="I755" t="str">
            <v>LPG CYLINDER CAGE</v>
          </cell>
        </row>
        <row r="756">
          <cell r="H756" t="str">
            <v>98-0073-000</v>
          </cell>
          <cell r="I756" t="str">
            <v>LIFE SAVER CONES</v>
          </cell>
        </row>
        <row r="757">
          <cell r="H757" t="str">
            <v>98-0074-000</v>
          </cell>
          <cell r="I757" t="str">
            <v>2 TON LPG TANK S/H</v>
          </cell>
        </row>
        <row r="758">
          <cell r="H758" t="str">
            <v>98-0075-000</v>
          </cell>
          <cell r="I758" t="str">
            <v>3/4 TON LPG TANK S/H</v>
          </cell>
        </row>
        <row r="759">
          <cell r="H759" t="str">
            <v>98-0076-000</v>
          </cell>
          <cell r="I759" t="str">
            <v>10000 LTS AG TANKS NEW</v>
          </cell>
        </row>
        <row r="760">
          <cell r="H760" t="str">
            <v>98-0077-000</v>
          </cell>
          <cell r="I760" t="str">
            <v>15,000 LTS AG TANKS NEW</v>
          </cell>
        </row>
        <row r="761">
          <cell r="H761" t="str">
            <v>98-0078-000</v>
          </cell>
          <cell r="I761" t="str">
            <v>GEAR BOX FILTER</v>
          </cell>
        </row>
        <row r="762">
          <cell r="H762" t="str">
            <v>98-0079-000</v>
          </cell>
          <cell r="I762" t="str">
            <v>LOADING ARM LINKS</v>
          </cell>
        </row>
        <row r="763">
          <cell r="H763" t="str">
            <v>98-0080-000</v>
          </cell>
          <cell r="I763" t="str">
            <v>6'' GATE VALVES</v>
          </cell>
        </row>
        <row r="764">
          <cell r="H764" t="str">
            <v>98-0081-000</v>
          </cell>
          <cell r="I764" t="str">
            <v>8'' GATE VALVES</v>
          </cell>
        </row>
        <row r="765">
          <cell r="H765" t="str">
            <v>98-0082-000</v>
          </cell>
          <cell r="I765" t="str">
            <v>TANK GAUGES COMPLETE WITH KITS</v>
          </cell>
        </row>
        <row r="766">
          <cell r="H766" t="str">
            <v>98-0083-000</v>
          </cell>
          <cell r="I766" t="str">
            <v>TANK PRESSURE / VACCUM VENT</v>
          </cell>
        </row>
        <row r="767">
          <cell r="H767" t="str">
            <v>98-0084-000</v>
          </cell>
          <cell r="I767" t="str">
            <v>AIR GAUGE S/H</v>
          </cell>
        </row>
        <row r="768">
          <cell r="H768" t="str">
            <v>98-0085-000</v>
          </cell>
          <cell r="I768" t="str">
            <v>AIR HOSE FOR PNEUMATIC OIL PUMPS</v>
          </cell>
        </row>
        <row r="769">
          <cell r="H769" t="str">
            <v>98-0086-000</v>
          </cell>
          <cell r="I769" t="str">
            <v>COALESCER ELEMENTS CA 33 - ITEMS</v>
          </cell>
        </row>
        <row r="770">
          <cell r="H770" t="str">
            <v>98-0087-000</v>
          </cell>
          <cell r="I770" t="str">
            <v>SMITH METER</v>
          </cell>
        </row>
        <row r="771">
          <cell r="H771" t="str">
            <v>98-0088-000</v>
          </cell>
          <cell r="I771" t="str">
            <v>SMITH METER TOTALIZERS</v>
          </cell>
        </row>
        <row r="772">
          <cell r="H772" t="str">
            <v>98-0089-000</v>
          </cell>
          <cell r="I772" t="str">
            <v>L &amp; T PUMP S/H</v>
          </cell>
        </row>
        <row r="773">
          <cell r="H773" t="str">
            <v>98-0090-000</v>
          </cell>
          <cell r="I773" t="str">
            <v>WORTHINGTON SIMPSON 3D4</v>
          </cell>
        </row>
        <row r="774">
          <cell r="H774" t="str">
            <v>98-0091-000</v>
          </cell>
          <cell r="I774" t="str">
            <v>PUMPS S/H</v>
          </cell>
        </row>
        <row r="775">
          <cell r="H775" t="str">
            <v>98-0092-000</v>
          </cell>
          <cell r="I775" t="str">
            <v>MCAIR ACTUTOR VALVE</v>
          </cell>
        </row>
        <row r="776">
          <cell r="H776" t="str">
            <v>98-0093-000</v>
          </cell>
          <cell r="I776" t="str">
            <v>ELECTRICAL MOTORS 5.5 HP</v>
          </cell>
        </row>
        <row r="777">
          <cell r="H777" t="str">
            <v>98-0094-000</v>
          </cell>
          <cell r="I777" t="str">
            <v>ELECTRICAL MOTORS 10 HP</v>
          </cell>
        </row>
        <row r="778">
          <cell r="H778" t="str">
            <v>98-0095-000</v>
          </cell>
          <cell r="I778" t="str">
            <v>SAFE EX MOBIL LONGONOT</v>
          </cell>
        </row>
        <row r="779">
          <cell r="H779" t="str">
            <v>98-0096-000</v>
          </cell>
          <cell r="I779" t="str">
            <v>5.5 HP INGERSOL RAND COMPRESSOR</v>
          </cell>
        </row>
        <row r="780">
          <cell r="H780" t="str">
            <v>98-0097-000</v>
          </cell>
          <cell r="I780" t="str">
            <v>OIL METERS S/H</v>
          </cell>
        </row>
        <row r="781">
          <cell r="H781" t="str">
            <v>98-0098-000</v>
          </cell>
          <cell r="I781" t="str">
            <v>RIM FOR MICHELIN TYRES</v>
          </cell>
        </row>
        <row r="782">
          <cell r="H782" t="str">
            <v>98-0099-000</v>
          </cell>
          <cell r="I782" t="str">
            <v>445/65 22.5 MICHELIN TYRES</v>
          </cell>
        </row>
        <row r="783">
          <cell r="H783" t="str">
            <v>98-0100-000</v>
          </cell>
          <cell r="I783" t="str">
            <v>292/80 22.5 MICHELIN TYRES</v>
          </cell>
        </row>
        <row r="784">
          <cell r="H784" t="str">
            <v>98-0101-000</v>
          </cell>
          <cell r="I784" t="str">
            <v>OIL REELS OLD</v>
          </cell>
        </row>
        <row r="785">
          <cell r="H785" t="str">
            <v>98-0102-000</v>
          </cell>
          <cell r="I785" t="str">
            <v>SEPARATORS ELEMENTS 506364 - ITEMS</v>
          </cell>
        </row>
        <row r="786">
          <cell r="H786" t="str">
            <v>98-0103-000</v>
          </cell>
          <cell r="I786" t="str">
            <v>TIE ROD ENDS</v>
          </cell>
        </row>
        <row r="787">
          <cell r="H787" t="str">
            <v>98-0104-000</v>
          </cell>
          <cell r="I787" t="str">
            <v>WAYNE PUMP PANELS</v>
          </cell>
        </row>
        <row r="788">
          <cell r="H788" t="str">
            <v>98-0110-000</v>
          </cell>
          <cell r="I788" t="str">
            <v>FUELLING METER CARBON - ITEMS</v>
          </cell>
        </row>
        <row r="789">
          <cell r="H789" t="str">
            <v>98-0115-000</v>
          </cell>
          <cell r="I789" t="str">
            <v>OIL PUMP S/H</v>
          </cell>
        </row>
        <row r="790">
          <cell r="H790" t="str">
            <v>98-0116-000</v>
          </cell>
          <cell r="I790" t="str">
            <v>CASH REGISTER</v>
          </cell>
        </row>
        <row r="791">
          <cell r="H791" t="str">
            <v>98-0117-000</v>
          </cell>
          <cell r="I791" t="str">
            <v>COUNTER HEADS S/H</v>
          </cell>
        </row>
        <row r="792">
          <cell r="H792" t="str">
            <v>98-0151-000</v>
          </cell>
          <cell r="I792" t="str">
            <v>FUELLING NOZZLE BUFFER - ITEMS</v>
          </cell>
        </row>
        <row r="793">
          <cell r="H793" t="str">
            <v>98-0169-000</v>
          </cell>
          <cell r="I793" t="str">
            <v>FUELLING NOZZLE SEALS - ITEMS</v>
          </cell>
        </row>
        <row r="794">
          <cell r="H794" t="str">
            <v>98-0177-000</v>
          </cell>
          <cell r="I794" t="str">
            <v>FUELLING NOZZLE VALVES - ITEMS</v>
          </cell>
        </row>
        <row r="795">
          <cell r="H795" t="str">
            <v>98-0185-000</v>
          </cell>
          <cell r="I795" t="str">
            <v>FUELLING NOZZLE SCREENS - ITEMS</v>
          </cell>
        </row>
        <row r="796">
          <cell r="H796" t="str">
            <v>98-0193-000</v>
          </cell>
          <cell r="I796" t="str">
            <v>VELCON MONITOR ELEMENTS - ITEMS</v>
          </cell>
        </row>
        <row r="797">
          <cell r="H797" t="str">
            <v>98-0201-000</v>
          </cell>
          <cell r="I797" t="str">
            <v>ZRB 38J SPOUT ASSEMBLY - ITEMS</v>
          </cell>
        </row>
        <row r="798">
          <cell r="H798" t="str">
            <v>98-0219-000</v>
          </cell>
          <cell r="I798" t="str">
            <v>SPIRAL GEARS - ITEMS</v>
          </cell>
        </row>
        <row r="799">
          <cell r="H799" t="str">
            <v>98-0227-000</v>
          </cell>
          <cell r="I799" t="str">
            <v>SHAFT SPIRAL PINIONS - ITEMS</v>
          </cell>
        </row>
        <row r="800">
          <cell r="H800" t="str">
            <v>98-0235-000</v>
          </cell>
          <cell r="I800" t="str">
            <v>IMPELLERS - ITEMS</v>
          </cell>
        </row>
        <row r="801">
          <cell r="H801" t="str">
            <v>98-0250-000</v>
          </cell>
          <cell r="I801" t="str">
            <v>IMPELLER PRIMING - ITEMS</v>
          </cell>
        </row>
        <row r="802">
          <cell r="H802" t="str">
            <v>98-0268-000</v>
          </cell>
          <cell r="I802" t="str">
            <v>BRAKE LININGS - ITEMS</v>
          </cell>
        </row>
        <row r="803">
          <cell r="H803" t="str">
            <v>98-0292-000</v>
          </cell>
          <cell r="I803" t="str">
            <v>VELCON SEPARATORS - ITEMS</v>
          </cell>
        </row>
        <row r="804">
          <cell r="H804" t="str">
            <v>98-0334-000</v>
          </cell>
          <cell r="I804" t="str">
            <v>POWER TAKE OFF GEAR BOXES - ITEMS</v>
          </cell>
        </row>
        <row r="805">
          <cell r="H805" t="str">
            <v>98-0383-000</v>
          </cell>
          <cell r="I805" t="str">
            <v>BEARING PART NO 3222223 - ITEMS</v>
          </cell>
        </row>
        <row r="806">
          <cell r="H806" t="str">
            <v>98-0425-000</v>
          </cell>
          <cell r="I806" t="str">
            <v>2.5' FILLING HOSE - ITEMS</v>
          </cell>
        </row>
        <row r="807">
          <cell r="H807" t="str">
            <v>98-0433-000</v>
          </cell>
          <cell r="I807" t="str">
            <v>ONE US GALLON CONTAINERS - ITEMS</v>
          </cell>
        </row>
        <row r="808">
          <cell r="H808" t="str">
            <v>98-0441-000</v>
          </cell>
          <cell r="I808" t="str">
            <v>1200 X 20 NEW TYRES - ITEMS</v>
          </cell>
        </row>
        <row r="809">
          <cell r="H809" t="str">
            <v>98-0458-000</v>
          </cell>
          <cell r="I809" t="str">
            <v>DUST CAP ASSY PT NO 41778 - ITEMS</v>
          </cell>
        </row>
        <row r="810">
          <cell r="H810" t="str">
            <v>98-0524-000</v>
          </cell>
          <cell r="I810" t="str">
            <v>OPW TYPE 11 A AUTO. NOZZL - ITEMS</v>
          </cell>
        </row>
        <row r="811">
          <cell r="H811" t="str">
            <v>98-0526-000</v>
          </cell>
          <cell r="I811" t="str">
            <v>GREASE BUCKETS - ITEM</v>
          </cell>
        </row>
        <row r="812">
          <cell r="H812" t="str">
            <v>98-0527-000</v>
          </cell>
          <cell r="I812" t="str">
            <v>COMPUTER UPS</v>
          </cell>
        </row>
        <row r="813">
          <cell r="H813" t="str">
            <v>98-0528-000</v>
          </cell>
          <cell r="I813" t="str">
            <v>GILBACO COMMERCIAL PUMPS (S/H)</v>
          </cell>
        </row>
        <row r="814">
          <cell r="H814" t="str">
            <v>98-0533-000</v>
          </cell>
          <cell r="I814" t="str">
            <v>L.P. GAS TANK THERMOMETORS - ITEMS</v>
          </cell>
        </row>
        <row r="815">
          <cell r="H815" t="str">
            <v>98-0534-000</v>
          </cell>
          <cell r="I815" t="str">
            <v>20 M RABON DIPPING TAPE</v>
          </cell>
        </row>
        <row r="816">
          <cell r="H816" t="str">
            <v>98-0535-000</v>
          </cell>
          <cell r="I816" t="str">
            <v>GAMMON PRESSURE DIFF. GAUGE</v>
          </cell>
        </row>
        <row r="817">
          <cell r="H817" t="str">
            <v>98-0536-000</v>
          </cell>
          <cell r="I817" t="str">
            <v>FIAT REFUELLER OIL SEALS SIZE 105</v>
          </cell>
        </row>
        <row r="818">
          <cell r="H818" t="str">
            <v>98-0537-000</v>
          </cell>
          <cell r="I818" t="str">
            <v>CARTER GROUND FUELING COMPLER</v>
          </cell>
        </row>
        <row r="819">
          <cell r="H819" t="str">
            <v>98-0538-000</v>
          </cell>
          <cell r="I819" t="str">
            <v>VELCON COALESCER FILTERS (SO614C)</v>
          </cell>
        </row>
        <row r="820">
          <cell r="H820" t="str">
            <v>98-0539-000</v>
          </cell>
          <cell r="I820" t="str">
            <v>VELCON FILTERS (CDF 220K)</v>
          </cell>
        </row>
        <row r="821">
          <cell r="H821" t="str">
            <v>98-0540-000</v>
          </cell>
          <cell r="I821" t="str">
            <v>AQUACON MONITORS (ACI 63301FC)</v>
          </cell>
        </row>
        <row r="822">
          <cell r="H822" t="str">
            <v>98-0541-000</v>
          </cell>
          <cell r="I822" t="str">
            <v>COALESCER ELEMENT (1-63887TB)</v>
          </cell>
        </row>
        <row r="823">
          <cell r="H823" t="str">
            <v>98-0542-000</v>
          </cell>
          <cell r="I823" t="str">
            <v>NEOPRENE RUBBER HOSE - ITEMS</v>
          </cell>
        </row>
        <row r="824">
          <cell r="H824" t="str">
            <v>98-0543-000</v>
          </cell>
          <cell r="I824" t="str">
            <v>COALESCER ELEMENT (1-64487TB)</v>
          </cell>
        </row>
        <row r="825">
          <cell r="H825" t="str">
            <v>98-0551-000</v>
          </cell>
          <cell r="I825" t="str">
            <v>OFFMEC GREEN OIL BUCKET - ITEMS</v>
          </cell>
        </row>
        <row r="826">
          <cell r="H826" t="str">
            <v>98-0560-000</v>
          </cell>
          <cell r="I826" t="str">
            <v>ORIM OIL BUCKETS - ITEMS</v>
          </cell>
        </row>
        <row r="827">
          <cell r="H827" t="str">
            <v>98-0579-000</v>
          </cell>
          <cell r="I827" t="str">
            <v>BAELZ RED GEAR OIL BUCKET - ITEMS</v>
          </cell>
        </row>
        <row r="828">
          <cell r="H828" t="str">
            <v>98-0588-000</v>
          </cell>
          <cell r="I828" t="str">
            <v>RED OIL BUCKETS - ITEMS</v>
          </cell>
        </row>
        <row r="829">
          <cell r="H829" t="str">
            <v>98-0597-000</v>
          </cell>
          <cell r="I829" t="str">
            <v>OIL REELS - ITEMS</v>
          </cell>
        </row>
        <row r="830">
          <cell r="H830" t="str">
            <v>98-0606-000</v>
          </cell>
          <cell r="I830" t="str">
            <v>GREASE REELS - ITEMS</v>
          </cell>
        </row>
        <row r="831">
          <cell r="H831" t="str">
            <v>98-0607-000</v>
          </cell>
          <cell r="I831" t="str">
            <v>WAYNE DUAL PUMPS (S/H)</v>
          </cell>
        </row>
        <row r="832">
          <cell r="H832" t="str">
            <v>98-0610-000</v>
          </cell>
          <cell r="I832" t="str">
            <v>GILBARCO PUMP PANELS</v>
          </cell>
        </row>
        <row r="833">
          <cell r="H833" t="str">
            <v>98-0615-000</v>
          </cell>
          <cell r="I833" t="str">
            <v>PCL AIR GAUGES WITH HOSE - ITEMS</v>
          </cell>
        </row>
        <row r="834">
          <cell r="H834" t="str">
            <v>98-0624-000</v>
          </cell>
          <cell r="I834" t="str">
            <v>WATER REELS - ITEMS</v>
          </cell>
        </row>
        <row r="835">
          <cell r="H835" t="str">
            <v>98-0633-000</v>
          </cell>
          <cell r="I835" t="str">
            <v>PNEUMATIC ORION DRUM PUMP - ITEMS</v>
          </cell>
        </row>
        <row r="836">
          <cell r="H836" t="str">
            <v>98-0642-000</v>
          </cell>
          <cell r="I836" t="str">
            <v>TECALMIT DRUM OIL PUMPS - ITEMS</v>
          </cell>
        </row>
        <row r="837">
          <cell r="H837" t="str">
            <v>98-0651-000</v>
          </cell>
          <cell r="I837" t="str">
            <v>MAJOR ID SIGN FACES - ITEMS</v>
          </cell>
        </row>
        <row r="838">
          <cell r="H838" t="str">
            <v>98-0660-000</v>
          </cell>
          <cell r="I838" t="str">
            <v>WAYNE PUMPS - ITEMS</v>
          </cell>
        </row>
        <row r="839">
          <cell r="H839" t="str">
            <v>98-0679-000</v>
          </cell>
          <cell r="I839" t="str">
            <v>RED SINGLE POLE WING SPRD - ITEMS</v>
          </cell>
        </row>
        <row r="840">
          <cell r="H840" t="str">
            <v>98-0688-000</v>
          </cell>
          <cell r="I840" t="str">
            <v>SINGLE POLE DIESEL SPREAD - ITEMS</v>
          </cell>
        </row>
        <row r="841">
          <cell r="H841" t="str">
            <v>98-0697-000</v>
          </cell>
          <cell r="I841" t="str">
            <v>MD 60 MONO PUMP - ITEMS</v>
          </cell>
        </row>
        <row r="842">
          <cell r="H842" t="str">
            <v>98-0706-000</v>
          </cell>
          <cell r="I842" t="str">
            <v>MOBIL OIL DRAIN UNITS - ITEMS</v>
          </cell>
        </row>
        <row r="843">
          <cell r="H843" t="str">
            <v>98-0715-000</v>
          </cell>
          <cell r="I843" t="str">
            <v>TECALMIT OIL METERS - ITEMS</v>
          </cell>
        </row>
        <row r="844">
          <cell r="H844" t="str">
            <v>98-0724-000</v>
          </cell>
          <cell r="I844" t="str">
            <v>SMITH METER - ITEMS</v>
          </cell>
        </row>
        <row r="845">
          <cell r="H845" t="str">
            <v>98-0733-000</v>
          </cell>
          <cell r="I845" t="str">
            <v>MOBILE GREASE LUBRICATOR - ITEMS</v>
          </cell>
        </row>
        <row r="846">
          <cell r="H846" t="str">
            <v>98-0742-000</v>
          </cell>
          <cell r="I846" t="str">
            <v>WAYNE METER UNITS - ITEMS</v>
          </cell>
        </row>
        <row r="847">
          <cell r="H847" t="str">
            <v>98-0751-000</v>
          </cell>
          <cell r="I847" t="str">
            <v>10000 LITRE NEW TANKS  - ITEMS</v>
          </cell>
        </row>
        <row r="848">
          <cell r="H848" t="str">
            <v>98-0760-000</v>
          </cell>
          <cell r="I848" t="str">
            <v>15000 LITRE NEW TANKS  - ITEMS</v>
          </cell>
        </row>
        <row r="849">
          <cell r="H849" t="str">
            <v>98-0779-000</v>
          </cell>
          <cell r="I849" t="str">
            <v>22500 LITRE NEW TANKS  - ITEMS</v>
          </cell>
        </row>
        <row r="850">
          <cell r="H850" t="str">
            <v>98-0788-000</v>
          </cell>
          <cell r="I850" t="str">
            <v>1000 LITRE OLD TANK  - ITEMS</v>
          </cell>
        </row>
        <row r="851">
          <cell r="H851" t="str">
            <v>98-0797-000</v>
          </cell>
          <cell r="I851" t="str">
            <v>9000 LITRE NEW TANK - ITEMS</v>
          </cell>
        </row>
        <row r="852">
          <cell r="H852" t="str">
            <v>98-0806-000</v>
          </cell>
          <cell r="I852" t="str">
            <v>WASTE OIL DRAINER UNITS - ITEMS</v>
          </cell>
        </row>
        <row r="853">
          <cell r="H853" t="str">
            <v>98-0807-000</v>
          </cell>
          <cell r="I853" t="str">
            <v>FIRE SAND BUCKETS</v>
          </cell>
        </row>
        <row r="854">
          <cell r="H854" t="str">
            <v>98-0815-000</v>
          </cell>
          <cell r="I854" t="str">
            <v>OIL FILLERS - ITEMS</v>
          </cell>
        </row>
        <row r="855">
          <cell r="H855" t="str">
            <v>98-0824-000</v>
          </cell>
          <cell r="I855" t="str">
            <v>EMCO WHEATON MANHOLE COVR - ITEMS</v>
          </cell>
        </row>
        <row r="856">
          <cell r="H856" t="str">
            <v>98-0833-000</v>
          </cell>
          <cell r="I856" t="str">
            <v>2.5' HOSES  - ITEMS</v>
          </cell>
        </row>
        <row r="857">
          <cell r="H857" t="str">
            <v>98-0842-000</v>
          </cell>
          <cell r="I857" t="str">
            <v>EMCO WHEATON LD. ARM VALV - ITEMS</v>
          </cell>
        </row>
        <row r="858">
          <cell r="H858" t="str">
            <v>98-0851-000</v>
          </cell>
          <cell r="I858" t="str">
            <v>10' BLADE FLANGES  - ITEMS</v>
          </cell>
        </row>
        <row r="859">
          <cell r="H859" t="str">
            <v>98-0860-000</v>
          </cell>
          <cell r="I859" t="str">
            <v>700 X 15 NEW TYRES FORKLF  - ITEMS</v>
          </cell>
        </row>
        <row r="860">
          <cell r="H860" t="str">
            <v>98-0879-000</v>
          </cell>
          <cell r="I860" t="str">
            <v>700 X 12 NEW FORKLF TYRES  - ITEMS</v>
          </cell>
        </row>
        <row r="861">
          <cell r="H861" t="str">
            <v>98-0888-000</v>
          </cell>
          <cell r="I861" t="str">
            <v>600X9 FORK LIFT TYRES-NEW  - ITEMS</v>
          </cell>
        </row>
        <row r="862">
          <cell r="H862" t="str">
            <v>98-0897-000</v>
          </cell>
          <cell r="I862" t="str">
            <v>650X10FORK LIFT TYRES-NEW  - ITEMS</v>
          </cell>
        </row>
        <row r="863">
          <cell r="H863" t="str">
            <v>98-0906-000</v>
          </cell>
          <cell r="I863" t="str">
            <v>GILBARCO 1/3 HP MOTORS - ITEMS</v>
          </cell>
        </row>
        <row r="864">
          <cell r="H864" t="str">
            <v>98-0907-000</v>
          </cell>
          <cell r="I864" t="str">
            <v>FASTENERS (BOLTS WITH NUTS)</v>
          </cell>
        </row>
        <row r="865">
          <cell r="H865" t="str">
            <v>98-0908-000</v>
          </cell>
          <cell r="I865" t="str">
            <v>GEAR BOX OUTPUT SHAFT (VOLVO)</v>
          </cell>
        </row>
        <row r="866">
          <cell r="H866" t="str">
            <v>98-0909-000</v>
          </cell>
          <cell r="I866" t="str">
            <v>NEW TYRES - SIZE 10R*22.5</v>
          </cell>
        </row>
        <row r="867">
          <cell r="H867" t="str">
            <v>98-0910-000</v>
          </cell>
          <cell r="I867" t="str">
            <v>GILB</v>
          </cell>
        </row>
        <row r="868">
          <cell r="H868" t="str">
            <v>98-0915-000</v>
          </cell>
          <cell r="I868" t="str">
            <v>FRONT WHEEL BEARING - ITEMS</v>
          </cell>
        </row>
        <row r="869">
          <cell r="H869" t="str">
            <v>98-0924-000</v>
          </cell>
          <cell r="I869" t="str">
            <v>BEARING FOR LEYLAND TRUCK - ITEMS</v>
          </cell>
        </row>
        <row r="870">
          <cell r="H870" t="str">
            <v>98-0933-000</v>
          </cell>
          <cell r="I870" t="str">
            <v>CONTROL ARMS - ITEMS</v>
          </cell>
        </row>
        <row r="871">
          <cell r="H871" t="str">
            <v>98-0942-000</v>
          </cell>
          <cell r="I871" t="str">
            <v>BRAKE SHOES FOR TRUCKS - ITEMS</v>
          </cell>
        </row>
        <row r="872">
          <cell r="H872" t="str">
            <v>98-0951-000</v>
          </cell>
          <cell r="I872" t="str">
            <v>1000 X 20 RETREAD TYRES  - ITEMS</v>
          </cell>
        </row>
        <row r="873">
          <cell r="H873" t="str">
            <v>98-0960-000</v>
          </cell>
          <cell r="I873" t="str">
            <v>1100 X 20 NEW TYRES  - ITEMS</v>
          </cell>
        </row>
        <row r="874">
          <cell r="H874" t="str">
            <v>98-0979-000</v>
          </cell>
          <cell r="I874" t="str">
            <v>1200 X 20 NEW TYRES  - ITEMS</v>
          </cell>
        </row>
        <row r="875">
          <cell r="H875" t="str">
            <v>98-0988-000</v>
          </cell>
          <cell r="I875" t="str">
            <v>1000X20 NEW TYRES  - ITEMS</v>
          </cell>
        </row>
        <row r="876">
          <cell r="H876" t="str">
            <v>98-0997-000</v>
          </cell>
          <cell r="I876" t="str">
            <v>1100 X 20 RETREAD TYRES  - ITEMS</v>
          </cell>
        </row>
        <row r="877">
          <cell r="H877" t="str">
            <v>98-1006-000</v>
          </cell>
          <cell r="I877" t="str">
            <v>SAFETY HELMETS - ITEMS</v>
          </cell>
        </row>
        <row r="878">
          <cell r="H878" t="str">
            <v>98-1015-000</v>
          </cell>
          <cell r="I878" t="str">
            <v>STAINLESS STEEL BALL VALVE - ITEMS</v>
          </cell>
        </row>
        <row r="879">
          <cell r="H879" t="str">
            <v>98-1024-000</v>
          </cell>
          <cell r="I879" t="str">
            <v>100 X 2 NEW TUBES  - ITEMS</v>
          </cell>
        </row>
        <row r="880">
          <cell r="H880" t="str">
            <v>98-1033-000</v>
          </cell>
          <cell r="I880" t="str">
            <v>BRAKE DRUMS FOR TRAILERS - ITEMS</v>
          </cell>
        </row>
        <row r="881">
          <cell r="H881" t="str">
            <v>98-1042-000</v>
          </cell>
          <cell r="I881" t="str">
            <v>TRAILER HUBS - ITEMS</v>
          </cell>
        </row>
        <row r="882">
          <cell r="H882" t="str">
            <v>98-1051-000</v>
          </cell>
          <cell r="I882" t="str">
            <v>BRAKE ADJUSTERS - ITEMS</v>
          </cell>
        </row>
        <row r="883">
          <cell r="H883" t="str">
            <v>98-1060-000</v>
          </cell>
          <cell r="I883" t="str">
            <v>REAR VIEW MIRRORS - ITEMS</v>
          </cell>
        </row>
        <row r="884">
          <cell r="H884" t="str">
            <v>98-1079-000</v>
          </cell>
          <cell r="I884" t="str">
            <v>REVOLUTION COUNTERS - ITEMS</v>
          </cell>
        </row>
        <row r="885">
          <cell r="H885" t="str">
            <v>98-1088-000</v>
          </cell>
          <cell r="I885" t="str">
            <v>VOLVO TIMING SHIMS - ITEMS</v>
          </cell>
        </row>
        <row r="886">
          <cell r="H886" t="str">
            <v>98-1097-000</v>
          </cell>
          <cell r="I886" t="str">
            <v>FLASHER UNIT - ITEMS</v>
          </cell>
        </row>
        <row r="887">
          <cell r="H887" t="str">
            <v>98-1106-000</v>
          </cell>
          <cell r="I887" t="str">
            <v>WATER LEVEL SENSOR UNITS - ITEMS</v>
          </cell>
        </row>
        <row r="888">
          <cell r="H888" t="str">
            <v>98-1115-000</v>
          </cell>
          <cell r="I888" t="str">
            <v>CABIN SHOCK-ABSORBER - ITEMS</v>
          </cell>
        </row>
        <row r="889">
          <cell r="H889" t="str">
            <v>98-1124-000</v>
          </cell>
          <cell r="I889" t="str">
            <v>SHOCKS FOR VOLVO TRUCKS - ITEMS</v>
          </cell>
        </row>
        <row r="890">
          <cell r="H890" t="str">
            <v>98-1133-000</v>
          </cell>
          <cell r="I890" t="str">
            <v>HUB CAPS - ITEMS</v>
          </cell>
        </row>
        <row r="891">
          <cell r="H891" t="str">
            <v>98-1142-000</v>
          </cell>
          <cell r="I891" t="str">
            <v>HORN BULTONS - ITEMS</v>
          </cell>
        </row>
        <row r="892">
          <cell r="H892" t="str">
            <v>98-1151-000</v>
          </cell>
          <cell r="I892" t="str">
            <v>STOPER CABLES - ITEMS</v>
          </cell>
        </row>
        <row r="893">
          <cell r="H893" t="str">
            <v>98-1160-000</v>
          </cell>
          <cell r="I893" t="str">
            <v>INJECTOR NOZZLES - ITEMS</v>
          </cell>
        </row>
        <row r="894">
          <cell r="H894" t="str">
            <v>98-1179-000</v>
          </cell>
          <cell r="I894" t="str">
            <v>SELENOID VALVES - ITEMS</v>
          </cell>
        </row>
        <row r="895">
          <cell r="H895" t="str">
            <v>98-1188-000</v>
          </cell>
          <cell r="I895" t="str">
            <v>PUMP KITS - ITEMS</v>
          </cell>
        </row>
        <row r="896">
          <cell r="H896" t="str">
            <v>98-1197-000</v>
          </cell>
          <cell r="I896" t="str">
            <v>CYLINDER LINERS - ITEMS</v>
          </cell>
        </row>
        <row r="897">
          <cell r="H897" t="str">
            <v>98-1206-000</v>
          </cell>
          <cell r="I897" t="str">
            <v>FRONT END LIGHTS - ITEMS</v>
          </cell>
        </row>
        <row r="898">
          <cell r="H898" t="str">
            <v>98-1215-000</v>
          </cell>
          <cell r="I898" t="str">
            <v>MASTER CYLINDERS - ITEMS</v>
          </cell>
        </row>
        <row r="899">
          <cell r="H899" t="str">
            <v>98-1224-000</v>
          </cell>
          <cell r="I899" t="str">
            <v>TACHOGRAPH SENSORS - ITEMS</v>
          </cell>
        </row>
        <row r="900">
          <cell r="H900" t="str">
            <v>98-1233-000</v>
          </cell>
          <cell r="I900" t="str">
            <v>BRAKE BOOSTERS - ITEMS</v>
          </cell>
        </row>
        <row r="901">
          <cell r="H901" t="str">
            <v>98-1242-000</v>
          </cell>
          <cell r="I901" t="str">
            <v>GEAR BOX MOUNTINGS - ITEMS</v>
          </cell>
        </row>
        <row r="902">
          <cell r="H902" t="str">
            <v>98-1251-000</v>
          </cell>
          <cell r="I902" t="str">
            <v>CLUTCH CYL REPAIR KITS  - ITEMS</v>
          </cell>
        </row>
        <row r="903">
          <cell r="H903" t="str">
            <v>98-1260-000</v>
          </cell>
          <cell r="I903" t="str">
            <v>CIRCUIT BOARDS - ITEMS</v>
          </cell>
        </row>
        <row r="904">
          <cell r="H904" t="str">
            <v>98-1279-000</v>
          </cell>
          <cell r="I904" t="str">
            <v>CYLINDER HEAD GASKETS - ITEMS</v>
          </cell>
        </row>
        <row r="905">
          <cell r="H905" t="str">
            <v>98-1288-000</v>
          </cell>
          <cell r="I905" t="str">
            <v>CON-ROD BEARINGS - ITEMS</v>
          </cell>
        </row>
        <row r="906">
          <cell r="H906" t="str">
            <v>98-1297-000</v>
          </cell>
          <cell r="I906" t="str">
            <v>PISTON RINGS - ITEMS</v>
          </cell>
        </row>
        <row r="907">
          <cell r="H907" t="str">
            <v>98-1306-000</v>
          </cell>
          <cell r="I907" t="str">
            <v>BRAKE LININGS - ITEMS</v>
          </cell>
        </row>
        <row r="908">
          <cell r="H908" t="str">
            <v>98-1315-000</v>
          </cell>
          <cell r="I908" t="str">
            <v>ENGINE BRAKES - ITEMS</v>
          </cell>
        </row>
        <row r="909">
          <cell r="H909" t="str">
            <v>98-1324-000</v>
          </cell>
          <cell r="I909" t="str">
            <v>RADIATOR MOUNTINGS - ITEMS</v>
          </cell>
        </row>
        <row r="910">
          <cell r="H910" t="str">
            <v>98-1333-000</v>
          </cell>
          <cell r="I910" t="str">
            <v>CLUTCH PLATES - ITEMS</v>
          </cell>
        </row>
        <row r="911">
          <cell r="H911" t="str">
            <v>98-1342-000</v>
          </cell>
          <cell r="I911" t="str">
            <v>FUEL RETURN PIPES - ITEMS</v>
          </cell>
        </row>
        <row r="912">
          <cell r="H912" t="str">
            <v>98-1351-000</v>
          </cell>
          <cell r="I912" t="str">
            <v>FLEXIBLE EXHAUST - ITEMS</v>
          </cell>
        </row>
        <row r="913">
          <cell r="H913" t="str">
            <v>98-1360-000</v>
          </cell>
          <cell r="I913" t="str">
            <v>DOOR LOCKS ITEMS</v>
          </cell>
        </row>
        <row r="914">
          <cell r="H914" t="str">
            <v>98-1379-000</v>
          </cell>
          <cell r="I914" t="str">
            <v>DOOR HANDLES - ITEMS</v>
          </cell>
        </row>
        <row r="915">
          <cell r="H915" t="str">
            <v>98-1388-000</v>
          </cell>
          <cell r="I915" t="str">
            <v>TURBO HOUSINGS - ITEMS</v>
          </cell>
        </row>
        <row r="916">
          <cell r="H916" t="str">
            <v>98-1397-000</v>
          </cell>
          <cell r="I916" t="str">
            <v>TURBO DEFUSERS - ITEMS</v>
          </cell>
        </row>
        <row r="917">
          <cell r="H917" t="str">
            <v>98-1406-000</v>
          </cell>
          <cell r="I917" t="str">
            <v>RADIATOR HOSES - ITEMS</v>
          </cell>
        </row>
        <row r="918">
          <cell r="H918" t="str">
            <v>98-1415-000</v>
          </cell>
          <cell r="I918" t="str">
            <v>OVER-HAUL GASKET KITS - ITEMS</v>
          </cell>
        </row>
        <row r="919">
          <cell r="H919" t="str">
            <v>98-1424-000</v>
          </cell>
          <cell r="I919" t="str">
            <v>TRUCK GUAGES (PREAS.TEMP.) - ITEMS</v>
          </cell>
        </row>
        <row r="920">
          <cell r="H920" t="str">
            <v>98-1433-000</v>
          </cell>
          <cell r="I920" t="str">
            <v>RELAYS FOR TRUCKS - ITEMS</v>
          </cell>
        </row>
        <row r="921">
          <cell r="H921" t="str">
            <v>98-1442-000</v>
          </cell>
          <cell r="I921" t="str">
            <v>PROPELLER SHAFT UNIV.JOIN - ITEMS</v>
          </cell>
        </row>
        <row r="922">
          <cell r="H922" t="str">
            <v>98-1451-000</v>
          </cell>
          <cell r="I922" t="str">
            <v>SUMP GASKETS - ITEMS</v>
          </cell>
        </row>
        <row r="923">
          <cell r="H923" t="str">
            <v>98-1460-000</v>
          </cell>
          <cell r="I923" t="str">
            <v>CENTRE BEARINGS - ITEMS</v>
          </cell>
        </row>
        <row r="924">
          <cell r="H924" t="str">
            <v>98-1479-000</v>
          </cell>
          <cell r="I924" t="str">
            <v>OIL SEALS - ITEMS</v>
          </cell>
        </row>
        <row r="925">
          <cell r="H925" t="str">
            <v>98-1488-000</v>
          </cell>
          <cell r="I925" t="str">
            <v>FILLER CAPS - ITEMS</v>
          </cell>
        </row>
        <row r="926">
          <cell r="H926" t="str">
            <v>98-1497-000</v>
          </cell>
          <cell r="I926" t="str">
            <v>PROPLELLOR SCREWS - ITEMS</v>
          </cell>
        </row>
        <row r="927">
          <cell r="H927" t="str">
            <v>98-1506-000</v>
          </cell>
          <cell r="I927" t="str">
            <v>BRAKE CUM BUSHES - ITEMS</v>
          </cell>
        </row>
        <row r="928">
          <cell r="H928" t="str">
            <v>98-1507-000</v>
          </cell>
          <cell r="I928" t="str">
            <v>CONTROL HANDLE BUSHES-MALE</v>
          </cell>
        </row>
        <row r="929">
          <cell r="H929" t="str">
            <v>98-1508-000</v>
          </cell>
          <cell r="I929" t="str">
            <v>SWING JOINT RUBBERS</v>
          </cell>
        </row>
        <row r="930">
          <cell r="H930" t="str">
            <v>98-1509-000</v>
          </cell>
          <cell r="I930" t="str">
            <v>SWING JOINT RUBBERS</v>
          </cell>
        </row>
        <row r="931">
          <cell r="H931" t="str">
            <v>98-1510-000</v>
          </cell>
          <cell r="I931" t="str">
            <v>VACUUM BREATHERS</v>
          </cell>
        </row>
        <row r="932">
          <cell r="H932" t="str">
            <v>98-1511-000</v>
          </cell>
          <cell r="I932" t="str">
            <v>VALVE CAMS</v>
          </cell>
        </row>
        <row r="933">
          <cell r="H933" t="str">
            <v>98-1515-000</v>
          </cell>
          <cell r="I933" t="str">
            <v>ROLLER PINS - ITEMS</v>
          </cell>
        </row>
        <row r="934">
          <cell r="H934" t="str">
            <v>98-1524-000</v>
          </cell>
          <cell r="I934" t="str">
            <v>WIPER ARMS - ITEMS</v>
          </cell>
        </row>
        <row r="935">
          <cell r="H935" t="str">
            <v>98-1525-000</v>
          </cell>
          <cell r="I935" t="str">
            <v>LOADING ARM SPRINGS</v>
          </cell>
        </row>
        <row r="936">
          <cell r="H936" t="str">
            <v>98-1528-000</v>
          </cell>
          <cell r="I936" t="str">
            <v>TOP COVER GASKET</v>
          </cell>
        </row>
        <row r="937">
          <cell r="H937" t="str">
            <v>98-1529-000</v>
          </cell>
          <cell r="I937" t="str">
            <v>CONTROL HANDLE BUSHES - FEMALE</v>
          </cell>
        </row>
        <row r="938">
          <cell r="H938" t="str">
            <v>98-1533-000</v>
          </cell>
          <cell r="I938" t="str">
            <v>EXHAUST PIPES - ITEMS</v>
          </cell>
        </row>
        <row r="939">
          <cell r="H939" t="str">
            <v>98-1542-000</v>
          </cell>
          <cell r="I939" t="str">
            <v>3-WAY NIPPLES - ITEMS</v>
          </cell>
        </row>
        <row r="940">
          <cell r="H940" t="str">
            <v>98-1551-000</v>
          </cell>
          <cell r="I940" t="str">
            <v>TEST NIPPLES - ITEMS</v>
          </cell>
        </row>
        <row r="941">
          <cell r="H941" t="str">
            <v>98-1552-000</v>
          </cell>
          <cell r="I941" t="str">
            <v>STD CALIBRATOR GAS CONT.</v>
          </cell>
        </row>
        <row r="942">
          <cell r="H942" t="str">
            <v>98-1560-000</v>
          </cell>
          <cell r="I942" t="str">
            <v>INDUSTRIAL REGULATORS - ITEMS</v>
          </cell>
        </row>
        <row r="943">
          <cell r="H943" t="str">
            <v>98-1579-000</v>
          </cell>
          <cell r="I943" t="str">
            <v>GASKET SHELLACK - ITEMS</v>
          </cell>
        </row>
        <row r="944">
          <cell r="H944" t="str">
            <v>98-1588-000</v>
          </cell>
          <cell r="I944" t="str">
            <v>3' RELIEVE VALVE FOR TNK  - ITEMS</v>
          </cell>
        </row>
        <row r="945">
          <cell r="H945" t="str">
            <v>98-1597-000</v>
          </cell>
          <cell r="I945" t="str">
            <v>2' SHUT OFF VALVES  - ITEMS</v>
          </cell>
        </row>
        <row r="946">
          <cell r="H946" t="str">
            <v>98-1606-000</v>
          </cell>
          <cell r="I946" t="str">
            <v>MECHANICAL SEALS - ITEMS</v>
          </cell>
        </row>
        <row r="947">
          <cell r="H947" t="str">
            <v>98-1615-000</v>
          </cell>
          <cell r="I947" t="str">
            <v>CORKEN GAS PUMP STATOR - ITEMS</v>
          </cell>
        </row>
        <row r="948">
          <cell r="H948" t="str">
            <v>98-1624-000</v>
          </cell>
          <cell r="I948" t="str">
            <v>L.P.G. CYLINDER VALVES - ITEMS</v>
          </cell>
        </row>
        <row r="949">
          <cell r="H949" t="str">
            <v>98-1633-000</v>
          </cell>
          <cell r="I949" t="str">
            <v>2 ' DIAMETER MET. GASKET  - ITEMS</v>
          </cell>
        </row>
        <row r="950">
          <cell r="H950" t="str">
            <v>98-1642-000</v>
          </cell>
          <cell r="I950" t="str">
            <v>3' DIAMETER MET. GASKET  - ITEMS</v>
          </cell>
        </row>
        <row r="951">
          <cell r="H951" t="str">
            <v>98-1651-000</v>
          </cell>
          <cell r="I951" t="str">
            <v>4' DIAMETER MET. GASKET  - ITEMS</v>
          </cell>
        </row>
        <row r="952">
          <cell r="H952" t="str">
            <v>98-1660-000</v>
          </cell>
          <cell r="I952" t="str">
            <v>2' DIAMETER BISCUIT VALVES - ITEMS</v>
          </cell>
        </row>
        <row r="953">
          <cell r="H953" t="str">
            <v>98-1679-000</v>
          </cell>
          <cell r="I953" t="str">
            <v>3' DIAMETER MECAIR C.VALVE - ITEMS</v>
          </cell>
        </row>
        <row r="954">
          <cell r="H954" t="str">
            <v>98-1688-000</v>
          </cell>
          <cell r="I954" t="str">
            <v>3' DIAMETER BISCUIT VALVES - ITEMS</v>
          </cell>
        </row>
        <row r="955">
          <cell r="H955" t="str">
            <v>98-1697-000</v>
          </cell>
          <cell r="I955" t="str">
            <v>4' DIAMETER MECAIR VALVES - ITEMS</v>
          </cell>
        </row>
        <row r="956">
          <cell r="H956" t="str">
            <v>98-1706-000</v>
          </cell>
          <cell r="I956" t="str">
            <v>1.5' DIAMETER MECAIR VALVE - ITEMS</v>
          </cell>
        </row>
        <row r="957">
          <cell r="H957" t="str">
            <v>98-1715-000</v>
          </cell>
          <cell r="I957" t="str">
            <v>J.C. CARTER NOZZLE - ITEMS</v>
          </cell>
        </row>
        <row r="958">
          <cell r="H958" t="str">
            <v>98-1724-000</v>
          </cell>
          <cell r="I958" t="str">
            <v>4' COUPLER BUMPERS  - ITEMS</v>
          </cell>
        </row>
        <row r="959">
          <cell r="H959" t="str">
            <v>98-1733-000</v>
          </cell>
          <cell r="I959" t="str">
            <v>AIR BLOWER - ITEMS</v>
          </cell>
        </row>
        <row r="960">
          <cell r="H960" t="str">
            <v>98-1742-000</v>
          </cell>
          <cell r="I960" t="str">
            <v>2.5' SWIVEL ASSEMBLY  - ITEMS</v>
          </cell>
        </row>
        <row r="961">
          <cell r="H961" t="str">
            <v>98-1751-000</v>
          </cell>
          <cell r="I961" t="str">
            <v>COLLAR 2.5' WITH 2 RINGS - ITEMS</v>
          </cell>
        </row>
        <row r="962">
          <cell r="H962" t="str">
            <v>98-1760-000</v>
          </cell>
          <cell r="I962" t="str">
            <v>JABSCO PUMPS - ITEMS</v>
          </cell>
        </row>
        <row r="963">
          <cell r="H963" t="str">
            <v>98-1779-000</v>
          </cell>
          <cell r="I963" t="str">
            <v>4' SWING JOINT FOR H/S  - ITEMS</v>
          </cell>
        </row>
        <row r="964">
          <cell r="H964" t="str">
            <v>98-1788-000</v>
          </cell>
          <cell r="I964" t="str">
            <v>MESH STRAINER PN41767 - ITEMS</v>
          </cell>
        </row>
        <row r="965">
          <cell r="H965" t="str">
            <v>98-1797-000</v>
          </cell>
          <cell r="I965" t="str">
            <v>COMPLETE REGISTER ASSEMBL - ITEMS</v>
          </cell>
        </row>
        <row r="966">
          <cell r="H966" t="str">
            <v>98-1806-000</v>
          </cell>
          <cell r="I966" t="str">
            <v>4' INLET STRAINER FOR CHV  - ITEMS</v>
          </cell>
        </row>
        <row r="967">
          <cell r="H967" t="str">
            <v>98-1807-000</v>
          </cell>
          <cell r="I967" t="str">
            <v>OIL DRUM PUMP COVER</v>
          </cell>
        </row>
        <row r="968">
          <cell r="H968" t="str">
            <v>98-1808-000</v>
          </cell>
          <cell r="I968" t="str">
            <v>OIL LEAK TRAYS</v>
          </cell>
        </row>
        <row r="969">
          <cell r="H969" t="str">
            <v>98-1809-000</v>
          </cell>
          <cell r="I969" t="str">
            <v>CYLINDER HEAD PLUG</v>
          </cell>
        </row>
        <row r="970">
          <cell r="H970" t="str">
            <v>98-1810-000</v>
          </cell>
          <cell r="I970" t="str">
            <v>1/2'' OIL REEL HOSES</v>
          </cell>
        </row>
        <row r="971">
          <cell r="H971" t="str">
            <v>98-1815-000</v>
          </cell>
          <cell r="I971" t="str">
            <v>PRESSURE PILOT VALVES D F - ITEMS</v>
          </cell>
        </row>
        <row r="972">
          <cell r="H972" t="str">
            <v>98-1824-000</v>
          </cell>
          <cell r="I972" t="str">
            <v>BLOCKOUT DEVICE MODEL GTP1257 - ITEMS</v>
          </cell>
        </row>
        <row r="973">
          <cell r="H973" t="str">
            <v>98-1833-000</v>
          </cell>
          <cell r="I973" t="str">
            <v>VENT POST QD MODEL GTP 771 - ITEMS</v>
          </cell>
        </row>
        <row r="974">
          <cell r="H974" t="str">
            <v>98-1834-000</v>
          </cell>
          <cell r="I974" t="str">
            <v>GARSITE HOSE TESTER - ITEM</v>
          </cell>
        </row>
        <row r="975">
          <cell r="H975" t="str">
            <v>98-1835-000</v>
          </cell>
          <cell r="I975" t="str">
            <v>MATCHED MONITORS - ITEMS</v>
          </cell>
        </row>
        <row r="976">
          <cell r="H976" t="str">
            <v>98-1836-000</v>
          </cell>
          <cell r="I976" t="str">
            <v>BONDING CLAMPS</v>
          </cell>
        </row>
        <row r="977">
          <cell r="H977" t="str">
            <v>98-1837-000</v>
          </cell>
          <cell r="I977" t="str">
            <v>3'' BULK METER CALIBRATOR - ITEM</v>
          </cell>
        </row>
        <row r="978">
          <cell r="H978" t="str">
            <v>98-1838-000</v>
          </cell>
          <cell r="I978" t="str">
            <v>3'' BULK METER OISTER COVER - ITEM</v>
          </cell>
        </row>
        <row r="979">
          <cell r="H979" t="str">
            <v>98-1839-000</v>
          </cell>
          <cell r="I979" t="str">
            <v>1 * 2*2.5'' * 10' HOSE - ITEMS</v>
          </cell>
        </row>
        <row r="980">
          <cell r="H980" t="str">
            <v>98-1842-000</v>
          </cell>
          <cell r="I980" t="str">
            <v>CONDUCTIVITY MEASURING BRIDGE - ITEMS</v>
          </cell>
        </row>
        <row r="981">
          <cell r="H981" t="str">
            <v>98-1851-000</v>
          </cell>
          <cell r="I981" t="str">
            <v>BUMPER PT HO33622 - ITEMS</v>
          </cell>
        </row>
        <row r="982">
          <cell r="H982" t="str">
            <v>98-1860-000</v>
          </cell>
          <cell r="I982" t="str">
            <v>MATCHED WIGHT MONITOR - ITEMS</v>
          </cell>
        </row>
        <row r="983">
          <cell r="H983" t="str">
            <v>98-1879-000</v>
          </cell>
          <cell r="I983" t="str">
            <v>OPW SEMI AUTO NOZZLES - ITEMS</v>
          </cell>
        </row>
        <row r="984">
          <cell r="H984" t="str">
            <v>98-1888-000</v>
          </cell>
          <cell r="I984" t="str">
            <v>NOZZLE SPOUT SUB-ASSEMBLY - ITEMS</v>
          </cell>
        </row>
        <row r="985">
          <cell r="H985" t="str">
            <v>98-1897-000</v>
          </cell>
          <cell r="I985" t="str">
            <v>GREASE HOSES - ITEMS</v>
          </cell>
        </row>
        <row r="986">
          <cell r="H986" t="str">
            <v>98-1906-000</v>
          </cell>
          <cell r="I986" t="str">
            <v>GREASE GUN CONTROL VALVES - ITEMS</v>
          </cell>
        </row>
        <row r="987">
          <cell r="H987" t="str">
            <v>98-1915-000</v>
          </cell>
          <cell r="I987" t="str">
            <v>GREASE PUMP BODIES - ITEMS</v>
          </cell>
        </row>
        <row r="988">
          <cell r="H988" t="str">
            <v>98-1924-000</v>
          </cell>
          <cell r="I988" t="str">
            <v>PUMP AIR SEPARATORS - ITEMS</v>
          </cell>
        </row>
        <row r="989">
          <cell r="H989" t="str">
            <v>98-1933-000</v>
          </cell>
          <cell r="I989" t="str">
            <v>COMPUTER SIDE FRAME - ITEMS</v>
          </cell>
        </row>
        <row r="990">
          <cell r="H990" t="str">
            <v>98-1942-000</v>
          </cell>
          <cell r="I990" t="str">
            <v>PUMP DIAL FRAMES - ITEMS</v>
          </cell>
        </row>
        <row r="991">
          <cell r="H991" t="str">
            <v>98-1951-000</v>
          </cell>
          <cell r="I991" t="str">
            <v>CD 40 MONO PUMP STATOR - ITEMS</v>
          </cell>
        </row>
        <row r="992">
          <cell r="H992" t="str">
            <v>98-1960-000</v>
          </cell>
          <cell r="I992" t="str">
            <v>SEMI ROTARY PUMP ROTORS - ITEMS</v>
          </cell>
        </row>
        <row r="993">
          <cell r="H993" t="str">
            <v>98-1979-000</v>
          </cell>
          <cell r="I993" t="str">
            <v>BUILDING WALL SIGN PANEL - ITEMS</v>
          </cell>
        </row>
        <row r="994">
          <cell r="H994" t="str">
            <v>98-1988-000</v>
          </cell>
          <cell r="I994" t="str">
            <v>CANOPY FASCIA ESSO PANEL - ITEMS</v>
          </cell>
        </row>
        <row r="995">
          <cell r="H995" t="str">
            <v>98-1997-000</v>
          </cell>
          <cell r="I995" t="str">
            <v>BUILDING WALL SIGN RED PN - ITEMS</v>
          </cell>
        </row>
        <row r="996">
          <cell r="H996" t="str">
            <v>98-2006-000</v>
          </cell>
          <cell r="I996" t="str">
            <v>WHITE FIELD SPREADER PAN. - ITEMS</v>
          </cell>
        </row>
        <row r="997">
          <cell r="H997" t="str">
            <v>98-2007-000</v>
          </cell>
          <cell r="I997" t="str">
            <v>1'' FUEL DELIVERY HOSE</v>
          </cell>
        </row>
        <row r="998">
          <cell r="H998" t="str">
            <v>98-2008-000</v>
          </cell>
          <cell r="I998" t="str">
            <v>3/4'' FUEL DELIVERY HOSE</v>
          </cell>
        </row>
        <row r="999">
          <cell r="H999" t="str">
            <v>98-2015-000</v>
          </cell>
          <cell r="I999" t="str">
            <v>3/4' X 12' FUEL DEL. HOSE  - ITEMS</v>
          </cell>
        </row>
        <row r="1000">
          <cell r="H1000" t="str">
            <v>98-2024-000</v>
          </cell>
          <cell r="I1000" t="str">
            <v>60' X 3/4' PET. DEL HOSES  - ITEMS</v>
          </cell>
        </row>
        <row r="1001">
          <cell r="H1001" t="str">
            <v>98-2033-000</v>
          </cell>
          <cell r="I1001" t="str">
            <v>TWIN AIR GAUGE HOSES - ITEMS</v>
          </cell>
        </row>
        <row r="1002">
          <cell r="H1002" t="str">
            <v>98-2042-000</v>
          </cell>
          <cell r="I1002" t="str">
            <v>FLOAT ASSEMBLIES - ITEMS</v>
          </cell>
        </row>
        <row r="1003">
          <cell r="H1003" t="str">
            <v>98-2051-000</v>
          </cell>
          <cell r="I1003" t="str">
            <v>NEW GILBARCO METERING UNT - ITEMS</v>
          </cell>
        </row>
        <row r="1004">
          <cell r="H1004" t="str">
            <v>98-2060-000</v>
          </cell>
          <cell r="I1004" t="str">
            <v>NEW GILBARCO PUMPING UNTS - ITEMS</v>
          </cell>
        </row>
        <row r="1005">
          <cell r="H1005" t="str">
            <v>98-2070-000</v>
          </cell>
          <cell r="I1005" t="str">
            <v>GILBARCO ELECTRIC PUMP</v>
          </cell>
        </row>
        <row r="1006">
          <cell r="H1006" t="str">
            <v>98-2079-000</v>
          </cell>
          <cell r="I1006" t="str">
            <v>OIL NON DRIP NOZZLE TCLMT - ITEMS</v>
          </cell>
        </row>
        <row r="1007">
          <cell r="H1007" t="str">
            <v>98-2088-000</v>
          </cell>
          <cell r="I1007" t="str">
            <v>GILBARCO TRIM PUMP PANEL - ITEMS</v>
          </cell>
        </row>
        <row r="1008">
          <cell r="H1008" t="str">
            <v>98-2097-000</v>
          </cell>
          <cell r="I1008" t="str">
            <v>AUTOMATIC VALUE P.NO.9961 - ITEMS</v>
          </cell>
        </row>
        <row r="1009">
          <cell r="H1009" t="str">
            <v>98-2106-000</v>
          </cell>
          <cell r="I1009" t="str">
            <v>COMPUTER ASSY NO. KG-100 - ITEMS</v>
          </cell>
        </row>
        <row r="1010">
          <cell r="H1010" t="str">
            <v>98-2115-000</v>
          </cell>
          <cell r="I1010" t="str">
            <v>TOTALS KEY SWITCH KG-105 - ITEMS</v>
          </cell>
        </row>
        <row r="1011">
          <cell r="H1011" t="str">
            <v>98-2124-000</v>
          </cell>
          <cell r="I1011" t="str">
            <v>DISPLAY ASSY KG - 124 - ITEMS</v>
          </cell>
        </row>
        <row r="1012">
          <cell r="H1012" t="str">
            <v>98-2133-000</v>
          </cell>
          <cell r="I1012" t="str">
            <v>OILER ASSEMBLY P.NO.9881 - ITEMS</v>
          </cell>
        </row>
        <row r="1013">
          <cell r="H1013" t="str">
            <v>98-2142-000</v>
          </cell>
          <cell r="I1013" t="str">
            <v>MICRO SWITCH KG - 006 - ITEMS</v>
          </cell>
        </row>
        <row r="1014">
          <cell r="H1014" t="str">
            <v>98-2151-000</v>
          </cell>
          <cell r="I1014" t="str">
            <v>MECHANICAL TOTALIZER KG-010 - ITEMS</v>
          </cell>
        </row>
        <row r="1015">
          <cell r="H1015" t="str">
            <v>98-2160-000</v>
          </cell>
          <cell r="I1015" t="str">
            <v>PUMP TUBE PT NO. 9876 - ITEMS</v>
          </cell>
        </row>
        <row r="1016">
          <cell r="H1016" t="str">
            <v>98-2179-000</v>
          </cell>
          <cell r="I1016" t="str">
            <v>3MM PERSPEX SHEETS  - ITEMS</v>
          </cell>
        </row>
        <row r="1017">
          <cell r="H1017" t="str">
            <v>98-2188-000</v>
          </cell>
          <cell r="I1017" t="str">
            <v>CD 60 MONO PUMP STATOR - ITEMS</v>
          </cell>
        </row>
        <row r="1018">
          <cell r="H1018" t="str">
            <v>98-2197-000</v>
          </cell>
          <cell r="I1018" t="str">
            <v>CD 70 MONO PUMP STATOR - ITEMS</v>
          </cell>
        </row>
        <row r="1019">
          <cell r="H1019" t="str">
            <v>98-2206-000</v>
          </cell>
          <cell r="I1019" t="str">
            <v>MD 80 MONOPUMP STATOR - ITEMS</v>
          </cell>
        </row>
        <row r="1020">
          <cell r="H1020" t="str">
            <v>98-2215-000</v>
          </cell>
          <cell r="I1020" t="str">
            <v>AIR GAUGE REMOTE CONTROL VALVE - ITEMS</v>
          </cell>
        </row>
        <row r="1021">
          <cell r="H1021" t="str">
            <v>98-2224-000</v>
          </cell>
          <cell r="I1021" t="str">
            <v>A/C GUAGE TYRE CONNECTOR NOZZL - ITEMS</v>
          </cell>
        </row>
        <row r="1022">
          <cell r="H1022" t="str">
            <v>98-2233-000</v>
          </cell>
          <cell r="I1022" t="str">
            <v>TRIMLINE PUMP PULLEYS - ITEMS</v>
          </cell>
        </row>
        <row r="1023">
          <cell r="H1023" t="str">
            <v>98-2242-000</v>
          </cell>
          <cell r="I1023" t="str">
            <v>PUMP METER SEAL HOUSING - ITEMS</v>
          </cell>
        </row>
        <row r="1024">
          <cell r="H1024" t="str">
            <v>98-2251-000</v>
          </cell>
          <cell r="I1024" t="str">
            <v>PUMP METERING UNIT VALVES - ITEMS</v>
          </cell>
        </row>
        <row r="1025">
          <cell r="H1025" t="str">
            <v>98-2260-000</v>
          </cell>
          <cell r="I1025" t="str">
            <v>TRIMLINE PUMPING UNIT - ITEMS</v>
          </cell>
        </row>
        <row r="1026">
          <cell r="H1026" t="str">
            <v>98-2279-000</v>
          </cell>
          <cell r="I1026" t="str">
            <v>COMPUTER RESET MECHANISM - ITEMS</v>
          </cell>
        </row>
        <row r="1027">
          <cell r="H1027" t="str">
            <v>98-2288-000</v>
          </cell>
          <cell r="I1027" t="str">
            <v>METERING UNIT CROSS MEMB. - ITEMS</v>
          </cell>
        </row>
        <row r="1028">
          <cell r="H1028" t="str">
            <v>98-2297-000</v>
          </cell>
          <cell r="I1028" t="str">
            <v>PUMP STOP - ITEMS</v>
          </cell>
        </row>
        <row r="1029">
          <cell r="H1029" t="str">
            <v>98-2306-000</v>
          </cell>
          <cell r="I1029" t="str">
            <v>METERING UNIT CAM SHAFT - ITEMS</v>
          </cell>
        </row>
        <row r="1030">
          <cell r="H1030" t="str">
            <v>98-2315-000</v>
          </cell>
          <cell r="I1030" t="str">
            <v>1.5' PUMP FLEXIBLE COUP.  - ITEMS</v>
          </cell>
        </row>
        <row r="1031">
          <cell r="H1031" t="str">
            <v>98-2324-000</v>
          </cell>
          <cell r="I1031" t="str">
            <v>METERING UNIT END COVERS - ITEMS</v>
          </cell>
        </row>
        <row r="1032">
          <cell r="H1032" t="str">
            <v>98-2333-000</v>
          </cell>
          <cell r="I1032" t="str">
            <v>VR MONEY WHEELS - ITEMS</v>
          </cell>
        </row>
        <row r="1033">
          <cell r="H1033" t="str">
            <v>98-2342-000</v>
          </cell>
          <cell r="I1033" t="str">
            <v>VR LITRE WHEELS - ITEMS</v>
          </cell>
        </row>
        <row r="1034">
          <cell r="H1034" t="str">
            <v>98-2351-000</v>
          </cell>
          <cell r="I1034" t="str">
            <v>GREASE PUMP COVERS - ITEMS</v>
          </cell>
        </row>
        <row r="1035">
          <cell r="H1035" t="str">
            <v>98-2360-000</v>
          </cell>
          <cell r="I1035" t="str">
            <v>COMPUTER DRIV GEAR &amp; SHAF - ITEMS</v>
          </cell>
        </row>
        <row r="1036">
          <cell r="H1036" t="str">
            <v>98-2379-000</v>
          </cell>
          <cell r="I1036" t="str">
            <v>COMPUTER RESET PLATES - ITEMS</v>
          </cell>
        </row>
        <row r="1037">
          <cell r="H1037" t="str">
            <v>98-2388-000</v>
          </cell>
          <cell r="I1037" t="str">
            <v>COMPUTER WHEEL SHAFT - ITEMS</v>
          </cell>
        </row>
        <row r="1038">
          <cell r="H1038" t="str">
            <v>98-2397-000</v>
          </cell>
          <cell r="I1038" t="str">
            <v>PRICE VARIATION GEARS - ITEMS</v>
          </cell>
        </row>
        <row r="1039">
          <cell r="H1039" t="str">
            <v>98-2406-000</v>
          </cell>
          <cell r="I1039" t="str">
            <v>VR TOTALIZERS - ITEMS</v>
          </cell>
        </row>
        <row r="1040">
          <cell r="H1040" t="str">
            <v>98-2415-000</v>
          </cell>
          <cell r="I1040" t="str">
            <v>AIR SEPARATOR FLOATS - ITEMS</v>
          </cell>
        </row>
        <row r="1041">
          <cell r="H1041" t="str">
            <v>98-2424-000</v>
          </cell>
          <cell r="I1041" t="str">
            <v>COMPUTER RODS - ITEMS</v>
          </cell>
        </row>
        <row r="1042">
          <cell r="H1042" t="str">
            <v>98-2433-000</v>
          </cell>
          <cell r="I1042" t="str">
            <v>NOZZLE TIP RESET - ITEMS</v>
          </cell>
        </row>
        <row r="1043">
          <cell r="H1043" t="str">
            <v>98-2442-000</v>
          </cell>
          <cell r="I1043" t="str">
            <v>METERING UNIT ADJ. WHEEL - ITEMS</v>
          </cell>
        </row>
        <row r="1044">
          <cell r="H1044" t="str">
            <v>98-2451-000</v>
          </cell>
          <cell r="I1044" t="str">
            <v>METERING UNIT PISTON SLEV - ITEMS</v>
          </cell>
        </row>
        <row r="1045">
          <cell r="H1045" t="str">
            <v>98-2460-000</v>
          </cell>
          <cell r="I1045" t="str">
            <v>PUMP MOTOR CAPACITORS - ITEMS</v>
          </cell>
        </row>
        <row r="1046">
          <cell r="H1046" t="str">
            <v>98-2479-000</v>
          </cell>
          <cell r="I1046" t="str">
            <v>PUMP FILTERS - ITEMS</v>
          </cell>
        </row>
        <row r="1047">
          <cell r="H1047" t="str">
            <v>98-2488-000</v>
          </cell>
          <cell r="I1047" t="str">
            <v>METER VALVE SEATS - ITEMS</v>
          </cell>
        </row>
        <row r="1048">
          <cell r="H1048" t="str">
            <v>98-2497-000</v>
          </cell>
          <cell r="I1048" t="str">
            <v>GILBARCO NOZZLE REPAIR - ITEMS</v>
          </cell>
        </row>
        <row r="1049">
          <cell r="H1049" t="str">
            <v>98-2506-000</v>
          </cell>
          <cell r="I1049" t="str">
            <v>SALES MAKER PUMP FILTERS - ITEMS</v>
          </cell>
        </row>
        <row r="1050">
          <cell r="H1050" t="str">
            <v>98-2515-000</v>
          </cell>
          <cell r="I1050" t="str">
            <v>VR COMPUTER SHIFT CAN - ITEMS</v>
          </cell>
        </row>
        <row r="1051">
          <cell r="H1051" t="str">
            <v>98-2524-000</v>
          </cell>
          <cell r="I1051" t="str">
            <v>MAIN VALVE DISC - ITEMS</v>
          </cell>
        </row>
        <row r="1052">
          <cell r="H1052" t="str">
            <v>98-2533-000</v>
          </cell>
          <cell r="I1052" t="str">
            <v>METERING UNIT PISTONS - ITEMS</v>
          </cell>
        </row>
        <row r="1053">
          <cell r="H1053" t="str">
            <v>98-2542-000</v>
          </cell>
          <cell r="I1053" t="str">
            <v>VALVE FORK - ITEMS</v>
          </cell>
        </row>
        <row r="1054">
          <cell r="H1054" t="str">
            <v>98-2551-000</v>
          </cell>
          <cell r="I1054" t="str">
            <v>PLASTIC NOZZLE BOOTS - ITEMS</v>
          </cell>
        </row>
        <row r="1055">
          <cell r="H1055" t="str">
            <v>98-2560-000</v>
          </cell>
          <cell r="I1055" t="str">
            <v>NOZZLE HANDLES - ITEMS</v>
          </cell>
        </row>
        <row r="1056">
          <cell r="H1056" t="str">
            <v>98-2579-000</v>
          </cell>
          <cell r="I1056" t="str">
            <v>PUMP FILTER /SEPARATOR - ITEMS</v>
          </cell>
        </row>
        <row r="1057">
          <cell r="H1057" t="str">
            <v>98-2588-000</v>
          </cell>
          <cell r="I1057" t="str">
            <v>VISUAL DISPLAY INDICATORS - ITEMS</v>
          </cell>
        </row>
        <row r="1058">
          <cell r="H1058" t="str">
            <v>98-2597-000</v>
          </cell>
          <cell r="I1058" t="str">
            <v>.75'/1' NOZZLE REDUC BUSH  - ITEMS</v>
          </cell>
        </row>
        <row r="1059">
          <cell r="H1059" t="str">
            <v>98-2606-000</v>
          </cell>
          <cell r="I1059" t="str">
            <v>PUMPING UNIT BLADE SPACER - ITEMS</v>
          </cell>
        </row>
        <row r="1060">
          <cell r="H1060" t="str">
            <v>98-2615-000</v>
          </cell>
          <cell r="I1060" t="str">
            <v>.75' HOSE COUP(ACT. HOSE)  - ITEMS</v>
          </cell>
        </row>
        <row r="1061">
          <cell r="H1061" t="str">
            <v>98-2624-000</v>
          </cell>
          <cell r="I1061" t="str">
            <v>AIR SEPARATOR VALVES - ITEMS</v>
          </cell>
        </row>
        <row r="1062">
          <cell r="H1062" t="str">
            <v>98-2633-000</v>
          </cell>
          <cell r="I1062" t="str">
            <v>PUMP LOCKS WITH KEYS - ITEMS</v>
          </cell>
        </row>
        <row r="1063">
          <cell r="H1063" t="str">
            <v>98-2642-000</v>
          </cell>
          <cell r="I1063" t="str">
            <v>TRIMELINE PUMP SWITCHES - ITEMS</v>
          </cell>
        </row>
        <row r="1064">
          <cell r="H1064" t="str">
            <v>98-2651-000</v>
          </cell>
          <cell r="I1064" t="str">
            <v>MOTOR SWITCHES - ITEMS</v>
          </cell>
        </row>
        <row r="1065">
          <cell r="H1065" t="str">
            <v>98-2660-000</v>
          </cell>
          <cell r="I1065" t="str">
            <v>GILBARCO TRIMELINE D FACE - ITEMS</v>
          </cell>
        </row>
        <row r="1066">
          <cell r="H1066" t="str">
            <v>98-2679-000</v>
          </cell>
          <cell r="I1066" t="str">
            <v>SEMI ROTARY PUMP VALVES - ITEMS</v>
          </cell>
        </row>
        <row r="1067">
          <cell r="H1067" t="str">
            <v>98-2688-000</v>
          </cell>
          <cell r="I1067" t="str">
            <v>METERING UNIT PISTON SPR. - ITEMS</v>
          </cell>
        </row>
        <row r="1068">
          <cell r="H1068" t="str">
            <v>98-2697-000</v>
          </cell>
          <cell r="I1068" t="str">
            <v>PINION GEARS FOR MET.UNIT - ITEMS</v>
          </cell>
        </row>
        <row r="1069">
          <cell r="H1069" t="str">
            <v>98-2706-000</v>
          </cell>
          <cell r="I1069" t="str">
            <v>METERING UNIT DRIVE GEARS - ITEMS</v>
          </cell>
        </row>
        <row r="1070">
          <cell r="H1070" t="str">
            <v>98-2715-000</v>
          </cell>
          <cell r="I1070" t="str">
            <v>COMPUTER IDLER GEARS - ITEMS</v>
          </cell>
        </row>
        <row r="1071">
          <cell r="H1071" t="str">
            <v>98-2724-000</v>
          </cell>
          <cell r="I1071" t="str">
            <v>COMPUTER DRIVE COUP.&amp; LNK - ITEMS</v>
          </cell>
        </row>
        <row r="1072">
          <cell r="H1072" t="str">
            <v>98-2733-000</v>
          </cell>
          <cell r="I1072" t="str">
            <v>PUMPING UNIT ROTOR BUSHES - ITEMS</v>
          </cell>
        </row>
        <row r="1073">
          <cell r="H1073" t="str">
            <v>98-2742-000</v>
          </cell>
          <cell r="I1073" t="str">
            <v>COMPUTER HANDLE / CONNECT - ITEMS</v>
          </cell>
        </row>
        <row r="1074">
          <cell r="H1074" t="str">
            <v>98-2751-000</v>
          </cell>
          <cell r="I1074" t="str">
            <v>NOZZLE VALVES - ITEMS</v>
          </cell>
        </row>
        <row r="1075">
          <cell r="H1075" t="str">
            <v>98-2760-000</v>
          </cell>
          <cell r="I1075" t="str">
            <v>BYPASS VALVE SPRING - ITEMS</v>
          </cell>
        </row>
        <row r="1076">
          <cell r="H1076" t="str">
            <v>98-2779-000</v>
          </cell>
          <cell r="I1076" t="str">
            <v>OIL POURERS - ITEMS</v>
          </cell>
        </row>
        <row r="1077">
          <cell r="H1077" t="str">
            <v>98-2788-000</v>
          </cell>
          <cell r="I1077" t="str">
            <v>4 LITRE BLACK PAINT  - ITEMS</v>
          </cell>
        </row>
        <row r="1078">
          <cell r="H1078" t="str">
            <v>98-2797-000</v>
          </cell>
          <cell r="I1078" t="str">
            <v>4 LITRE WHITE EMULSION PT  - ITEMS</v>
          </cell>
        </row>
        <row r="1079">
          <cell r="H1079" t="str">
            <v>98-2806-000</v>
          </cell>
          <cell r="I1079" t="str">
            <v>700X12 FORK LIFT TUBES  - ITEMS</v>
          </cell>
        </row>
        <row r="1080">
          <cell r="H1080" t="str">
            <v>98-2815-000</v>
          </cell>
          <cell r="I1080" t="str">
            <v>600X9 FORK LIFT TUBES  - ITEMS</v>
          </cell>
        </row>
        <row r="1081">
          <cell r="H1081" t="str">
            <v>98-2824-000</v>
          </cell>
          <cell r="I1081" t="str">
            <v>650 X 10 FORK LIFT TUBES  - ITEMS</v>
          </cell>
        </row>
        <row r="1082">
          <cell r="H1082" t="str">
            <v>98-2833-000</v>
          </cell>
          <cell r="I1082" t="str">
            <v>1100 X 20 NEW TUBES  - ITEMS</v>
          </cell>
        </row>
        <row r="1083">
          <cell r="H1083" t="str">
            <v>98-2842-000</v>
          </cell>
          <cell r="I1083" t="str">
            <v>700 X 15 FORK LIFT TUBES  - ITEMS</v>
          </cell>
        </row>
        <row r="1084">
          <cell r="H1084" t="str">
            <v>98-2851-000</v>
          </cell>
          <cell r="I1084" t="str">
            <v>FRONT WHEEL STUD FOR VOLV - ITEMS</v>
          </cell>
        </row>
        <row r="1085">
          <cell r="H1085" t="str">
            <v>98-2860-000</v>
          </cell>
          <cell r="I1085" t="str">
            <v>REAR WHELL STUDS FOR VOLV - ITEMS</v>
          </cell>
        </row>
        <row r="1086">
          <cell r="H1086" t="str">
            <v>98-2879-000</v>
          </cell>
          <cell r="I1086" t="str">
            <v>CROSLAND FILTERS - ITEMS</v>
          </cell>
        </row>
        <row r="1087">
          <cell r="H1087" t="str">
            <v>98-2888-000</v>
          </cell>
          <cell r="I1087" t="str">
            <v>FILTERS FOR AIR CLEANERS - ITEMS</v>
          </cell>
        </row>
        <row r="1088">
          <cell r="H1088" t="str">
            <v>98-2897-000</v>
          </cell>
          <cell r="I1088" t="str">
            <v>U-BOLTS FOR TRAILERS - ITEMS</v>
          </cell>
        </row>
        <row r="1089">
          <cell r="H1089" t="str">
            <v>98-2906-000</v>
          </cell>
          <cell r="I1089" t="str">
            <v>1200 X 20 NEW TUBES  - ITEMS</v>
          </cell>
        </row>
        <row r="1090">
          <cell r="H1090" t="str">
            <v>98-2915-000</v>
          </cell>
          <cell r="I1090" t="str">
            <v>BEARING FOR LEYLAND TRUCK - ITEMS</v>
          </cell>
        </row>
        <row r="1091">
          <cell r="H1091" t="str">
            <v>98-2924-000</v>
          </cell>
          <cell r="I1091" t="str">
            <v>BEARING FOR THE TRUCKS - ITEMS</v>
          </cell>
        </row>
        <row r="1092">
          <cell r="H1092" t="str">
            <v>98-2933-000</v>
          </cell>
          <cell r="I1092" t="str">
            <v>CENTRE BOLT FOR TRAILERS - ITEMS</v>
          </cell>
        </row>
        <row r="1093">
          <cell r="H1093" t="str">
            <v>98-2942-000</v>
          </cell>
          <cell r="I1093" t="str">
            <v>VOLVO OIL FILTERS - ITEMS</v>
          </cell>
        </row>
        <row r="1094">
          <cell r="H1094" t="str">
            <v>98-2951-000</v>
          </cell>
          <cell r="I1094" t="str">
            <v>DIESEL FILTERS - ITEMS</v>
          </cell>
        </row>
        <row r="1095">
          <cell r="H1095" t="str">
            <v>98-2960-000</v>
          </cell>
          <cell r="I1095" t="str">
            <v>STEERING POWER FILTERS - ITEMS</v>
          </cell>
        </row>
        <row r="1096">
          <cell r="H1096" t="str">
            <v>98-2979-000</v>
          </cell>
          <cell r="I1096" t="str">
            <v>CROSSLAND FILTERS</v>
          </cell>
        </row>
        <row r="1097">
          <cell r="H1097" t="str">
            <v>98-2988-000</v>
          </cell>
          <cell r="I1097" t="str">
            <v>OIL FILTER OUT OF USE - ITEMS</v>
          </cell>
        </row>
        <row r="1098">
          <cell r="H1098" t="str">
            <v>98-2997-000</v>
          </cell>
          <cell r="I1098" t="str">
            <v>FUEL FILTER OUT OF USE - ITEMS</v>
          </cell>
        </row>
        <row r="1099">
          <cell r="H1099" t="str">
            <v>98-3006-000</v>
          </cell>
          <cell r="I1099" t="str">
            <v>HANGER LOCKER BUSHES - ITEMS</v>
          </cell>
        </row>
        <row r="1100">
          <cell r="H1100" t="str">
            <v>98-3015-000</v>
          </cell>
          <cell r="I1100" t="str">
            <v>CONTROL ARM BUSHES - ITEMS</v>
          </cell>
        </row>
        <row r="1101">
          <cell r="H1101" t="str">
            <v>98-3024-000</v>
          </cell>
          <cell r="I1101" t="str">
            <v>STABILIZER PINS - ITEMS</v>
          </cell>
        </row>
        <row r="1102">
          <cell r="H1102" t="str">
            <v>98-3033-000</v>
          </cell>
          <cell r="I1102" t="str">
            <v>STABILIZER BUSHES - ITEMS</v>
          </cell>
        </row>
        <row r="1103">
          <cell r="H1103" t="str">
            <v>98-3042-000</v>
          </cell>
          <cell r="I1103" t="str">
            <v>CONTROL ARM BOLTS - ITEMS</v>
          </cell>
        </row>
        <row r="1104">
          <cell r="H1104" t="str">
            <v>98-3051-000</v>
          </cell>
          <cell r="I1104" t="str">
            <v>BONNET MOUNTING BUSHES - ITEMS</v>
          </cell>
        </row>
        <row r="1105">
          <cell r="H1105" t="str">
            <v>98-3060-000</v>
          </cell>
          <cell r="I1105" t="str">
            <v>HANGER LOCKERS - ITEMS</v>
          </cell>
        </row>
        <row r="1106">
          <cell r="H1106" t="str">
            <v>98-3079-000</v>
          </cell>
          <cell r="I1106" t="str">
            <v>REAR SPRING BRACKETS - ITEMS</v>
          </cell>
        </row>
        <row r="1107">
          <cell r="H1107" t="str">
            <v>98-3088-000</v>
          </cell>
          <cell r="I1107" t="str">
            <v>PLASTIC SUSPENSE BUSHES - ITEMS</v>
          </cell>
        </row>
        <row r="1108">
          <cell r="H1108" t="str">
            <v>98-3097-000</v>
          </cell>
          <cell r="I1108" t="str">
            <v>FAN BELTS - VOLVO - ITEMS</v>
          </cell>
        </row>
        <row r="1109">
          <cell r="H1109" t="str">
            <v>98-3106-000</v>
          </cell>
          <cell r="I1109" t="str">
            <v>SHOCK ABSORBER - VOLVO - ITEMS</v>
          </cell>
        </row>
        <row r="1110">
          <cell r="H1110" t="str">
            <v>98-3115-000</v>
          </cell>
          <cell r="I1110" t="str">
            <v>SHOCK ABS.CABIN BUSHES - ITEMS</v>
          </cell>
        </row>
        <row r="1111">
          <cell r="H1111" t="str">
            <v>98-3124-000</v>
          </cell>
          <cell r="I1111" t="str">
            <v>SHOCK ABSORBER BUSHES - ITEMS</v>
          </cell>
        </row>
        <row r="1112">
          <cell r="H1112" t="str">
            <v>98-3125-000</v>
          </cell>
          <cell r="I1112" t="str">
            <v>GIGANT COMPLETE SPRING-ITEMS</v>
          </cell>
        </row>
        <row r="1113">
          <cell r="H1113" t="str">
            <v>98-3133-000</v>
          </cell>
          <cell r="I1113" t="str">
            <v>BATTERY BOLTS AND NUTS - ITEMS</v>
          </cell>
        </row>
        <row r="1114">
          <cell r="H1114" t="str">
            <v>98-3134-000</v>
          </cell>
          <cell r="I1114" t="str">
            <v>DRIVE PLATE KIT - LEYLAND</v>
          </cell>
        </row>
        <row r="1115">
          <cell r="H1115" t="str">
            <v>98-3135-000</v>
          </cell>
          <cell r="I1115" t="str">
            <v>RING WIPER ROD</v>
          </cell>
        </row>
        <row r="1116">
          <cell r="H1116" t="str">
            <v>98-3136-000</v>
          </cell>
          <cell r="I1116" t="str">
            <v>REPAIR KIT COMPRESSOR-LEYLAND</v>
          </cell>
        </row>
        <row r="1117">
          <cell r="H1117" t="str">
            <v>98-3137-000</v>
          </cell>
          <cell r="I1117" t="str">
            <v>GEAR BOX TOP COVER-LEYLAND</v>
          </cell>
        </row>
        <row r="1118">
          <cell r="H1118" t="str">
            <v>98-3138-000</v>
          </cell>
          <cell r="I1118" t="str">
            <v>EMERGENCY RUBBER VALVES</v>
          </cell>
        </row>
        <row r="1119">
          <cell r="H1119" t="str">
            <v>98-3139-000</v>
          </cell>
          <cell r="I1119" t="str">
            <v>ALTERNATOR BRACKET</v>
          </cell>
        </row>
        <row r="1120">
          <cell r="H1120" t="str">
            <v>98-3140-000</v>
          </cell>
          <cell r="I1120" t="str">
            <v>LOCAL SIDE MIRROR (S/H)</v>
          </cell>
        </row>
        <row r="1121">
          <cell r="H1121" t="str">
            <v>98-3142-000</v>
          </cell>
          <cell r="I1121" t="str">
            <v>SPRING PINS - ITEMS</v>
          </cell>
        </row>
        <row r="1122">
          <cell r="H1122" t="str">
            <v>98-3151-000</v>
          </cell>
          <cell r="I1122" t="str">
            <v>EQUILIZER PINS - ITEMS</v>
          </cell>
        </row>
        <row r="1123">
          <cell r="H1123" t="str">
            <v>98-3160-000</v>
          </cell>
          <cell r="I1123" t="str">
            <v>RETURN SPRING PINS - ITEMS</v>
          </cell>
        </row>
        <row r="1124">
          <cell r="H1124" t="str">
            <v>98-3179-000</v>
          </cell>
          <cell r="I1124" t="str">
            <v>BRAKE SHOES FOR TRUCKS - ITEMS</v>
          </cell>
        </row>
        <row r="1125">
          <cell r="H1125" t="str">
            <v>98-3188-000</v>
          </cell>
          <cell r="I1125" t="str">
            <v>BRAKE ARMS - ITEMS</v>
          </cell>
        </row>
        <row r="1126">
          <cell r="H1126" t="str">
            <v>98-3197-000</v>
          </cell>
          <cell r="I1126" t="str">
            <v>BRAKESHOE RTN SPRING - ITEMS</v>
          </cell>
        </row>
        <row r="1127">
          <cell r="H1127" t="str">
            <v>98-3206-000</v>
          </cell>
          <cell r="I1127" t="str">
            <v>BRAKE LININGS LEYLAND - ITEMS</v>
          </cell>
        </row>
        <row r="1128">
          <cell r="H1128" t="str">
            <v>98-3215-000</v>
          </cell>
          <cell r="I1128" t="str">
            <v>LIGHT GUARDS - VOLVO - ITEMS</v>
          </cell>
        </row>
        <row r="1129">
          <cell r="H1129" t="str">
            <v>98-3224-000</v>
          </cell>
          <cell r="I1129" t="str">
            <v>DOOR STOPPERS - RUBBER - ITEMS</v>
          </cell>
        </row>
        <row r="1130">
          <cell r="H1130" t="str">
            <v>98-3233-000</v>
          </cell>
          <cell r="I1130" t="str">
            <v>BULBS - ITEMS</v>
          </cell>
        </row>
        <row r="1131">
          <cell r="H1131" t="str">
            <v>98-3242-000</v>
          </cell>
          <cell r="I1131" t="str">
            <v>WIPER SWITCH - ITEMS</v>
          </cell>
        </row>
        <row r="1132">
          <cell r="H1132" t="str">
            <v>98-3251-000</v>
          </cell>
          <cell r="I1132" t="str">
            <v>LENCES FOR TRUCKS - ITEMS</v>
          </cell>
        </row>
        <row r="1133">
          <cell r="H1133" t="str">
            <v>98-3260-000</v>
          </cell>
          <cell r="I1133" t="str">
            <v>LENCES FOR DATSUN - ITEMS</v>
          </cell>
        </row>
        <row r="1134">
          <cell r="H1134" t="str">
            <v>98-3279-000</v>
          </cell>
          <cell r="I1134" t="str">
            <v>OIL RINGS - ITEMS</v>
          </cell>
        </row>
        <row r="1135">
          <cell r="H1135" t="str">
            <v>98-3288-000</v>
          </cell>
          <cell r="I1135" t="str">
            <v>FIX SPANNERS - ITEMS</v>
          </cell>
        </row>
        <row r="1136">
          <cell r="H1136" t="str">
            <v>98-3297-000</v>
          </cell>
          <cell r="I1136" t="str">
            <v>INLINE THERM GLASSES - ITEMS</v>
          </cell>
        </row>
        <row r="1137">
          <cell r="H1137" t="str">
            <v>98-3306-000</v>
          </cell>
          <cell r="I1137" t="str">
            <v>GREASE NIPPLES - ITEMS</v>
          </cell>
        </row>
        <row r="1138">
          <cell r="H1138" t="str">
            <v>98-3315-000</v>
          </cell>
          <cell r="I1138" t="str">
            <v>SIDE MARKERS - VOLVO - ITEMS</v>
          </cell>
        </row>
        <row r="1139">
          <cell r="H1139" t="str">
            <v>98-3324-000</v>
          </cell>
          <cell r="I1139" t="str">
            <v>ANCOR PIN CLIPS - ITEMS</v>
          </cell>
        </row>
        <row r="1140">
          <cell r="H1140" t="str">
            <v>98-3333-000</v>
          </cell>
          <cell r="I1140" t="str">
            <v>EXSAULTOR SEAL - ITEMS</v>
          </cell>
        </row>
        <row r="1141">
          <cell r="H1141" t="str">
            <v>98-3342-000</v>
          </cell>
          <cell r="I1141" t="str">
            <v>OIL SEALS - ITEMS</v>
          </cell>
        </row>
        <row r="1142">
          <cell r="H1142" t="str">
            <v>98-3351-000</v>
          </cell>
          <cell r="I1142" t="str">
            <v>OIL PIPE - ITEMS</v>
          </cell>
        </row>
        <row r="1143">
          <cell r="H1143" t="str">
            <v>98-3360-000</v>
          </cell>
          <cell r="I1143" t="str">
            <v>SAFETY BELTS - ITEMS</v>
          </cell>
        </row>
        <row r="1144">
          <cell r="H1144" t="str">
            <v>98-3379-000</v>
          </cell>
          <cell r="I1144" t="str">
            <v>WHEEL STUDS - ITEMS</v>
          </cell>
        </row>
        <row r="1145">
          <cell r="H1145" t="str">
            <v>98-3388-000</v>
          </cell>
          <cell r="I1145" t="str">
            <v>ENGINE MOUNT-VOLVO/LEY - ITEMS</v>
          </cell>
        </row>
        <row r="1146">
          <cell r="H1146" t="str">
            <v>98-3397-000</v>
          </cell>
          <cell r="I1146" t="str">
            <v>ENGINE COVER GASKETS - ITEMS</v>
          </cell>
        </row>
        <row r="1147">
          <cell r="H1147" t="str">
            <v>98-3406-000</v>
          </cell>
          <cell r="I1147" t="str">
            <v>SHAFT SLEEVE JOINT - ITEMS</v>
          </cell>
        </row>
        <row r="1148">
          <cell r="H1148" t="str">
            <v>98-3415-000</v>
          </cell>
          <cell r="I1148" t="str">
            <v>AXLE RING - ITEMS</v>
          </cell>
        </row>
        <row r="1149">
          <cell r="H1149" t="str">
            <v>98-3424-000</v>
          </cell>
          <cell r="I1149" t="str">
            <v>LIDS - VOLVO - ITEMS</v>
          </cell>
        </row>
        <row r="1150">
          <cell r="H1150" t="str">
            <v>98-3433-000</v>
          </cell>
          <cell r="I1150" t="str">
            <v>CLUNCH FLUID RESERVORS - ITEMS</v>
          </cell>
        </row>
        <row r="1151">
          <cell r="H1151" t="str">
            <v>98-3442-000</v>
          </cell>
          <cell r="I1151" t="str">
            <v>HANGER LOCKER BOLTS/NUTS - ITEMS</v>
          </cell>
        </row>
        <row r="1152">
          <cell r="H1152" t="str">
            <v>98-3451-000</v>
          </cell>
          <cell r="I1152" t="str">
            <v>HOSES - ITEMS</v>
          </cell>
        </row>
        <row r="1153">
          <cell r="H1153" t="str">
            <v>98-3460-000</v>
          </cell>
          <cell r="I1153" t="str">
            <v>STARTER MOTOR STUDS - ITEMS</v>
          </cell>
        </row>
        <row r="1154">
          <cell r="H1154" t="str">
            <v>98-3479-000</v>
          </cell>
          <cell r="I1154" t="str">
            <v>DIST PIECE SPACERS - ITEMS</v>
          </cell>
        </row>
        <row r="1155">
          <cell r="H1155" t="str">
            <v>98-3488-000</v>
          </cell>
          <cell r="I1155" t="str">
            <v>GASKETS - ITEMS</v>
          </cell>
        </row>
        <row r="1156">
          <cell r="H1156" t="str">
            <v>98-3497-000</v>
          </cell>
          <cell r="I1156" t="str">
            <v>COUNTER DRIVE GEAR ASSEMB - ITEMS</v>
          </cell>
        </row>
        <row r="1157">
          <cell r="H1157" t="str">
            <v>98-3506-000</v>
          </cell>
          <cell r="I1157" t="str">
            <v>3 WAY VALVES  - ITEMS</v>
          </cell>
        </row>
        <row r="1158">
          <cell r="H1158" t="str">
            <v>98-3515-000</v>
          </cell>
          <cell r="I1158" t="str">
            <v>LPG STRAINERS - ITEMS</v>
          </cell>
        </row>
        <row r="1159">
          <cell r="H1159" t="str">
            <v>98-3524-000</v>
          </cell>
          <cell r="I1159" t="str">
            <v>1.25' GAS CHECK VALVES  - ITEMS</v>
          </cell>
        </row>
        <row r="1160">
          <cell r="H1160" t="str">
            <v>98-3533-000</v>
          </cell>
          <cell r="I1160" t="str">
            <v>HIGH PRESSURE REGULATORS - ITEMS</v>
          </cell>
        </row>
        <row r="1161">
          <cell r="H1161" t="str">
            <v>98-3542-000</v>
          </cell>
          <cell r="I1161" t="str">
            <v>2' OUTLET NIP HEAD &amp; CAP  - ITEMS</v>
          </cell>
        </row>
        <row r="1162">
          <cell r="H1162" t="str">
            <v>98-3551-000</v>
          </cell>
          <cell r="I1162" t="str">
            <v>FLOATS FOR NEPTUNE METERS - ITEMS</v>
          </cell>
        </row>
        <row r="1163">
          <cell r="H1163" t="str">
            <v>98-3560-000</v>
          </cell>
          <cell r="I1163" t="str">
            <v>NEPTUNE METER DIAPHRAM - ITEMS</v>
          </cell>
        </row>
        <row r="1164">
          <cell r="H1164" t="str">
            <v>98-3579-000</v>
          </cell>
          <cell r="I1164" t="str">
            <v>LPG REPAIR KITS - ITEMS</v>
          </cell>
        </row>
        <row r="1165">
          <cell r="H1165" t="str">
            <v>98-3588-000</v>
          </cell>
          <cell r="I1165" t="str">
            <v>2' REGO ONE WAY VALVES  - ITEMS</v>
          </cell>
        </row>
        <row r="1166">
          <cell r="H1166" t="str">
            <v>98-3597-000</v>
          </cell>
          <cell r="I1166" t="str">
            <v>MAIN AND SEC.SPRINGS - ITEMS</v>
          </cell>
        </row>
        <row r="1167">
          <cell r="H1167" t="str">
            <v>98-3606-000</v>
          </cell>
          <cell r="I1167" t="str">
            <v>RUBBER BUARWES - VOLVO - ITEMS</v>
          </cell>
        </row>
        <row r="1168">
          <cell r="H1168" t="str">
            <v>98-3607-000</v>
          </cell>
          <cell r="I1168" t="str">
            <v>4'' CUSTOMED QUICK COUPLINGS</v>
          </cell>
        </row>
        <row r="1169">
          <cell r="H1169" t="str">
            <v>98-3608-000</v>
          </cell>
          <cell r="I1169" t="str">
            <v>4'' CUSTOMED QUICK COUPLING LIDS</v>
          </cell>
        </row>
        <row r="1170">
          <cell r="H1170" t="str">
            <v>98-3615-000</v>
          </cell>
          <cell r="I1170" t="str">
            <v>HOSE COUPLINGS 4' - ITEMS</v>
          </cell>
        </row>
        <row r="1171">
          <cell r="H1171" t="str">
            <v>98-3624-000</v>
          </cell>
          <cell r="I1171" t="str">
            <v>EMCO VALVES 4' - ITEMS</v>
          </cell>
        </row>
        <row r="1172">
          <cell r="H1172" t="str">
            <v>98-3633-000</v>
          </cell>
          <cell r="I1172" t="str">
            <v>PETROL DELIVERY HOSES 4' - ITEMS</v>
          </cell>
        </row>
        <row r="1173">
          <cell r="H1173" t="str">
            <v>98-3642-000</v>
          </cell>
          <cell r="I1173" t="str">
            <v>NEW LPG CYLINDER VALVES - ITEMS</v>
          </cell>
        </row>
        <row r="1174">
          <cell r="H1174" t="str">
            <v>98-3651-000</v>
          </cell>
          <cell r="I1174" t="str">
            <v>2ND HAND LPG CYL.VALVES  - ITEMS</v>
          </cell>
        </row>
        <row r="1175">
          <cell r="H1175" t="str">
            <v>98-3660-000</v>
          </cell>
          <cell r="I1175" t="str">
            <v>LAODING ARM SEALS (VITON) - ITEMS</v>
          </cell>
        </row>
        <row r="1176">
          <cell r="H1176" t="str">
            <v>98-3679-000</v>
          </cell>
          <cell r="I1176" t="str">
            <v>ACME LEAD SEALS - ITEMS</v>
          </cell>
        </row>
        <row r="1177">
          <cell r="H1177" t="str">
            <v>98-3688-000</v>
          </cell>
          <cell r="I1177" t="str">
            <v>SWITCH RED ASSEMBLY - ITEMS</v>
          </cell>
        </row>
        <row r="1178">
          <cell r="H1178" t="str">
            <v>98-3697-000</v>
          </cell>
          <cell r="I1178" t="str">
            <v>SPARE PACKET KIT PT 9850 - ITEMS</v>
          </cell>
        </row>
        <row r="1179">
          <cell r="H1179" t="str">
            <v>98-3706-000</v>
          </cell>
          <cell r="I1179" t="str">
            <v>CLUTCH HOUSING TENS. PINS - ITEMS</v>
          </cell>
        </row>
        <row r="1180">
          <cell r="H1180" t="str">
            <v>98-3715-000</v>
          </cell>
          <cell r="I1180" t="str">
            <v>RESET HANDLE PINS - ITEMS</v>
          </cell>
        </row>
        <row r="1181">
          <cell r="H1181" t="str">
            <v>98-3724-000</v>
          </cell>
          <cell r="I1181" t="str">
            <v>BONDING CLAMPS - ITEMS</v>
          </cell>
        </row>
        <row r="1182">
          <cell r="H1182" t="str">
            <v>98-3733-000</v>
          </cell>
          <cell r="I1182" t="str">
            <v>3 " BULK METER CALIBRATOR - ITEMS</v>
          </cell>
        </row>
        <row r="1183">
          <cell r="H1183" t="str">
            <v>98-3742-000</v>
          </cell>
          <cell r="I1183" t="str">
            <v>3" BULK METER OUTER COVER - ITEMS</v>
          </cell>
        </row>
        <row r="1184">
          <cell r="H1184" t="str">
            <v>98-3751-000</v>
          </cell>
          <cell r="I1184" t="str">
            <v>1 X 2 1/2 " X 10 ' ELAFLEX HOSE - ITEM</v>
          </cell>
        </row>
        <row r="1185">
          <cell r="H1185" t="str">
            <v>98-3760-000</v>
          </cell>
          <cell r="I1185" t="str">
            <v>GARSITE HOSE TESTER - ITEM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hange Rate"/>
      <sheetName val="MT Aristos II"/>
      <sheetName val="Price Buildup"/>
      <sheetName val="GOT Stock"/>
      <sheetName val="GTL Stock"/>
      <sheetName val="Group Stock"/>
      <sheetName val="Accounts Payable"/>
      <sheetName val="Purchases"/>
      <sheetName val="Sales Qty"/>
      <sheetName val="COGS"/>
      <sheetName val="Handling Income"/>
      <sheetName val="GM in LC Jun04"/>
      <sheetName val="GM PerUnit Jun04"/>
      <sheetName val="Margin Analysis in LC"/>
      <sheetName val="Margin Analysis Per Unit"/>
      <sheetName val="Duty"/>
      <sheetName val="GTL PRODUCTWISE"/>
      <sheetName val="GOT PRODUCTWISE"/>
      <sheetName val="PLGOTTSH"/>
      <sheetName val="PLGTLTSH"/>
      <sheetName val="Cash Flow"/>
      <sheetName val="Cash Flow Purchase from Barclay"/>
      <sheetName val="New Schedule"/>
      <sheetName val="Collection Details Given to Ban"/>
      <sheetName val="Cash Flow Given to Bank"/>
      <sheetName val="Overheads"/>
      <sheetName val="LC For Purchases"/>
      <sheetName val="Loan Schedule"/>
      <sheetName val="PLGOTUSD"/>
      <sheetName val="PLGTLUSD"/>
      <sheetName val="Fixed Assets"/>
      <sheetName val="LC Acct With BBTL"/>
      <sheetName val="GOT Details to BS in TSH"/>
      <sheetName val="Working Capital"/>
      <sheetName val="Trading Forecast"/>
      <sheetName val="Exchange_Rate"/>
      <sheetName val="MT_Aristos_II"/>
      <sheetName val="Price_Buildup"/>
      <sheetName val="GOT_Stock"/>
      <sheetName val="GTL_Stock"/>
      <sheetName val="Group_Stock"/>
      <sheetName val="Accounts_Payable"/>
      <sheetName val="Sales_Qty"/>
      <sheetName val="Handling_Income"/>
      <sheetName val="GM_in_LC_Jun04"/>
      <sheetName val="GM_PerUnit_Jun04"/>
      <sheetName val="Margin_Analysis_in_LC"/>
      <sheetName val="Margin_Analysis_Per_Unit"/>
      <sheetName val="GTL_PRODUCTWISE"/>
      <sheetName val="GOT_PRODUCTWISE"/>
      <sheetName val="Cash_Flow"/>
      <sheetName val="Cash_Flow_Purchase_from_Barclay"/>
      <sheetName val="New_Schedule"/>
      <sheetName val="Collection_Details_Given_to_Ban"/>
      <sheetName val="Cash_Flow_Given_to_Bank"/>
      <sheetName val="LC_For_Purchases"/>
      <sheetName val="Loan_Schedule"/>
      <sheetName val="Fixed_Assets"/>
      <sheetName val="LC_Acct_With_BBTL"/>
      <sheetName val="GOT_Details_to_BS_in_TSH"/>
      <sheetName val="Working_Capital"/>
      <sheetName val="Exchange_Rate1"/>
      <sheetName val="MT_Aristos_II1"/>
      <sheetName val="Price_Buildup1"/>
      <sheetName val="GOT_Stock1"/>
      <sheetName val="GTL_Stock1"/>
      <sheetName val="Group_Stock1"/>
      <sheetName val="Accounts_Payable1"/>
      <sheetName val="Sales_Qty1"/>
      <sheetName val="Handling_Income1"/>
      <sheetName val="GM_in_LC_Jun041"/>
      <sheetName val="GM_PerUnit_Jun041"/>
      <sheetName val="Margin_Analysis_in_LC1"/>
      <sheetName val="Margin_Analysis_Per_Unit1"/>
      <sheetName val="GTL_PRODUCTWISE1"/>
      <sheetName val="GOT_PRODUCTWISE1"/>
      <sheetName val="Cash_Flow1"/>
      <sheetName val="Cash_Flow_Purchase_from_Barcla1"/>
      <sheetName val="New_Schedule1"/>
      <sheetName val="Collection_Details_Given_to_Ba1"/>
      <sheetName val="Cash_Flow_Given_to_Bank1"/>
      <sheetName val="LC_For_Purchases1"/>
      <sheetName val="Loan_Schedule1"/>
      <sheetName val="Fixed_Assets1"/>
      <sheetName val="LC_Acct_With_BBTL1"/>
      <sheetName val="GOT_Details_to_BS_in_TSH1"/>
      <sheetName val="Working_Capital1"/>
      <sheetName val="Trading_Forecast"/>
      <sheetName val="Exchange_Rate2"/>
      <sheetName val="MT_Aristos_II2"/>
      <sheetName val="Price_Buildup2"/>
      <sheetName val="GOT_Stock2"/>
      <sheetName val="GTL_Stock2"/>
      <sheetName val="Group_Stock2"/>
      <sheetName val="Accounts_Payable2"/>
      <sheetName val="Sales_Qty2"/>
      <sheetName val="Handling_Income2"/>
      <sheetName val="GM_in_LC_Jun042"/>
      <sheetName val="GM_PerUnit_Jun042"/>
      <sheetName val="Margin_Analysis_in_LC2"/>
      <sheetName val="Margin_Analysis_Per_Unit2"/>
      <sheetName val="GTL_PRODUCTWISE2"/>
      <sheetName val="GOT_PRODUCTWISE2"/>
      <sheetName val="Cash_Flow2"/>
      <sheetName val="Cash_Flow_Purchase_from_Barcla2"/>
      <sheetName val="New_Schedule2"/>
      <sheetName val="Collection_Details_Given_to_Ba2"/>
      <sheetName val="Cash_Flow_Given_to_Bank2"/>
      <sheetName val="LC_For_Purchases2"/>
      <sheetName val="Loan_Schedule2"/>
      <sheetName val="Fixed_Assets2"/>
      <sheetName val="LC_Acct_With_BBTL2"/>
      <sheetName val="GOT_Details_to_BS_in_TSH2"/>
      <sheetName val="Working_Capital2"/>
      <sheetName val="Trading_Forecast1"/>
      <sheetName val="Exchange_Rate3"/>
      <sheetName val="MT_Aristos_II3"/>
      <sheetName val="Price_Buildup3"/>
      <sheetName val="GOT_Stock3"/>
      <sheetName val="GTL_Stock3"/>
      <sheetName val="Group_Stock3"/>
      <sheetName val="Accounts_Payable3"/>
      <sheetName val="Sales_Qty3"/>
      <sheetName val="Handling_Income3"/>
      <sheetName val="GM_in_LC_Jun043"/>
      <sheetName val="GM_PerUnit_Jun043"/>
      <sheetName val="Margin_Analysis_in_LC3"/>
      <sheetName val="Margin_Analysis_Per_Unit3"/>
      <sheetName val="GTL_PRODUCTWISE3"/>
      <sheetName val="GOT_PRODUCTWISE3"/>
      <sheetName val="Cash_Flow3"/>
      <sheetName val="Cash_Flow_Purchase_from_Barcla3"/>
      <sheetName val="New_Schedule3"/>
      <sheetName val="Collection_Details_Given_to_Ba3"/>
      <sheetName val="Cash_Flow_Given_to_Bank3"/>
      <sheetName val="LC_For_Purchases3"/>
      <sheetName val="Loan_Schedule3"/>
      <sheetName val="Fixed_Assets3"/>
      <sheetName val="LC_Acct_With_BBTL3"/>
      <sheetName val="GOT_Details_to_BS_in_TSH3"/>
      <sheetName val="Working_Capital3"/>
      <sheetName val="Trading_Forecast2"/>
      <sheetName val="Exchange_Rate4"/>
      <sheetName val="MT_Aristos_II4"/>
      <sheetName val="Price_Buildup4"/>
      <sheetName val="GOT_Stock4"/>
      <sheetName val="GTL_Stock4"/>
      <sheetName val="Group_Stock4"/>
      <sheetName val="Accounts_Payable4"/>
      <sheetName val="Sales_Qty4"/>
      <sheetName val="Handling_Income4"/>
      <sheetName val="GM_in_LC_Jun044"/>
      <sheetName val="GM_PerUnit_Jun044"/>
      <sheetName val="Margin_Analysis_in_LC4"/>
      <sheetName val="Margin_Analysis_Per_Unit4"/>
      <sheetName val="GTL_PRODUCTWISE4"/>
      <sheetName val="GOT_PRODUCTWISE4"/>
      <sheetName val="Cash_Flow4"/>
      <sheetName val="Cash_Flow_Purchase_from_Barcla4"/>
      <sheetName val="New_Schedule4"/>
      <sheetName val="Collection_Details_Given_to_Ba4"/>
      <sheetName val="Cash_Flow_Given_to_Bank4"/>
      <sheetName val="LC_For_Purchases4"/>
      <sheetName val="Loan_Schedule4"/>
      <sheetName val="Fixed_Assets4"/>
      <sheetName val="LC_Acct_With_BBTL4"/>
      <sheetName val="GOT_Details_to_BS_in_TSH4"/>
      <sheetName val="Working_Capital4"/>
      <sheetName val="Trading_Forecast3"/>
      <sheetName val="Exchange_Rate5"/>
      <sheetName val="MT_Aristos_II5"/>
      <sheetName val="Price_Buildup5"/>
      <sheetName val="GOT_Stock5"/>
      <sheetName val="GTL_Stock5"/>
      <sheetName val="Group_Stock5"/>
      <sheetName val="Accounts_Payable5"/>
      <sheetName val="Sales_Qty5"/>
      <sheetName val="Handling_Income5"/>
      <sheetName val="GM_in_LC_Jun045"/>
      <sheetName val="GM_PerUnit_Jun045"/>
      <sheetName val="Margin_Analysis_in_LC5"/>
      <sheetName val="Margin_Analysis_Per_Unit5"/>
      <sheetName val="GTL_PRODUCTWISE5"/>
      <sheetName val="GOT_PRODUCTWISE5"/>
      <sheetName val="Cash_Flow5"/>
      <sheetName val="Cash_Flow_Purchase_from_Barcla5"/>
      <sheetName val="New_Schedule5"/>
      <sheetName val="Collection_Details_Given_to_Ba5"/>
      <sheetName val="Cash_Flow_Given_to_Bank5"/>
      <sheetName val="LC_For_Purchases5"/>
      <sheetName val="Loan_Schedule5"/>
      <sheetName val="Fixed_Assets5"/>
      <sheetName val="LC_Acct_With_BBTL5"/>
      <sheetName val="GOT_Details_to_BS_in_TSH5"/>
      <sheetName val="Working_Capital5"/>
      <sheetName val="Trading_Forecast4"/>
      <sheetName val="Exchange_Rate7"/>
      <sheetName val="MT_Aristos_II7"/>
      <sheetName val="Price_Buildup7"/>
      <sheetName val="GOT_Stock7"/>
      <sheetName val="GTL_Stock7"/>
      <sheetName val="Group_Stock7"/>
      <sheetName val="Accounts_Payable7"/>
      <sheetName val="Sales_Qty7"/>
      <sheetName val="Handling_Income7"/>
      <sheetName val="GM_in_LC_Jun047"/>
      <sheetName val="GM_PerUnit_Jun047"/>
      <sheetName val="Margin_Analysis_in_LC7"/>
      <sheetName val="Margin_Analysis_Per_Unit7"/>
      <sheetName val="GTL_PRODUCTWISE7"/>
      <sheetName val="GOT_PRODUCTWISE7"/>
      <sheetName val="Cash_Flow7"/>
      <sheetName val="Cash_Flow_Purchase_from_Barcla7"/>
      <sheetName val="New_Schedule7"/>
      <sheetName val="Collection_Details_Given_to_Ba7"/>
      <sheetName val="Cash_Flow_Given_to_Bank7"/>
      <sheetName val="LC_For_Purchases7"/>
      <sheetName val="Loan_Schedule7"/>
      <sheetName val="Fixed_Assets7"/>
      <sheetName val="LC_Acct_With_BBTL7"/>
      <sheetName val="GOT_Details_to_BS_in_TSH7"/>
      <sheetName val="Working_Capital7"/>
      <sheetName val="Trading_Forecast6"/>
      <sheetName val="Exchange_Rate6"/>
      <sheetName val="MT_Aristos_II6"/>
      <sheetName val="Price_Buildup6"/>
      <sheetName val="GOT_Stock6"/>
      <sheetName val="GTL_Stock6"/>
      <sheetName val="Group_Stock6"/>
      <sheetName val="Accounts_Payable6"/>
      <sheetName val="Sales_Qty6"/>
      <sheetName val="Handling_Income6"/>
      <sheetName val="GM_in_LC_Jun046"/>
      <sheetName val="GM_PerUnit_Jun046"/>
      <sheetName val="Margin_Analysis_in_LC6"/>
      <sheetName val="Margin_Analysis_Per_Unit6"/>
      <sheetName val="GTL_PRODUCTWISE6"/>
      <sheetName val="GOT_PRODUCTWISE6"/>
      <sheetName val="Cash_Flow6"/>
      <sheetName val="Cash_Flow_Purchase_from_Barcla6"/>
      <sheetName val="New_Schedule6"/>
      <sheetName val="Collection_Details_Given_to_Ba6"/>
      <sheetName val="Cash_Flow_Given_to_Bank6"/>
      <sheetName val="LC_For_Purchases6"/>
      <sheetName val="Loan_Schedule6"/>
      <sheetName val="Fixed_Assets6"/>
      <sheetName val="LC_Acct_With_BBTL6"/>
      <sheetName val="GOT_Details_to_BS_in_TSH6"/>
      <sheetName val="Working_Capital6"/>
      <sheetName val="Trading_Forecas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-CD REQ"/>
      <sheetName val="st&amp;T"/>
      <sheetName val="req"/>
      <sheetName val="idf"/>
      <sheetName val="buildup"/>
    </sheetNames>
    <sheetDataSet>
      <sheetData sheetId="0"/>
      <sheetData sheetId="1"/>
      <sheetData sheetId="2"/>
      <sheetData sheetId="3"/>
      <sheetData sheetId="4">
        <row r="1">
          <cell r="A1" t="str">
            <v xml:space="preserve">JULY  2001 INDUSTRY AGO IMPORT - COST BUILD-UP  </v>
          </cell>
        </row>
        <row r="2">
          <cell r="A2" t="str">
            <v>MOBIL</v>
          </cell>
          <cell r="B2" t="str">
            <v>FINAL</v>
          </cell>
        </row>
        <row r="3">
          <cell r="A3" t="str">
            <v>EX- MT NORTH SEA DOWEL</v>
          </cell>
          <cell r="E3" t="str">
            <v xml:space="preserve">     B/L Date  </v>
          </cell>
          <cell r="F3" t="str">
            <v>22.07.2001</v>
          </cell>
        </row>
        <row r="4">
          <cell r="A4" t="str">
            <v>=</v>
          </cell>
          <cell r="B4" t="str">
            <v>=</v>
          </cell>
          <cell r="C4" t="str">
            <v>=</v>
          </cell>
          <cell r="D4" t="str">
            <v>=</v>
          </cell>
          <cell r="E4" t="str">
            <v>=</v>
          </cell>
          <cell r="F4" t="str">
            <v>=</v>
          </cell>
        </row>
        <row r="5">
          <cell r="F5" t="str">
            <v>M-3329</v>
          </cell>
        </row>
        <row r="6">
          <cell r="A6" t="str">
            <v>DATE:</v>
          </cell>
          <cell r="B6" t="str">
            <v>20/07/2001</v>
          </cell>
          <cell r="C6">
            <v>199.5</v>
          </cell>
          <cell r="E6" t="str">
            <v xml:space="preserve">    B/L QUANTITY MT =</v>
          </cell>
          <cell r="F6">
            <v>21791.1</v>
          </cell>
        </row>
        <row r="7">
          <cell r="B7" t="str">
            <v>23/07/2001</v>
          </cell>
          <cell r="C7">
            <v>204.75</v>
          </cell>
          <cell r="F7" t="str">
            <v xml:space="preserve"> </v>
          </cell>
        </row>
        <row r="8">
          <cell r="B8" t="str">
            <v>24/07/2001</v>
          </cell>
          <cell r="C8">
            <v>202.25</v>
          </cell>
        </row>
        <row r="10">
          <cell r="B10" t="str">
            <v>AVG.</v>
          </cell>
          <cell r="C10">
            <v>202.16666666666666</v>
          </cell>
        </row>
        <row r="11">
          <cell r="D11" t="str">
            <v>AGO</v>
          </cell>
        </row>
        <row r="12">
          <cell r="D12" t="str">
            <v>USD  / BBL</v>
          </cell>
          <cell r="E12" t="str">
            <v>US $/MT</v>
          </cell>
          <cell r="F12" t="str">
            <v>KSHS./MT</v>
          </cell>
        </row>
        <row r="13">
          <cell r="D13" t="str">
            <v>-</v>
          </cell>
          <cell r="E13" t="str">
            <v>-</v>
          </cell>
          <cell r="F13" t="str">
            <v>-</v>
          </cell>
        </row>
        <row r="14">
          <cell r="A14" t="str">
            <v>SOURCE OF PRODUCT:</v>
          </cell>
          <cell r="D14" t="str">
            <v>MED. ITALY</v>
          </cell>
        </row>
        <row r="15">
          <cell r="A15" t="str">
            <v>AVG QUOTED FOB - $/MT</v>
          </cell>
          <cell r="D15">
            <v>202.16666666666666</v>
          </cell>
          <cell r="E15">
            <v>202.16666666666666</v>
          </cell>
          <cell r="F15">
            <v>0</v>
          </cell>
        </row>
        <row r="16">
          <cell r="A16" t="str">
            <v>FREIGHT/PREMIUMS (Mobil offer)</v>
          </cell>
          <cell r="D16">
            <v>8.1999999999999993</v>
          </cell>
          <cell r="E16">
            <v>8.1999999999999993</v>
          </cell>
          <cell r="F16">
            <v>0</v>
          </cell>
        </row>
        <row r="17">
          <cell r="D17" t="str">
            <v>-</v>
          </cell>
          <cell r="E17" t="str">
            <v>-</v>
          </cell>
          <cell r="F17" t="str">
            <v>-</v>
          </cell>
          <cell r="G17" t="str">
            <v>b/l</v>
          </cell>
          <cell r="H17">
            <v>22496.09</v>
          </cell>
        </row>
        <row r="18">
          <cell r="A18" t="str">
            <v>PRODUCT COST C&amp;F</v>
          </cell>
          <cell r="D18">
            <v>210.36666666666665</v>
          </cell>
          <cell r="E18">
            <v>210.36666666666665</v>
          </cell>
          <cell r="F18">
            <v>0</v>
          </cell>
          <cell r="G18" t="str">
            <v xml:space="preserve"> </v>
          </cell>
          <cell r="H18">
            <v>4732427.4663333325</v>
          </cell>
        </row>
        <row r="19">
          <cell r="G19" t="str">
            <v>acc</v>
          </cell>
          <cell r="H19">
            <v>4732428.22</v>
          </cell>
        </row>
        <row r="20">
          <cell r="A20" t="str">
            <v>INSURANCE [1.003*C&amp;F*0.077%]</v>
          </cell>
          <cell r="D20">
            <v>0.16246828033333333</v>
          </cell>
          <cell r="E20">
            <v>0</v>
          </cell>
          <cell r="F20">
            <v>0.16246828033333333</v>
          </cell>
          <cell r="G20" t="str">
            <v>inv</v>
          </cell>
          <cell r="H20">
            <v>4731341.8</v>
          </cell>
        </row>
        <row r="21">
          <cell r="A21" t="str">
            <v>WAR RISK [1.003*C&amp;F*0.0275%]</v>
          </cell>
          <cell r="D21">
            <v>5.8024385833333331E-2</v>
          </cell>
          <cell r="E21">
            <v>0</v>
          </cell>
          <cell r="F21">
            <v>5.8024385833333331E-2</v>
          </cell>
          <cell r="H21">
            <v>-1086.4199999999255</v>
          </cell>
        </row>
        <row r="22">
          <cell r="D22" t="str">
            <v>-</v>
          </cell>
          <cell r="E22" t="str">
            <v>-</v>
          </cell>
          <cell r="F22" t="str">
            <v>-</v>
          </cell>
        </row>
        <row r="23">
          <cell r="A23" t="str">
            <v>CIF MOMBASA</v>
          </cell>
          <cell r="D23">
            <v>210.58715933283332</v>
          </cell>
          <cell r="E23">
            <v>210.36666666666665</v>
          </cell>
          <cell r="F23">
            <v>0.22049266616666666</v>
          </cell>
        </row>
        <row r="25">
          <cell r="A25" t="str">
            <v>CBK FEE @ 2.75% OF CIF</v>
          </cell>
          <cell r="D25">
            <v>5.7911468816529172</v>
          </cell>
          <cell r="E25">
            <v>0</v>
          </cell>
          <cell r="F25">
            <v>5.7911468816529172</v>
          </cell>
        </row>
        <row r="26">
          <cell r="A26" t="str">
            <v xml:space="preserve">WHARFAGE @ 2.5 $/MT  (+18 % VAT) </v>
          </cell>
          <cell r="D26">
            <v>2.9499999999999997</v>
          </cell>
          <cell r="E26">
            <v>0</v>
          </cell>
          <cell r="F26">
            <v>2.9499999999999997</v>
          </cell>
        </row>
        <row r="27">
          <cell r="A27" t="str">
            <v>LC CHARGES @ 1.20% C&amp;F</v>
          </cell>
          <cell r="D27">
            <v>2.5244000000000004</v>
          </cell>
          <cell r="E27">
            <v>2.5244000000000004</v>
          </cell>
          <cell r="F27">
            <v>0</v>
          </cell>
        </row>
        <row r="28">
          <cell r="D28" t="str">
            <v>-</v>
          </cell>
          <cell r="E28" t="str">
            <v>-</v>
          </cell>
          <cell r="F28" t="str">
            <v>-</v>
          </cell>
        </row>
        <row r="29">
          <cell r="A29" t="str">
            <v>CIFLW</v>
          </cell>
          <cell r="D29">
            <v>221.85270621448623</v>
          </cell>
          <cell r="E29">
            <v>212.89106666666666</v>
          </cell>
          <cell r="F29">
            <v>8.9616395478195834</v>
          </cell>
        </row>
        <row r="31">
          <cell r="A31" t="str">
            <v>OCEAN LOSS @ 0.5% CIFLW</v>
          </cell>
          <cell r="D31">
            <v>1.1092635310724313</v>
          </cell>
          <cell r="E31">
            <v>0</v>
          </cell>
          <cell r="F31">
            <v>1.1092635310724313</v>
          </cell>
        </row>
        <row r="32">
          <cell r="A32" t="str">
            <v>KOSF CHARGES (2.00 $/M3)</v>
          </cell>
          <cell r="D32">
            <v>0</v>
          </cell>
          <cell r="E32">
            <v>0</v>
          </cell>
          <cell r="F32">
            <v>0</v>
          </cell>
        </row>
        <row r="33">
          <cell r="D33" t="str">
            <v>-</v>
          </cell>
          <cell r="E33" t="str">
            <v>-</v>
          </cell>
          <cell r="F33" t="str">
            <v>-</v>
          </cell>
        </row>
        <row r="34">
          <cell r="A34" t="str">
            <v>LANDED COST AT MOMBASA</v>
          </cell>
          <cell r="D34">
            <v>222.96196974555866</v>
          </cell>
          <cell r="E34">
            <v>212.89106666666666</v>
          </cell>
          <cell r="F34">
            <v>10.070903078892014</v>
          </cell>
        </row>
        <row r="36">
          <cell r="A36" t="str">
            <v>ADMINISTRATION FEES @ 0.5% CIF</v>
          </cell>
          <cell r="D36">
            <v>1.0529357966641666</v>
          </cell>
          <cell r="E36">
            <v>0</v>
          </cell>
          <cell r="F36">
            <v>84.636664033140377</v>
          </cell>
        </row>
        <row r="38">
          <cell r="A38" t="str">
            <v>APPLICABLE EXCH RATE KSHS/US $</v>
          </cell>
          <cell r="D38">
            <v>80.381600000000006</v>
          </cell>
          <cell r="E38">
            <v>80.381600000000006</v>
          </cell>
          <cell r="F38">
            <v>80.381600000000006</v>
          </cell>
        </row>
        <row r="39">
          <cell r="A39" t="str">
            <v>(Citi Bank TT Selling 23/07/2001)</v>
          </cell>
        </row>
        <row r="41">
          <cell r="A41" t="str">
            <v>ITS INSPECTION FEES</v>
          </cell>
          <cell r="D41">
            <v>0.12882181103889445</v>
          </cell>
          <cell r="E41">
            <v>0</v>
          </cell>
          <cell r="F41">
            <v>10.354903286203999</v>
          </cell>
        </row>
        <row r="43">
          <cell r="A43" t="str">
            <v>ANALYSIS CHARGES</v>
          </cell>
          <cell r="D43">
            <v>5.3893475821000618E-3</v>
          </cell>
          <cell r="E43">
            <v>0</v>
          </cell>
          <cell r="F43">
            <v>0.43320438160533437</v>
          </cell>
        </row>
        <row r="45">
          <cell r="A45" t="str">
            <v>RECERTIFICATION CHARGES</v>
          </cell>
          <cell r="D45">
            <v>1.4719655583610793E-2</v>
          </cell>
          <cell r="E45">
            <v>0</v>
          </cell>
          <cell r="F45">
            <v>1.1831894672595695</v>
          </cell>
        </row>
        <row r="47">
          <cell r="A47" t="str">
            <v>SUSPENDED DUTY (Kshs. 300 per M3)</v>
          </cell>
          <cell r="D47">
            <v>4.3553774969371375</v>
          </cell>
          <cell r="E47">
            <v>0</v>
          </cell>
          <cell r="F47">
            <v>350.09221180780224</v>
          </cell>
        </row>
        <row r="48">
          <cell r="D48" t="str">
            <v>-</v>
          </cell>
          <cell r="E48" t="str">
            <v>-</v>
          </cell>
          <cell r="F48" t="str">
            <v>-</v>
          </cell>
        </row>
        <row r="49">
          <cell r="A49" t="str">
            <v>COST AT KOSF ($/MT):</v>
          </cell>
          <cell r="D49">
            <v>228.51921385336459</v>
          </cell>
          <cell r="E49">
            <v>212.89106666666666</v>
          </cell>
          <cell r="F49">
            <v>1256.2154759022781</v>
          </cell>
          <cell r="G49" t="str">
            <v xml:space="preserve"> </v>
          </cell>
          <cell r="H49" t="str">
            <v xml:space="preserve"> </v>
          </cell>
          <cell r="I49" t="str">
            <v xml:space="preserve"> </v>
          </cell>
        </row>
        <row r="50">
          <cell r="C50" t="str">
            <v>KSH / LT</v>
          </cell>
          <cell r="D50">
            <v>15.527252781298065</v>
          </cell>
        </row>
        <row r="51">
          <cell r="A51" t="str">
            <v>COST AT KOSF (KSHS./MT)</v>
          </cell>
          <cell r="D51">
            <v>18368.740040275614</v>
          </cell>
        </row>
        <row r="55">
          <cell r="A55" t="str">
            <v>=</v>
          </cell>
          <cell r="B55" t="str">
            <v>=</v>
          </cell>
          <cell r="C55" t="str">
            <v>=</v>
          </cell>
          <cell r="D55" t="str">
            <v>=</v>
          </cell>
          <cell r="E55" t="str">
            <v>=</v>
          </cell>
          <cell r="F55" t="str">
            <v>=</v>
          </cell>
          <cell r="G55" t="str">
            <v>=</v>
          </cell>
          <cell r="H55" t="str">
            <v>=</v>
          </cell>
          <cell r="I55" t="str">
            <v>=</v>
          </cell>
        </row>
        <row r="56">
          <cell r="B56" t="str">
            <v>REQUIREMENT</v>
          </cell>
          <cell r="C56" t="str">
            <v>B/L QTY</v>
          </cell>
          <cell r="E56" t="str">
            <v xml:space="preserve">                 FINAL AMOUNTS</v>
          </cell>
          <cell r="G56" t="str">
            <v xml:space="preserve">                 PROVISIONAL  AMOUNTS</v>
          </cell>
          <cell r="H56" t="str">
            <v xml:space="preserve">                 PROVISIONAL  AMOUNTS</v>
          </cell>
          <cell r="I56" t="str">
            <v xml:space="preserve">                      DEBIT/(CREDIT NOTES)</v>
          </cell>
        </row>
        <row r="57">
          <cell r="B57" t="str">
            <v>(PARTICIPATION)</v>
          </cell>
          <cell r="C57" t="str">
            <v>MT</v>
          </cell>
          <cell r="D57" t="str">
            <v>M3</v>
          </cell>
          <cell r="E57" t="str">
            <v>US $</v>
          </cell>
          <cell r="F57" t="str">
            <v>KSHS.</v>
          </cell>
          <cell r="G57" t="str">
            <v>US $</v>
          </cell>
          <cell r="H57" t="str">
            <v>US $</v>
          </cell>
          <cell r="I57" t="str">
            <v>KSH</v>
          </cell>
        </row>
        <row r="58">
          <cell r="B58">
            <v>21791.1</v>
          </cell>
          <cell r="C58">
            <v>21791.1</v>
          </cell>
          <cell r="D58">
            <v>25429.647989083333</v>
          </cell>
        </row>
        <row r="59">
          <cell r="C59" t="str">
            <v>conv</v>
          </cell>
          <cell r="D59">
            <v>1.1669740393593409</v>
          </cell>
          <cell r="E59" t="str">
            <v xml:space="preserve"> </v>
          </cell>
        </row>
        <row r="60">
          <cell r="A60" t="str">
            <v>-</v>
          </cell>
          <cell r="B60" t="str">
            <v>-</v>
          </cell>
          <cell r="C60" t="str">
            <v>-</v>
          </cell>
          <cell r="D60" t="str">
            <v>-</v>
          </cell>
          <cell r="E60" t="str">
            <v>-</v>
          </cell>
          <cell r="F60" t="str">
            <v>-</v>
          </cell>
          <cell r="G60" t="str">
            <v>-</v>
          </cell>
          <cell r="H60" t="str">
            <v>-</v>
          </cell>
          <cell r="I60" t="str">
            <v>-</v>
          </cell>
        </row>
        <row r="62">
          <cell r="A62" t="str">
            <v>PETRO</v>
          </cell>
          <cell r="B62">
            <v>2500</v>
          </cell>
          <cell r="C62">
            <v>2269.90625</v>
          </cell>
          <cell r="D62">
            <v>2648.9216655295136</v>
          </cell>
          <cell r="E62">
            <v>490052.48154583335</v>
          </cell>
          <cell r="F62">
            <v>2851491.3600973054</v>
          </cell>
          <cell r="G62">
            <v>512741.28333333333</v>
          </cell>
          <cell r="H62">
            <v>512741.28333333333</v>
          </cell>
          <cell r="I62">
            <v>2994726.2340285913</v>
          </cell>
        </row>
        <row r="63">
          <cell r="A63" t="str">
            <v>CALTEX</v>
          </cell>
          <cell r="B63">
            <v>5000</v>
          </cell>
          <cell r="C63">
            <v>4539.8125</v>
          </cell>
          <cell r="D63">
            <v>5297.8433310590272</v>
          </cell>
          <cell r="E63">
            <v>966485.52559166669</v>
          </cell>
          <cell r="F63">
            <v>5702982.7201946108</v>
          </cell>
          <cell r="G63">
            <v>1011232.5666666667</v>
          </cell>
          <cell r="H63">
            <v>1011232.5666666667</v>
          </cell>
          <cell r="I63">
            <v>5989452.4680571826</v>
          </cell>
        </row>
        <row r="64">
          <cell r="A64" t="str">
            <v>MOBIL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505616.28333333333</v>
          </cell>
          <cell r="H64">
            <v>505616.28333333333</v>
          </cell>
          <cell r="I64">
            <v>2994726.2340285913</v>
          </cell>
        </row>
        <row r="65">
          <cell r="A65" t="str">
            <v>KOBIL</v>
          </cell>
          <cell r="B65">
            <v>3000</v>
          </cell>
          <cell r="C65">
            <v>2723.8874999999998</v>
          </cell>
          <cell r="D65">
            <v>3178.7059986354166</v>
          </cell>
          <cell r="E65">
            <v>579891.31535499997</v>
          </cell>
          <cell r="F65">
            <v>3421789.6321167662</v>
          </cell>
          <cell r="G65">
            <v>606739.54</v>
          </cell>
          <cell r="H65">
            <v>606739.54</v>
          </cell>
          <cell r="I65">
            <v>3593671.4808343095</v>
          </cell>
        </row>
        <row r="66">
          <cell r="A66" t="str">
            <v>KENOL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SHELL</v>
          </cell>
          <cell r="B67">
            <v>11000</v>
          </cell>
          <cell r="C67">
            <v>9987.5874999999996</v>
          </cell>
          <cell r="D67">
            <v>11655.25532832986</v>
          </cell>
          <cell r="E67">
            <v>2126268.1563016665</v>
          </cell>
          <cell r="F67">
            <v>12546561.984428143</v>
          </cell>
          <cell r="G67">
            <v>2224711.6466666665</v>
          </cell>
          <cell r="H67">
            <v>2224711.6466666665</v>
          </cell>
          <cell r="I67">
            <v>13176795.429725802</v>
          </cell>
        </row>
        <row r="68">
          <cell r="A68" t="str">
            <v>TOTAL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NOCK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FUELEX</v>
          </cell>
          <cell r="B70">
            <v>1700</v>
          </cell>
          <cell r="C70">
            <v>1543.5362500000001</v>
          </cell>
          <cell r="D70">
            <v>1801.2667325600696</v>
          </cell>
          <cell r="E70">
            <v>328605.07870116667</v>
          </cell>
          <cell r="F70">
            <v>1939014.1248661678</v>
          </cell>
          <cell r="G70">
            <v>343819.07266666665</v>
          </cell>
          <cell r="H70">
            <v>343819.07266666665</v>
          </cell>
          <cell r="I70">
            <v>2036413.839139442</v>
          </cell>
        </row>
        <row r="71">
          <cell r="A71" t="str">
            <v>ENGEN</v>
          </cell>
          <cell r="B71">
            <v>300</v>
          </cell>
          <cell r="C71">
            <v>272.38875000000002</v>
          </cell>
          <cell r="D71">
            <v>317.87059986354166</v>
          </cell>
          <cell r="E71">
            <v>57989.131535500004</v>
          </cell>
          <cell r="F71">
            <v>342178.96321167669</v>
          </cell>
          <cell r="G71">
            <v>60673.953999999998</v>
          </cell>
          <cell r="H71">
            <v>60673.953999999998</v>
          </cell>
          <cell r="I71">
            <v>359367.14808343095</v>
          </cell>
        </row>
        <row r="72">
          <cell r="A72" t="str">
            <v>MAFUTA</v>
          </cell>
          <cell r="B72">
            <v>500</v>
          </cell>
          <cell r="C72">
            <v>453.98124999999999</v>
          </cell>
          <cell r="D72">
            <v>529.78433310590276</v>
          </cell>
          <cell r="E72">
            <v>96648.552559166666</v>
          </cell>
          <cell r="F72">
            <v>570298.27201946103</v>
          </cell>
          <cell r="G72">
            <v>101123.25666666667</v>
          </cell>
          <cell r="H72">
            <v>101123.25666666667</v>
          </cell>
          <cell r="I72">
            <v>598945.24680571829</v>
          </cell>
        </row>
        <row r="73">
          <cell r="A73" t="str">
            <v>-</v>
          </cell>
          <cell r="B73" t="str">
            <v>-</v>
          </cell>
          <cell r="C73" t="str">
            <v>-</v>
          </cell>
          <cell r="D73" t="str">
            <v>-</v>
          </cell>
          <cell r="E73" t="str">
            <v>-</v>
          </cell>
          <cell r="F73" t="str">
            <v>-</v>
          </cell>
          <cell r="G73" t="str">
            <v>-</v>
          </cell>
          <cell r="H73" t="str">
            <v>-</v>
          </cell>
          <cell r="I73" t="str">
            <v>-</v>
          </cell>
        </row>
        <row r="74">
          <cell r="A74" t="str">
            <v>GLOBAL</v>
          </cell>
          <cell r="B74">
            <v>24000</v>
          </cell>
          <cell r="C74">
            <v>21791.1</v>
          </cell>
          <cell r="D74">
            <v>25429.647989083333</v>
          </cell>
          <cell r="E74">
            <v>4645940.2415899998</v>
          </cell>
          <cell r="F74">
            <v>27374317.056934133</v>
          </cell>
          <cell r="G74">
            <v>5366657.6033333335</v>
          </cell>
          <cell r="H74">
            <v>5366657.6033333335</v>
          </cell>
          <cell r="I74">
            <v>31744098.080703069</v>
          </cell>
        </row>
        <row r="75">
          <cell r="A75" t="str">
            <v>=</v>
          </cell>
          <cell r="B75" t="str">
            <v>=</v>
          </cell>
          <cell r="C75" t="str">
            <v>=</v>
          </cell>
          <cell r="D75" t="str">
            <v>=</v>
          </cell>
          <cell r="E75" t="str">
            <v>=</v>
          </cell>
          <cell r="F75" t="str">
            <v>=</v>
          </cell>
          <cell r="G75" t="str">
            <v>=</v>
          </cell>
          <cell r="H75" t="str">
            <v>=</v>
          </cell>
          <cell r="I75" t="str">
            <v>=</v>
          </cell>
        </row>
        <row r="76">
          <cell r="C76" t="str">
            <v>sales</v>
          </cell>
          <cell r="D76">
            <v>25429.647989083333</v>
          </cell>
        </row>
        <row r="77">
          <cell r="C77" t="str">
            <v>outturn</v>
          </cell>
          <cell r="D77">
            <v>26186.600999999999</v>
          </cell>
        </row>
        <row r="78">
          <cell r="B78" t="str">
            <v xml:space="preserve"> </v>
          </cell>
          <cell r="C78" t="str">
            <v>mokl portion</v>
          </cell>
          <cell r="D78">
            <v>756.95301091666624</v>
          </cell>
        </row>
        <row r="79">
          <cell r="D79" t="str">
            <v xml:space="preserve"> </v>
          </cell>
        </row>
        <row r="82">
          <cell r="A82" t="str">
            <v>PREPARED BY:____________________</v>
          </cell>
          <cell r="B82" t="str">
            <v xml:space="preserve"> </v>
          </cell>
          <cell r="E82" t="str">
            <v>REVIEWED BY:_____________________</v>
          </cell>
        </row>
        <row r="84">
          <cell r="A84" t="str">
            <v>K:\Supply Department\Industry Tender\[AGO-0701finalNSD.xls]buildup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DU Price"/>
      <sheetName val="Purchase Details in Qty"/>
      <sheetName val="Purchase Details in %age"/>
      <sheetName val="Distance Master"/>
      <sheetName val="Actual 2001"/>
      <sheetName val="Budget 2002"/>
      <sheetName val="Stock Flow"/>
      <sheetName val="LocationWie Sales"/>
      <sheetName val="Top Sheet"/>
      <sheetName val="Proposed P&amp;L 2002"/>
      <sheetName val="P&amp;L Detailed 2002"/>
      <sheetName val="Detailed Budget 2003"/>
      <sheetName val="Overhead budget USD"/>
      <sheetName val="BS Detailed Sep 02"/>
      <sheetName val="Volume YTD Dec 02"/>
      <sheetName val="WORKING CAPITAL"/>
      <sheetName val="Sales Quantity"/>
      <sheetName val="Sales 2002 Vs 2003"/>
      <sheetName val="Sales Value"/>
      <sheetName val="Discount Value"/>
      <sheetName val="New Discount"/>
      <sheetName val="COGS"/>
      <sheetName val="Duty"/>
      <sheetName val="Transport"/>
      <sheetName val="Basic Price in USD"/>
      <sheetName val="Price Built up"/>
      <sheetName val="GP Analysis2003 USH"/>
      <sheetName val="GP Analysis2003 USD"/>
      <sheetName val="Capital Project Detail"/>
      <sheetName val="Investment Summay Old"/>
      <sheetName val="Investment Cash Outflow"/>
      <sheetName val="Capex"/>
      <sheetName val="Proposed BS 2002"/>
      <sheetName val="Sales Volume and Revenue"/>
      <sheetName val="Truck Unit Rate"/>
      <sheetName val="Int. Schedule"/>
      <sheetName val="Employee Details"/>
      <sheetName val="Other Workings"/>
      <sheetName val="Corporate Tax"/>
      <sheetName val="Trading Forecast"/>
      <sheetName val="Revenue Assumptions"/>
      <sheetName val="GUL Sales Volume"/>
      <sheetName val="GUL GP Analysis2003"/>
      <sheetName val="GUL P&amp;l Mgt"/>
      <sheetName val="Overhead budget USH"/>
      <sheetName val="GUL P&amp;L Details"/>
      <sheetName val="GUL PL(FI) - USH"/>
      <sheetName val="GUL PL(FI)-USD"/>
      <sheetName val="Exchange Rates"/>
      <sheetName val="GTLBS(IAS)"/>
      <sheetName val="BSheet Summary 2003"/>
      <sheetName val="GTLCFlow With WC Loan"/>
      <sheetName val="GTLBS"/>
      <sheetName val="GTLCFlow Wout WC Loan"/>
      <sheetName val="GTL Details to BS(IAS)"/>
      <sheetName val="BSheet Detailed 2003"/>
      <sheetName val="Fixed Asset"/>
      <sheetName val="GTLDetails to BS(Mgt)"/>
      <sheetName val="Cash Flow"/>
      <sheetName val="PL(Short)"/>
      <sheetName val="Sheet1"/>
      <sheetName val="Lubricants"/>
      <sheetName val="Purchases"/>
      <sheetName val="Sales Qty"/>
      <sheetName val="DDU_Price"/>
      <sheetName val="Purchase_Details_in_Qty"/>
      <sheetName val="Purchase_Details_in_%age"/>
      <sheetName val="Distance_Master"/>
      <sheetName val="Actual_2001"/>
      <sheetName val="Budget_2002"/>
      <sheetName val="Stock_Flow"/>
      <sheetName val="LocationWie_Sales"/>
      <sheetName val="Top_Sheet"/>
      <sheetName val="Proposed_P&amp;L_2002"/>
      <sheetName val="P&amp;L_Detailed_2002"/>
      <sheetName val="Detailed_Budget_2003"/>
      <sheetName val="Overhead_budget_USD"/>
      <sheetName val="BS_Detailed_Sep_02"/>
      <sheetName val="Volume_YTD_Dec_02"/>
      <sheetName val="WORKING_CAPITAL"/>
      <sheetName val="Sales_Quantity"/>
      <sheetName val="Sales_2002_Vs_2003"/>
      <sheetName val="Sales_Value"/>
      <sheetName val="Discount_Value"/>
      <sheetName val="New_Discount"/>
      <sheetName val="Basic_Price_in_USD"/>
      <sheetName val="Price_Built_up"/>
      <sheetName val="GP_Analysis2003_USH"/>
      <sheetName val="GP_Analysis2003_USD"/>
      <sheetName val="Capital_Project_Detail"/>
      <sheetName val="Investment_Summay_Old"/>
      <sheetName val="Investment_Cash_Outflow"/>
      <sheetName val="Proposed_BS_2002"/>
      <sheetName val="Sales_Volume_and_Revenue"/>
      <sheetName val="Truck_Unit_Rate"/>
      <sheetName val="Int__Schedule"/>
      <sheetName val="Employee_Details"/>
      <sheetName val="Other_Workings"/>
      <sheetName val="Corporate_Tax"/>
      <sheetName val="Trading_Forecast"/>
      <sheetName val="Revenue_Assumptions"/>
      <sheetName val="GUL_Sales_Volume"/>
      <sheetName val="GUL_GP_Analysis2003"/>
      <sheetName val="GUL_P&amp;l_Mgt"/>
      <sheetName val="Overhead_budget_USH"/>
      <sheetName val="GUL_P&amp;L_Details"/>
      <sheetName val="GUL_PL(FI)_-_USH"/>
      <sheetName val="GUL_PL(FI)-USD"/>
      <sheetName val="Exchange_Rates"/>
      <sheetName val="BSheet_Summary_2003"/>
      <sheetName val="GTLCFlow_With_WC_Loan"/>
      <sheetName val="GTLCFlow_Wout_WC_Loan"/>
      <sheetName val="GTL_Details_to_BS(IAS)"/>
      <sheetName val="BSheet_Detailed_2003"/>
      <sheetName val="Fixed_Asset"/>
      <sheetName val="GTLDetails_to_BS(Mgt)"/>
      <sheetName val="Cash_Flow"/>
      <sheetName val="DDU_Price1"/>
      <sheetName val="Purchase_Details_in_Qty1"/>
      <sheetName val="Purchase_Details_in_%age1"/>
      <sheetName val="Distance_Master1"/>
      <sheetName val="Actual_20011"/>
      <sheetName val="Budget_20021"/>
      <sheetName val="Stock_Flow1"/>
      <sheetName val="LocationWie_Sales1"/>
      <sheetName val="Top_Sheet1"/>
      <sheetName val="Proposed_P&amp;L_20021"/>
      <sheetName val="P&amp;L_Detailed_20021"/>
      <sheetName val="Detailed_Budget_20031"/>
      <sheetName val="Overhead_budget_USD1"/>
      <sheetName val="BS_Detailed_Sep_021"/>
      <sheetName val="Volume_YTD_Dec_021"/>
      <sheetName val="WORKING_CAPITAL1"/>
      <sheetName val="Sales_Quantity1"/>
      <sheetName val="Sales_2002_Vs_20031"/>
      <sheetName val="Sales_Value1"/>
      <sheetName val="Discount_Value1"/>
      <sheetName val="New_Discount1"/>
      <sheetName val="Basic_Price_in_USD1"/>
      <sheetName val="Price_Built_up1"/>
      <sheetName val="GP_Analysis2003_USH1"/>
      <sheetName val="GP_Analysis2003_USD1"/>
      <sheetName val="Capital_Project_Detail1"/>
      <sheetName val="Investment_Summay_Old1"/>
      <sheetName val="Investment_Cash_Outflow1"/>
      <sheetName val="Proposed_BS_20021"/>
      <sheetName val="Sales_Volume_and_Revenue1"/>
      <sheetName val="Truck_Unit_Rate1"/>
      <sheetName val="Int__Schedule1"/>
      <sheetName val="Employee_Details1"/>
      <sheetName val="Other_Workings1"/>
      <sheetName val="Corporate_Tax1"/>
      <sheetName val="Trading_Forecast1"/>
      <sheetName val="Revenue_Assumptions1"/>
      <sheetName val="GUL_Sales_Volume1"/>
      <sheetName val="GUL_GP_Analysis20031"/>
      <sheetName val="GUL_P&amp;l_Mgt1"/>
      <sheetName val="Overhead_budget_USH1"/>
      <sheetName val="GUL_P&amp;L_Details1"/>
      <sheetName val="GUL_PL(FI)_-_USH1"/>
      <sheetName val="GUL_PL(FI)-USD1"/>
      <sheetName val="Exchange_Rates1"/>
      <sheetName val="BSheet_Summary_20031"/>
      <sheetName val="GTLCFlow_With_WC_Loan1"/>
      <sheetName val="GTLCFlow_Wout_WC_Loan1"/>
      <sheetName val="GTL_Details_to_BS(IAS)1"/>
      <sheetName val="BSheet_Detailed_20031"/>
      <sheetName val="Fixed_Asset1"/>
      <sheetName val="GTLDetails_to_BS(Mgt)1"/>
      <sheetName val="Cash_Flow1"/>
      <sheetName val="Sales_Qty"/>
      <sheetName val="DDU_Price2"/>
      <sheetName val="Purchase_Details_in_Qty2"/>
      <sheetName val="Purchase_Details_in_%age2"/>
      <sheetName val="Distance_Master2"/>
      <sheetName val="Actual_20012"/>
      <sheetName val="Budget_20022"/>
      <sheetName val="Stock_Flow2"/>
      <sheetName val="LocationWie_Sales2"/>
      <sheetName val="Top_Sheet2"/>
      <sheetName val="Proposed_P&amp;L_20022"/>
      <sheetName val="P&amp;L_Detailed_20022"/>
      <sheetName val="Detailed_Budget_20032"/>
      <sheetName val="Overhead_budget_USD2"/>
      <sheetName val="BS_Detailed_Sep_022"/>
      <sheetName val="Volume_YTD_Dec_022"/>
      <sheetName val="WORKING_CAPITAL2"/>
      <sheetName val="Sales_Quantity2"/>
      <sheetName val="Sales_2002_Vs_20032"/>
      <sheetName val="Sales_Value2"/>
      <sheetName val="Discount_Value2"/>
      <sheetName val="New_Discount2"/>
      <sheetName val="Basic_Price_in_USD2"/>
      <sheetName val="Price_Built_up2"/>
      <sheetName val="GP_Analysis2003_USH2"/>
      <sheetName val="GP_Analysis2003_USD2"/>
      <sheetName val="Capital_Project_Detail2"/>
      <sheetName val="Investment_Summay_Old2"/>
      <sheetName val="Investment_Cash_Outflow2"/>
      <sheetName val="Proposed_BS_20022"/>
      <sheetName val="Sales_Volume_and_Revenue2"/>
      <sheetName val="Truck_Unit_Rate2"/>
      <sheetName val="Int__Schedule2"/>
      <sheetName val="Employee_Details2"/>
      <sheetName val="Other_Workings2"/>
      <sheetName val="Corporate_Tax2"/>
      <sheetName val="Trading_Forecast2"/>
      <sheetName val="Revenue_Assumptions2"/>
      <sheetName val="GUL_Sales_Volume2"/>
      <sheetName val="GUL_GP_Analysis20032"/>
      <sheetName val="GUL_P&amp;l_Mgt2"/>
      <sheetName val="Overhead_budget_USH2"/>
      <sheetName val="GUL_P&amp;L_Details2"/>
      <sheetName val="GUL_PL(FI)_-_USH2"/>
      <sheetName val="GUL_PL(FI)-USD2"/>
      <sheetName val="Exchange_Rates2"/>
      <sheetName val="BSheet_Summary_20032"/>
      <sheetName val="GTLCFlow_With_WC_Loan2"/>
      <sheetName val="GTLCFlow_Wout_WC_Loan2"/>
      <sheetName val="GTL_Details_to_BS(IAS)2"/>
      <sheetName val="BSheet_Detailed_20032"/>
      <sheetName val="Fixed_Asset2"/>
      <sheetName val="GTLDetails_to_BS(Mgt)2"/>
      <sheetName val="Cash_Flow2"/>
      <sheetName val="Sales_Qty1"/>
      <sheetName val="DDU_Price3"/>
      <sheetName val="Purchase_Details_in_Qty3"/>
      <sheetName val="Purchase_Details_in_%age3"/>
      <sheetName val="Distance_Master3"/>
      <sheetName val="Actual_20013"/>
      <sheetName val="Budget_20023"/>
      <sheetName val="Stock_Flow3"/>
      <sheetName val="LocationWie_Sales3"/>
      <sheetName val="Top_Sheet3"/>
      <sheetName val="Proposed_P&amp;L_20023"/>
      <sheetName val="P&amp;L_Detailed_20023"/>
      <sheetName val="Detailed_Budget_20033"/>
      <sheetName val="Overhead_budget_USD3"/>
      <sheetName val="BS_Detailed_Sep_023"/>
      <sheetName val="Volume_YTD_Dec_023"/>
      <sheetName val="WORKING_CAPITAL3"/>
      <sheetName val="Sales_Quantity3"/>
      <sheetName val="Sales_2002_Vs_20033"/>
      <sheetName val="Sales_Value3"/>
      <sheetName val="Discount_Value3"/>
      <sheetName val="New_Discount3"/>
      <sheetName val="Basic_Price_in_USD3"/>
      <sheetName val="Price_Built_up3"/>
      <sheetName val="GP_Analysis2003_USH3"/>
      <sheetName val="GP_Analysis2003_USD3"/>
      <sheetName val="Capital_Project_Detail3"/>
      <sheetName val="Investment_Summay_Old3"/>
      <sheetName val="Investment_Cash_Outflow3"/>
      <sheetName val="Proposed_BS_20023"/>
      <sheetName val="Sales_Volume_and_Revenue3"/>
      <sheetName val="Truck_Unit_Rate3"/>
      <sheetName val="Int__Schedule3"/>
      <sheetName val="Employee_Details3"/>
      <sheetName val="Other_Workings3"/>
      <sheetName val="Corporate_Tax3"/>
      <sheetName val="Trading_Forecast3"/>
      <sheetName val="Revenue_Assumptions3"/>
      <sheetName val="GUL_Sales_Volume3"/>
      <sheetName val="GUL_GP_Analysis20033"/>
      <sheetName val="GUL_P&amp;l_Mgt3"/>
      <sheetName val="Overhead_budget_USH3"/>
      <sheetName val="GUL_P&amp;L_Details3"/>
      <sheetName val="GUL_PL(FI)_-_USH3"/>
      <sheetName val="GUL_PL(FI)-USD3"/>
      <sheetName val="Exchange_Rates3"/>
      <sheetName val="BSheet_Summary_20033"/>
      <sheetName val="GTLCFlow_With_WC_Loan3"/>
      <sheetName val="GTLCFlow_Wout_WC_Loan3"/>
      <sheetName val="GTL_Details_to_BS(IAS)3"/>
      <sheetName val="BSheet_Detailed_20033"/>
      <sheetName val="Fixed_Asset3"/>
      <sheetName val="GTLDetails_to_BS(Mgt)3"/>
      <sheetName val="Cash_Flow3"/>
      <sheetName val="Sales_Qty2"/>
      <sheetName val="DDU_Price4"/>
      <sheetName val="Purchase_Details_in_Qty4"/>
      <sheetName val="Purchase_Details_in_%age4"/>
      <sheetName val="Distance_Master4"/>
      <sheetName val="Actual_20014"/>
      <sheetName val="Budget_20024"/>
      <sheetName val="Stock_Flow4"/>
      <sheetName val="LocationWie_Sales4"/>
      <sheetName val="Top_Sheet4"/>
      <sheetName val="Proposed_P&amp;L_20024"/>
      <sheetName val="P&amp;L_Detailed_20024"/>
      <sheetName val="Detailed_Budget_20034"/>
      <sheetName val="Overhead_budget_USD4"/>
      <sheetName val="BS_Detailed_Sep_024"/>
      <sheetName val="Volume_YTD_Dec_024"/>
      <sheetName val="WORKING_CAPITAL4"/>
      <sheetName val="Sales_Quantity4"/>
      <sheetName val="Sales_2002_Vs_20034"/>
      <sheetName val="Sales_Value4"/>
      <sheetName val="Discount_Value4"/>
      <sheetName val="New_Discount4"/>
      <sheetName val="Basic_Price_in_USD4"/>
      <sheetName val="Price_Built_up4"/>
      <sheetName val="GP_Analysis2003_USH4"/>
      <sheetName val="GP_Analysis2003_USD4"/>
      <sheetName val="Capital_Project_Detail4"/>
      <sheetName val="Investment_Summay_Old4"/>
      <sheetName val="Investment_Cash_Outflow4"/>
      <sheetName val="Proposed_BS_20024"/>
      <sheetName val="Sales_Volume_and_Revenue4"/>
      <sheetName val="Truck_Unit_Rate4"/>
      <sheetName val="Int__Schedule4"/>
      <sheetName val="Employee_Details4"/>
      <sheetName val="Other_Workings4"/>
      <sheetName val="Corporate_Tax4"/>
      <sheetName val="Trading_Forecast4"/>
      <sheetName val="Revenue_Assumptions4"/>
      <sheetName val="GUL_Sales_Volume4"/>
      <sheetName val="GUL_GP_Analysis20034"/>
      <sheetName val="GUL_P&amp;l_Mgt4"/>
      <sheetName val="Overhead_budget_USH4"/>
      <sheetName val="GUL_P&amp;L_Details4"/>
      <sheetName val="GUL_PL(FI)_-_USH4"/>
      <sheetName val="GUL_PL(FI)-USD4"/>
      <sheetName val="Exchange_Rates4"/>
      <sheetName val="BSheet_Summary_20034"/>
      <sheetName val="GTLCFlow_With_WC_Loan4"/>
      <sheetName val="GTLCFlow_Wout_WC_Loan4"/>
      <sheetName val="GTL_Details_to_BS(IAS)4"/>
      <sheetName val="BSheet_Detailed_20034"/>
      <sheetName val="Fixed_Asset4"/>
      <sheetName val="GTLDetails_to_BS(Mgt)4"/>
      <sheetName val="Cash_Flow4"/>
      <sheetName val="Sales_Qty3"/>
      <sheetName val="DDU_Price5"/>
      <sheetName val="Purchase_Details_in_Qty5"/>
      <sheetName val="Purchase_Details_in_%age5"/>
      <sheetName val="Distance_Master5"/>
      <sheetName val="Actual_20015"/>
      <sheetName val="Budget_20025"/>
      <sheetName val="Stock_Flow5"/>
      <sheetName val="LocationWie_Sales5"/>
      <sheetName val="Top_Sheet5"/>
      <sheetName val="Proposed_P&amp;L_20025"/>
      <sheetName val="P&amp;L_Detailed_20025"/>
      <sheetName val="Detailed_Budget_20035"/>
      <sheetName val="Overhead_budget_USD5"/>
      <sheetName val="BS_Detailed_Sep_025"/>
      <sheetName val="Volume_YTD_Dec_025"/>
      <sheetName val="WORKING_CAPITAL5"/>
      <sheetName val="Sales_Quantity5"/>
      <sheetName val="Sales_2002_Vs_20035"/>
      <sheetName val="Sales_Value5"/>
      <sheetName val="Discount_Value5"/>
      <sheetName val="New_Discount5"/>
      <sheetName val="Basic_Price_in_USD5"/>
      <sheetName val="Price_Built_up5"/>
      <sheetName val="GP_Analysis2003_USH5"/>
      <sheetName val="GP_Analysis2003_USD5"/>
      <sheetName val="Capital_Project_Detail5"/>
      <sheetName val="Investment_Summay_Old5"/>
      <sheetName val="Investment_Cash_Outflow5"/>
      <sheetName val="Proposed_BS_20025"/>
      <sheetName val="Sales_Volume_and_Revenue5"/>
      <sheetName val="Truck_Unit_Rate5"/>
      <sheetName val="Int__Schedule5"/>
      <sheetName val="Employee_Details5"/>
      <sheetName val="Other_Workings5"/>
      <sheetName val="Corporate_Tax5"/>
      <sheetName val="Trading_Forecast5"/>
      <sheetName val="Revenue_Assumptions5"/>
      <sheetName val="GUL_Sales_Volume5"/>
      <sheetName val="GUL_GP_Analysis20035"/>
      <sheetName val="GUL_P&amp;l_Mgt5"/>
      <sheetName val="Overhead_budget_USH5"/>
      <sheetName val="GUL_P&amp;L_Details5"/>
      <sheetName val="GUL_PL(FI)_-_USH5"/>
      <sheetName val="GUL_PL(FI)-USD5"/>
      <sheetName val="Exchange_Rates5"/>
      <sheetName val="BSheet_Summary_20035"/>
      <sheetName val="GTLCFlow_With_WC_Loan5"/>
      <sheetName val="GTLCFlow_Wout_WC_Loan5"/>
      <sheetName val="GTL_Details_to_BS(IAS)5"/>
      <sheetName val="BSheet_Detailed_20035"/>
      <sheetName val="Fixed_Asset5"/>
      <sheetName val="GTLDetails_to_BS(Mgt)5"/>
      <sheetName val="Cash_Flow5"/>
      <sheetName val="Sales_Qty4"/>
      <sheetName val="DDU_Price7"/>
      <sheetName val="Purchase_Details_in_Qty7"/>
      <sheetName val="Purchase_Details_in_%age7"/>
      <sheetName val="Distance_Master7"/>
      <sheetName val="Actual_20017"/>
      <sheetName val="Budget_20027"/>
      <sheetName val="Stock_Flow7"/>
      <sheetName val="LocationWie_Sales7"/>
      <sheetName val="Top_Sheet7"/>
      <sheetName val="Proposed_P&amp;L_20027"/>
      <sheetName val="P&amp;L_Detailed_20027"/>
      <sheetName val="Detailed_Budget_20037"/>
      <sheetName val="Overhead_budget_USD7"/>
      <sheetName val="BS_Detailed_Sep_027"/>
      <sheetName val="Volume_YTD_Dec_027"/>
      <sheetName val="WORKING_CAPITAL7"/>
      <sheetName val="Sales_Quantity7"/>
      <sheetName val="Sales_2002_Vs_20037"/>
      <sheetName val="Sales_Value7"/>
      <sheetName val="Discount_Value7"/>
      <sheetName val="New_Discount7"/>
      <sheetName val="Basic_Price_in_USD7"/>
      <sheetName val="Price_Built_up7"/>
      <sheetName val="GP_Analysis2003_USH7"/>
      <sheetName val="GP_Analysis2003_USD7"/>
      <sheetName val="Capital_Project_Detail7"/>
      <sheetName val="Investment_Summay_Old7"/>
      <sheetName val="Investment_Cash_Outflow7"/>
      <sheetName val="Proposed_BS_20027"/>
      <sheetName val="Sales_Volume_and_Revenue7"/>
      <sheetName val="Truck_Unit_Rate7"/>
      <sheetName val="Int__Schedule7"/>
      <sheetName val="Employee_Details7"/>
      <sheetName val="Other_Workings7"/>
      <sheetName val="Corporate_Tax7"/>
      <sheetName val="Trading_Forecast7"/>
      <sheetName val="Revenue_Assumptions7"/>
      <sheetName val="GUL_Sales_Volume7"/>
      <sheetName val="GUL_GP_Analysis20037"/>
      <sheetName val="GUL_P&amp;l_Mgt7"/>
      <sheetName val="Overhead_budget_USH7"/>
      <sheetName val="GUL_P&amp;L_Details7"/>
      <sheetName val="GUL_PL(FI)_-_USH7"/>
      <sheetName val="GUL_PL(FI)-USD7"/>
      <sheetName val="Exchange_Rates7"/>
      <sheetName val="BSheet_Summary_20037"/>
      <sheetName val="GTLCFlow_With_WC_Loan7"/>
      <sheetName val="GTLCFlow_Wout_WC_Loan7"/>
      <sheetName val="GTL_Details_to_BS(IAS)7"/>
      <sheetName val="BSheet_Detailed_20037"/>
      <sheetName val="Fixed_Asset7"/>
      <sheetName val="GTLDetails_to_BS(Mgt)7"/>
      <sheetName val="Cash_Flow7"/>
      <sheetName val="Sales_Qty6"/>
      <sheetName val="DDU_Price6"/>
      <sheetName val="Purchase_Details_in_Qty6"/>
      <sheetName val="Purchase_Details_in_%age6"/>
      <sheetName val="Distance_Master6"/>
      <sheetName val="Actual_20016"/>
      <sheetName val="Budget_20026"/>
      <sheetName val="Stock_Flow6"/>
      <sheetName val="LocationWie_Sales6"/>
      <sheetName val="Top_Sheet6"/>
      <sheetName val="Proposed_P&amp;L_20026"/>
      <sheetName val="P&amp;L_Detailed_20026"/>
      <sheetName val="Detailed_Budget_20036"/>
      <sheetName val="Overhead_budget_USD6"/>
      <sheetName val="BS_Detailed_Sep_026"/>
      <sheetName val="Volume_YTD_Dec_026"/>
      <sheetName val="WORKING_CAPITAL6"/>
      <sheetName val="Sales_Quantity6"/>
      <sheetName val="Sales_2002_Vs_20036"/>
      <sheetName val="Sales_Value6"/>
      <sheetName val="Discount_Value6"/>
      <sheetName val="New_Discount6"/>
      <sheetName val="Basic_Price_in_USD6"/>
      <sheetName val="Price_Built_up6"/>
      <sheetName val="GP_Analysis2003_USH6"/>
      <sheetName val="GP_Analysis2003_USD6"/>
      <sheetName val="Capital_Project_Detail6"/>
      <sheetName val="Investment_Summay_Old6"/>
      <sheetName val="Investment_Cash_Outflow6"/>
      <sheetName val="Proposed_BS_20026"/>
      <sheetName val="Sales_Volume_and_Revenue6"/>
      <sheetName val="Truck_Unit_Rate6"/>
      <sheetName val="Int__Schedule6"/>
      <sheetName val="Employee_Details6"/>
      <sheetName val="Other_Workings6"/>
      <sheetName val="Corporate_Tax6"/>
      <sheetName val="Trading_Forecast6"/>
      <sheetName val="Revenue_Assumptions6"/>
      <sheetName val="GUL_Sales_Volume6"/>
      <sheetName val="GUL_GP_Analysis20036"/>
      <sheetName val="GUL_P&amp;l_Mgt6"/>
      <sheetName val="Overhead_budget_USH6"/>
      <sheetName val="GUL_P&amp;L_Details6"/>
      <sheetName val="GUL_PL(FI)_-_USH6"/>
      <sheetName val="GUL_PL(FI)-USD6"/>
      <sheetName val="Exchange_Rates6"/>
      <sheetName val="BSheet_Summary_20036"/>
      <sheetName val="GTLCFlow_With_WC_Loan6"/>
      <sheetName val="GTLCFlow_Wout_WC_Loan6"/>
      <sheetName val="GTL_Details_to_BS(IAS)6"/>
      <sheetName val="BSheet_Detailed_20036"/>
      <sheetName val="Fixed_Asset6"/>
      <sheetName val="GTLDetails_to_BS(Mgt)6"/>
      <sheetName val="Cash_Flow6"/>
      <sheetName val="Sales_Qty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-CD REQ"/>
      <sheetName val="st&amp;T"/>
      <sheetName val="req"/>
      <sheetName val="idf"/>
      <sheetName val="buildup"/>
    </sheetNames>
    <sheetDataSet>
      <sheetData sheetId="0"/>
      <sheetData sheetId="1"/>
      <sheetData sheetId="2"/>
      <sheetData sheetId="3"/>
      <sheetData sheetId="4">
        <row r="1">
          <cell r="A1" t="str">
            <v xml:space="preserve">JULY  2001 INDUSTRY AGO IMPORT - COST BUILD-UP  </v>
          </cell>
        </row>
        <row r="2">
          <cell r="A2" t="str">
            <v>MOBIL</v>
          </cell>
          <cell r="B2" t="str">
            <v>FINAL</v>
          </cell>
        </row>
        <row r="3">
          <cell r="A3" t="str">
            <v>EX- MT NORTH SEA DOWEL</v>
          </cell>
          <cell r="E3" t="str">
            <v xml:space="preserve">     B/L Date  </v>
          </cell>
          <cell r="F3" t="str">
            <v>22.07.2001</v>
          </cell>
        </row>
        <row r="4">
          <cell r="A4" t="str">
            <v>=</v>
          </cell>
          <cell r="B4" t="str">
            <v>=</v>
          </cell>
          <cell r="C4" t="str">
            <v>=</v>
          </cell>
          <cell r="D4" t="str">
            <v>=</v>
          </cell>
          <cell r="E4" t="str">
            <v>=</v>
          </cell>
          <cell r="F4" t="str">
            <v>=</v>
          </cell>
        </row>
        <row r="5">
          <cell r="F5" t="str">
            <v>M-3329</v>
          </cell>
        </row>
        <row r="6">
          <cell r="A6" t="str">
            <v>DATE:</v>
          </cell>
          <cell r="B6" t="str">
            <v>20/07/2001</v>
          </cell>
          <cell r="C6">
            <v>199.5</v>
          </cell>
          <cell r="E6" t="str">
            <v xml:space="preserve">    B/L QUANTITY MT =</v>
          </cell>
          <cell r="F6">
            <v>21791.1</v>
          </cell>
        </row>
        <row r="7">
          <cell r="B7" t="str">
            <v>23/07/2001</v>
          </cell>
          <cell r="C7">
            <v>204.75</v>
          </cell>
          <cell r="F7" t="str">
            <v xml:space="preserve"> </v>
          </cell>
        </row>
        <row r="8">
          <cell r="B8" t="str">
            <v>24/07/2001</v>
          </cell>
          <cell r="C8">
            <v>202.25</v>
          </cell>
        </row>
        <row r="10">
          <cell r="B10" t="str">
            <v>AVG.</v>
          </cell>
          <cell r="C10">
            <v>202.16666666666666</v>
          </cell>
        </row>
        <row r="11">
          <cell r="D11" t="str">
            <v>AGO</v>
          </cell>
        </row>
        <row r="12">
          <cell r="D12" t="str">
            <v>USD  / BBL</v>
          </cell>
          <cell r="E12" t="str">
            <v>US $/MT</v>
          </cell>
          <cell r="F12" t="str">
            <v>KSHS./MT</v>
          </cell>
        </row>
        <row r="13">
          <cell r="D13" t="str">
            <v>-</v>
          </cell>
          <cell r="E13" t="str">
            <v>-</v>
          </cell>
          <cell r="F13" t="str">
            <v>-</v>
          </cell>
        </row>
        <row r="14">
          <cell r="A14" t="str">
            <v>SOURCE OF PRODUCT:</v>
          </cell>
          <cell r="D14" t="str">
            <v>MED. ITALY</v>
          </cell>
        </row>
        <row r="15">
          <cell r="A15" t="str">
            <v>AVG QUOTED FOB - $/MT</v>
          </cell>
          <cell r="D15">
            <v>202.16666666666666</v>
          </cell>
          <cell r="E15">
            <v>202.16666666666666</v>
          </cell>
          <cell r="F15">
            <v>0</v>
          </cell>
        </row>
        <row r="16">
          <cell r="A16" t="str">
            <v>FREIGHT/PREMIUMS (Mobil offer)</v>
          </cell>
          <cell r="D16">
            <v>8.1999999999999993</v>
          </cell>
          <cell r="E16">
            <v>8.1999999999999993</v>
          </cell>
          <cell r="F16">
            <v>0</v>
          </cell>
        </row>
        <row r="17">
          <cell r="D17" t="str">
            <v>-</v>
          </cell>
          <cell r="E17" t="str">
            <v>-</v>
          </cell>
          <cell r="F17" t="str">
            <v>-</v>
          </cell>
          <cell r="G17" t="str">
            <v>b/l</v>
          </cell>
          <cell r="H17">
            <v>22496.09</v>
          </cell>
        </row>
        <row r="18">
          <cell r="A18" t="str">
            <v>PRODUCT COST C&amp;F</v>
          </cell>
          <cell r="D18">
            <v>210.36666666666665</v>
          </cell>
          <cell r="E18">
            <v>210.36666666666665</v>
          </cell>
          <cell r="F18">
            <v>0</v>
          </cell>
          <cell r="G18" t="str">
            <v xml:space="preserve"> </v>
          </cell>
          <cell r="H18">
            <v>4732427.4663333325</v>
          </cell>
        </row>
        <row r="19">
          <cell r="G19" t="str">
            <v>acc</v>
          </cell>
          <cell r="H19">
            <v>4732428.22</v>
          </cell>
        </row>
        <row r="20">
          <cell r="A20" t="str">
            <v>INSURANCE [1.003*C&amp;F*0.077%]</v>
          </cell>
          <cell r="D20">
            <v>0.16246828033333333</v>
          </cell>
          <cell r="E20">
            <v>0</v>
          </cell>
          <cell r="F20">
            <v>0.16246828033333333</v>
          </cell>
          <cell r="G20" t="str">
            <v>inv</v>
          </cell>
          <cell r="H20">
            <v>4731341.8</v>
          </cell>
        </row>
        <row r="21">
          <cell r="A21" t="str">
            <v>WAR RISK [1.003*C&amp;F*0.0275%]</v>
          </cell>
          <cell r="D21">
            <v>5.8024385833333331E-2</v>
          </cell>
          <cell r="E21">
            <v>0</v>
          </cell>
          <cell r="F21">
            <v>5.8024385833333331E-2</v>
          </cell>
          <cell r="H21">
            <v>-1086.4199999999255</v>
          </cell>
        </row>
        <row r="22">
          <cell r="D22" t="str">
            <v>-</v>
          </cell>
          <cell r="E22" t="str">
            <v>-</v>
          </cell>
          <cell r="F22" t="str">
            <v>-</v>
          </cell>
        </row>
        <row r="23">
          <cell r="A23" t="str">
            <v>CIF MOMBASA</v>
          </cell>
          <cell r="D23">
            <v>210.58715933283332</v>
          </cell>
          <cell r="E23">
            <v>210.36666666666665</v>
          </cell>
          <cell r="F23">
            <v>0.22049266616666666</v>
          </cell>
        </row>
        <row r="25">
          <cell r="A25" t="str">
            <v>CBK FEE @ 2.75% OF CIF</v>
          </cell>
          <cell r="D25">
            <v>5.7911468816529172</v>
          </cell>
          <cell r="E25">
            <v>0</v>
          </cell>
          <cell r="F25">
            <v>5.7911468816529172</v>
          </cell>
        </row>
        <row r="26">
          <cell r="A26" t="str">
            <v xml:space="preserve">WHARFAGE @ 2.5 $/MT  (+18 % VAT) </v>
          </cell>
          <cell r="D26">
            <v>2.9499999999999997</v>
          </cell>
          <cell r="E26">
            <v>0</v>
          </cell>
          <cell r="F26">
            <v>2.9499999999999997</v>
          </cell>
        </row>
        <row r="27">
          <cell r="A27" t="str">
            <v>LC CHARGES @ 1.20% C&amp;F</v>
          </cell>
          <cell r="D27">
            <v>2.5244000000000004</v>
          </cell>
          <cell r="E27">
            <v>2.5244000000000004</v>
          </cell>
          <cell r="F27">
            <v>0</v>
          </cell>
        </row>
        <row r="28">
          <cell r="D28" t="str">
            <v>-</v>
          </cell>
          <cell r="E28" t="str">
            <v>-</v>
          </cell>
          <cell r="F28" t="str">
            <v>-</v>
          </cell>
        </row>
        <row r="29">
          <cell r="A29" t="str">
            <v>CIFLW</v>
          </cell>
          <cell r="D29">
            <v>221.85270621448623</v>
          </cell>
          <cell r="E29">
            <v>212.89106666666666</v>
          </cell>
          <cell r="F29">
            <v>8.9616395478195834</v>
          </cell>
        </row>
        <row r="31">
          <cell r="A31" t="str">
            <v>OCEAN LOSS @ 0.5% CIFLW</v>
          </cell>
          <cell r="D31">
            <v>1.1092635310724313</v>
          </cell>
          <cell r="E31">
            <v>0</v>
          </cell>
          <cell r="F31">
            <v>1.1092635310724313</v>
          </cell>
        </row>
        <row r="32">
          <cell r="A32" t="str">
            <v>KOSF CHARGES (2.00 $/M3)</v>
          </cell>
          <cell r="D32">
            <v>0</v>
          </cell>
          <cell r="E32">
            <v>0</v>
          </cell>
          <cell r="F32">
            <v>0</v>
          </cell>
        </row>
        <row r="33">
          <cell r="D33" t="str">
            <v>-</v>
          </cell>
          <cell r="E33" t="str">
            <v>-</v>
          </cell>
          <cell r="F33" t="str">
            <v>-</v>
          </cell>
        </row>
        <row r="34">
          <cell r="A34" t="str">
            <v>LANDED COST AT MOMBASA</v>
          </cell>
          <cell r="D34">
            <v>222.96196974555866</v>
          </cell>
          <cell r="E34">
            <v>212.89106666666666</v>
          </cell>
          <cell r="F34">
            <v>10.070903078892014</v>
          </cell>
        </row>
        <row r="36">
          <cell r="A36" t="str">
            <v>ADMINISTRATION FEES @ 0.5% CIF</v>
          </cell>
          <cell r="D36">
            <v>1.0529357966641666</v>
          </cell>
          <cell r="E36">
            <v>0</v>
          </cell>
          <cell r="F36">
            <v>84.636664033140377</v>
          </cell>
        </row>
        <row r="38">
          <cell r="A38" t="str">
            <v>APPLICABLE EXCH RATE KSHS/US $</v>
          </cell>
          <cell r="D38">
            <v>80.381600000000006</v>
          </cell>
          <cell r="E38">
            <v>80.381600000000006</v>
          </cell>
          <cell r="F38">
            <v>80.381600000000006</v>
          </cell>
        </row>
        <row r="39">
          <cell r="A39" t="str">
            <v>(Citi Bank TT Selling 23/07/2001)</v>
          </cell>
        </row>
        <row r="41">
          <cell r="A41" t="str">
            <v>ITS INSPECTION FEES</v>
          </cell>
          <cell r="D41">
            <v>0.12882181103889445</v>
          </cell>
          <cell r="E41">
            <v>0</v>
          </cell>
          <cell r="F41">
            <v>10.354903286203999</v>
          </cell>
        </row>
        <row r="43">
          <cell r="A43" t="str">
            <v>ANALYSIS CHARGES</v>
          </cell>
          <cell r="D43">
            <v>5.3893475821000618E-3</v>
          </cell>
          <cell r="E43">
            <v>0</v>
          </cell>
          <cell r="F43">
            <v>0.43320438160533437</v>
          </cell>
        </row>
        <row r="45">
          <cell r="A45" t="str">
            <v>RECERTIFICATION CHARGES</v>
          </cell>
          <cell r="D45">
            <v>1.4719655583610793E-2</v>
          </cell>
          <cell r="E45">
            <v>0</v>
          </cell>
          <cell r="F45">
            <v>1.1831894672595695</v>
          </cell>
        </row>
        <row r="47">
          <cell r="A47" t="str">
            <v>SUSPENDED DUTY (Kshs. 300 per M3)</v>
          </cell>
          <cell r="D47">
            <v>4.3553774969371375</v>
          </cell>
          <cell r="E47">
            <v>0</v>
          </cell>
          <cell r="F47">
            <v>350.09221180780224</v>
          </cell>
        </row>
        <row r="48">
          <cell r="D48" t="str">
            <v>-</v>
          </cell>
          <cell r="E48" t="str">
            <v>-</v>
          </cell>
          <cell r="F48" t="str">
            <v>-</v>
          </cell>
        </row>
        <row r="49">
          <cell r="A49" t="str">
            <v>COST AT KOSF ($/MT):</v>
          </cell>
          <cell r="D49">
            <v>228.51921385336459</v>
          </cell>
          <cell r="E49">
            <v>212.89106666666666</v>
          </cell>
          <cell r="F49">
            <v>1256.2154759022781</v>
          </cell>
          <cell r="G49" t="str">
            <v xml:space="preserve"> </v>
          </cell>
          <cell r="H49" t="str">
            <v xml:space="preserve"> </v>
          </cell>
          <cell r="I49" t="str">
            <v xml:space="preserve"> </v>
          </cell>
        </row>
        <row r="50">
          <cell r="C50" t="str">
            <v>KSH / LT</v>
          </cell>
          <cell r="D50">
            <v>15.527252781298065</v>
          </cell>
        </row>
        <row r="51">
          <cell r="A51" t="str">
            <v>COST AT KOSF (KSHS./MT)</v>
          </cell>
          <cell r="D51">
            <v>18368.740040275614</v>
          </cell>
        </row>
        <row r="55">
          <cell r="A55" t="str">
            <v>=</v>
          </cell>
          <cell r="B55" t="str">
            <v>=</v>
          </cell>
          <cell r="C55" t="str">
            <v>=</v>
          </cell>
          <cell r="D55" t="str">
            <v>=</v>
          </cell>
          <cell r="E55" t="str">
            <v>=</v>
          </cell>
          <cell r="F55" t="str">
            <v>=</v>
          </cell>
          <cell r="G55" t="str">
            <v>=</v>
          </cell>
          <cell r="H55" t="str">
            <v>=</v>
          </cell>
          <cell r="I55" t="str">
            <v>=</v>
          </cell>
        </row>
        <row r="56">
          <cell r="B56" t="str">
            <v>REQUIREMENT</v>
          </cell>
          <cell r="C56" t="str">
            <v>B/L QTY</v>
          </cell>
          <cell r="E56" t="str">
            <v xml:space="preserve">                 FINAL AMOUNTS</v>
          </cell>
          <cell r="G56" t="str">
            <v xml:space="preserve">                 PROVISIONAL  AMOUNTS</v>
          </cell>
          <cell r="H56" t="str">
            <v xml:space="preserve">                 PROVISIONAL  AMOUNTS</v>
          </cell>
          <cell r="I56" t="str">
            <v xml:space="preserve">                      DEBIT/(CREDIT NOTES)</v>
          </cell>
        </row>
        <row r="57">
          <cell r="B57" t="str">
            <v>(PARTICIPATION)</v>
          </cell>
          <cell r="C57" t="str">
            <v>MT</v>
          </cell>
          <cell r="D57" t="str">
            <v>M3</v>
          </cell>
          <cell r="E57" t="str">
            <v>US $</v>
          </cell>
          <cell r="F57" t="str">
            <v>KSHS.</v>
          </cell>
          <cell r="G57" t="str">
            <v>US $</v>
          </cell>
          <cell r="H57" t="str">
            <v>US $</v>
          </cell>
          <cell r="I57" t="str">
            <v>KSH</v>
          </cell>
        </row>
        <row r="58">
          <cell r="B58">
            <v>21791.1</v>
          </cell>
          <cell r="C58">
            <v>21791.1</v>
          </cell>
          <cell r="D58">
            <v>25429.647989083333</v>
          </cell>
        </row>
        <row r="59">
          <cell r="C59" t="str">
            <v>conv</v>
          </cell>
          <cell r="D59">
            <v>1.1669740393593409</v>
          </cell>
          <cell r="E59" t="str">
            <v xml:space="preserve"> </v>
          </cell>
        </row>
        <row r="60">
          <cell r="A60" t="str">
            <v>-</v>
          </cell>
          <cell r="B60" t="str">
            <v>-</v>
          </cell>
          <cell r="C60" t="str">
            <v>-</v>
          </cell>
          <cell r="D60" t="str">
            <v>-</v>
          </cell>
          <cell r="E60" t="str">
            <v>-</v>
          </cell>
          <cell r="F60" t="str">
            <v>-</v>
          </cell>
          <cell r="G60" t="str">
            <v>-</v>
          </cell>
          <cell r="H60" t="str">
            <v>-</v>
          </cell>
          <cell r="I60" t="str">
            <v>-</v>
          </cell>
        </row>
        <row r="62">
          <cell r="A62" t="str">
            <v>PETRO</v>
          </cell>
          <cell r="B62">
            <v>2500</v>
          </cell>
          <cell r="C62">
            <v>2269.90625</v>
          </cell>
          <cell r="D62">
            <v>2648.9216655295136</v>
          </cell>
          <cell r="E62">
            <v>490052.48154583335</v>
          </cell>
          <cell r="F62">
            <v>2851491.3600973054</v>
          </cell>
          <cell r="G62">
            <v>512741.28333333333</v>
          </cell>
          <cell r="H62">
            <v>512741.28333333333</v>
          </cell>
          <cell r="I62">
            <v>2994726.2340285913</v>
          </cell>
        </row>
        <row r="63">
          <cell r="A63" t="str">
            <v>CALTEX</v>
          </cell>
          <cell r="B63">
            <v>5000</v>
          </cell>
          <cell r="C63">
            <v>4539.8125</v>
          </cell>
          <cell r="D63">
            <v>5297.8433310590272</v>
          </cell>
          <cell r="E63">
            <v>966485.52559166669</v>
          </cell>
          <cell r="F63">
            <v>5702982.7201946108</v>
          </cell>
          <cell r="G63">
            <v>1011232.5666666667</v>
          </cell>
          <cell r="H63">
            <v>1011232.5666666667</v>
          </cell>
          <cell r="I63">
            <v>5989452.4680571826</v>
          </cell>
        </row>
        <row r="64">
          <cell r="A64" t="str">
            <v>MOBIL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505616.28333333333</v>
          </cell>
          <cell r="H64">
            <v>505616.28333333333</v>
          </cell>
          <cell r="I64">
            <v>2994726.2340285913</v>
          </cell>
        </row>
        <row r="65">
          <cell r="A65" t="str">
            <v>KOBIL</v>
          </cell>
          <cell r="B65">
            <v>3000</v>
          </cell>
          <cell r="C65">
            <v>2723.8874999999998</v>
          </cell>
          <cell r="D65">
            <v>3178.7059986354166</v>
          </cell>
          <cell r="E65">
            <v>579891.31535499997</v>
          </cell>
          <cell r="F65">
            <v>3421789.6321167662</v>
          </cell>
          <cell r="G65">
            <v>606739.54</v>
          </cell>
          <cell r="H65">
            <v>606739.54</v>
          </cell>
          <cell r="I65">
            <v>3593671.4808343095</v>
          </cell>
        </row>
        <row r="66">
          <cell r="A66" t="str">
            <v>KENOL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SHELL</v>
          </cell>
          <cell r="B67">
            <v>11000</v>
          </cell>
          <cell r="C67">
            <v>9987.5874999999996</v>
          </cell>
          <cell r="D67">
            <v>11655.25532832986</v>
          </cell>
          <cell r="E67">
            <v>2126268.1563016665</v>
          </cell>
          <cell r="F67">
            <v>12546561.984428143</v>
          </cell>
          <cell r="G67">
            <v>2224711.6466666665</v>
          </cell>
          <cell r="H67">
            <v>2224711.6466666665</v>
          </cell>
          <cell r="I67">
            <v>13176795.429725802</v>
          </cell>
        </row>
        <row r="68">
          <cell r="A68" t="str">
            <v>TOTAL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NOCK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FUELEX</v>
          </cell>
          <cell r="B70">
            <v>1700</v>
          </cell>
          <cell r="C70">
            <v>1543.5362500000001</v>
          </cell>
          <cell r="D70">
            <v>1801.2667325600696</v>
          </cell>
          <cell r="E70">
            <v>328605.07870116667</v>
          </cell>
          <cell r="F70">
            <v>1939014.1248661678</v>
          </cell>
          <cell r="G70">
            <v>343819.07266666665</v>
          </cell>
          <cell r="H70">
            <v>343819.07266666665</v>
          </cell>
          <cell r="I70">
            <v>2036413.839139442</v>
          </cell>
        </row>
        <row r="71">
          <cell r="A71" t="str">
            <v>ENGEN</v>
          </cell>
          <cell r="B71">
            <v>300</v>
          </cell>
          <cell r="C71">
            <v>272.38875000000002</v>
          </cell>
          <cell r="D71">
            <v>317.87059986354166</v>
          </cell>
          <cell r="E71">
            <v>57989.131535500004</v>
          </cell>
          <cell r="F71">
            <v>342178.96321167669</v>
          </cell>
          <cell r="G71">
            <v>60673.953999999998</v>
          </cell>
          <cell r="H71">
            <v>60673.953999999998</v>
          </cell>
          <cell r="I71">
            <v>359367.14808343095</v>
          </cell>
        </row>
        <row r="72">
          <cell r="A72" t="str">
            <v>MAFUTA</v>
          </cell>
          <cell r="B72">
            <v>500</v>
          </cell>
          <cell r="C72">
            <v>453.98124999999999</v>
          </cell>
          <cell r="D72">
            <v>529.78433310590276</v>
          </cell>
          <cell r="E72">
            <v>96648.552559166666</v>
          </cell>
          <cell r="F72">
            <v>570298.27201946103</v>
          </cell>
          <cell r="G72">
            <v>101123.25666666667</v>
          </cell>
          <cell r="H72">
            <v>101123.25666666667</v>
          </cell>
          <cell r="I72">
            <v>598945.24680571829</v>
          </cell>
        </row>
        <row r="73">
          <cell r="A73" t="str">
            <v>-</v>
          </cell>
          <cell r="B73" t="str">
            <v>-</v>
          </cell>
          <cell r="C73" t="str">
            <v>-</v>
          </cell>
          <cell r="D73" t="str">
            <v>-</v>
          </cell>
          <cell r="E73" t="str">
            <v>-</v>
          </cell>
          <cell r="F73" t="str">
            <v>-</v>
          </cell>
          <cell r="G73" t="str">
            <v>-</v>
          </cell>
          <cell r="H73" t="str">
            <v>-</v>
          </cell>
          <cell r="I73" t="str">
            <v>-</v>
          </cell>
        </row>
        <row r="74">
          <cell r="A74" t="str">
            <v>GLOBAL</v>
          </cell>
          <cell r="B74">
            <v>24000</v>
          </cell>
          <cell r="C74">
            <v>21791.1</v>
          </cell>
          <cell r="D74">
            <v>25429.647989083333</v>
          </cell>
          <cell r="E74">
            <v>4645940.2415899998</v>
          </cell>
          <cell r="F74">
            <v>27374317.056934133</v>
          </cell>
          <cell r="G74">
            <v>5366657.6033333335</v>
          </cell>
          <cell r="H74">
            <v>5366657.6033333335</v>
          </cell>
          <cell r="I74">
            <v>31744098.080703069</v>
          </cell>
        </row>
        <row r="75">
          <cell r="A75" t="str">
            <v>=</v>
          </cell>
          <cell r="B75" t="str">
            <v>=</v>
          </cell>
          <cell r="C75" t="str">
            <v>=</v>
          </cell>
          <cell r="D75" t="str">
            <v>=</v>
          </cell>
          <cell r="E75" t="str">
            <v>=</v>
          </cell>
          <cell r="F75" t="str">
            <v>=</v>
          </cell>
          <cell r="G75" t="str">
            <v>=</v>
          </cell>
          <cell r="H75" t="str">
            <v>=</v>
          </cell>
          <cell r="I75" t="str">
            <v>=</v>
          </cell>
        </row>
        <row r="76">
          <cell r="C76" t="str">
            <v>sales</v>
          </cell>
          <cell r="D76">
            <v>25429.647989083333</v>
          </cell>
        </row>
        <row r="77">
          <cell r="C77" t="str">
            <v>outturn</v>
          </cell>
          <cell r="D77">
            <v>26186.600999999999</v>
          </cell>
        </row>
        <row r="78">
          <cell r="B78" t="str">
            <v xml:space="preserve"> </v>
          </cell>
          <cell r="C78" t="str">
            <v>mokl portion</v>
          </cell>
          <cell r="D78">
            <v>756.95301091666624</v>
          </cell>
        </row>
        <row r="79">
          <cell r="D79" t="str">
            <v xml:space="preserve"> </v>
          </cell>
        </row>
        <row r="82">
          <cell r="A82" t="str">
            <v>PREPARED BY:____________________</v>
          </cell>
          <cell r="B82" t="str">
            <v xml:space="preserve"> </v>
          </cell>
          <cell r="E82" t="str">
            <v>REVIEWED BY:_____________________</v>
          </cell>
        </row>
        <row r="84">
          <cell r="A84" t="str">
            <v>K:\Supply Department\Industry Tender\[AGO-0701finalNSD.xls]buildup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Sheet"/>
      <sheetName val="GTLAUG04BS"/>
      <sheetName val="CFGRP(USD)"/>
      <sheetName val="Group Sensitivity"/>
      <sheetName val="FFSEP04"/>
      <sheetName val="FFOCT04"/>
      <sheetName val="FFNOV04"/>
      <sheetName val="BSAUG04"/>
      <sheetName val="BSSEP04"/>
      <sheetName val="BSOCT04"/>
      <sheetName val="BSNOV04"/>
      <sheetName val="CFSUMWK33"/>
      <sheetName val="CFSUMWK34"/>
      <sheetName val="CFSUMWK35"/>
      <sheetName val="CFSUMWK36"/>
      <sheetName val="CFSUMWK37"/>
      <sheetName val="CFSUMWK38"/>
      <sheetName val="CFSUMWK39"/>
      <sheetName val="CFSUMWK40"/>
      <sheetName val="CFSUMWK41"/>
      <sheetName val="CFSUMWK42"/>
      <sheetName val="CFSUMWK43"/>
      <sheetName val="CFSUMWK44"/>
      <sheetName val="CFSUM12WK"/>
      <sheetName val="GTLGOTSensFact"/>
      <sheetName val="GULSensFact"/>
      <sheetName val="GKLSensFact"/>
      <sheetName val="GSLSensFact"/>
      <sheetName val="GRWSensFact"/>
      <sheetName val="GTLGOTSensAnal"/>
      <sheetName val="GULSensAnal"/>
      <sheetName val="GKLSensAnal"/>
      <sheetName val="GSLSensAnal"/>
      <sheetName val="GRWSensAnal"/>
      <sheetName val="GRPCFSUM"/>
      <sheetName val="GTLCFSUM"/>
      <sheetName val="CFGTL(USD)"/>
      <sheetName val="GOTCFSUM"/>
      <sheetName val="CFGOT(USD)"/>
      <sheetName val="CFGRP(LC)"/>
      <sheetName val="Bank Balances"/>
      <sheetName val="Cash Flow Aug Data"/>
      <sheetName val="AUGVENDDET"/>
      <sheetName val="CFGTL(LC)"/>
      <sheetName val="CFGOT(LC)"/>
      <sheetName val="Margin Analysis"/>
      <sheetName val="Sales Data"/>
      <sheetName val="GOT Stock"/>
      <sheetName val="GRPFF(LC)"/>
      <sheetName val="GTLFF(LC)"/>
      <sheetName val="GOTFF(LC)"/>
      <sheetName val="GRPBS(LC)"/>
      <sheetName val="GTL Stock"/>
      <sheetName val="Location Wise Sales"/>
      <sheetName val="GTLGOTCOST"/>
      <sheetName val="GOT ICFLOW"/>
      <sheetName val="GTLSUMBS(USD)"/>
      <sheetName val="GTLBS(USD)"/>
      <sheetName val="GOTSUMBS(USD)"/>
      <sheetName val="GOTBS(USD)"/>
      <sheetName val="GTLBS(LC)"/>
      <sheetName val="GOTBS(LC)"/>
      <sheetName val="GRPPL(LC)"/>
      <sheetName val="GTLPL(LC)"/>
      <sheetName val="GTLPLAUG04"/>
      <sheetName val="GOTPL(LC)"/>
      <sheetName val="GRPFF(USD)"/>
      <sheetName val="GTLFF(USD)"/>
      <sheetName val="GOTFF(USD)"/>
      <sheetName val="GRPBS(USD)"/>
      <sheetName val="GRPPL(USD)"/>
      <sheetName val="GTLPLSUM(USD)"/>
      <sheetName val="GTLPL(USD)"/>
      <sheetName val="GOTPLSUM(USD)"/>
      <sheetName val="GOTPL(USD)"/>
      <sheetName val="GTLGOTDRSFLOW"/>
      <sheetName val="Sales Data Sep'04"/>
      <sheetName val="Stock Flow Rate"/>
      <sheetName val="GOTPLAUG04"/>
      <sheetName val="GTLGOTSTKLFLOW"/>
      <sheetName val="GTLGOTCRS"/>
      <sheetName val="Value Details"/>
      <sheetName val="GTLGOTDUTIES"/>
      <sheetName val="Asset"/>
      <sheetName val="GTL ICFLOW"/>
      <sheetName val="GULCFSUM"/>
      <sheetName val="GULSUMBS(USD)"/>
      <sheetName val="GULBS(USD)"/>
      <sheetName val="GULPL(USD)"/>
      <sheetName val="GULPLSUM(USD)"/>
      <sheetName val="GULCF(USD)"/>
      <sheetName val="GULFF(USD)"/>
      <sheetName val="GUL NOTES"/>
      <sheetName val="GUL ICFLOW"/>
      <sheetName val="GUL PRICE"/>
      <sheetName val="GULCF(LC)"/>
      <sheetName val="GUL STOCK"/>
      <sheetName val="GUL MARGIN"/>
      <sheetName val="GUL DEBTORS"/>
      <sheetName val="GKLBS(USD)"/>
      <sheetName val="GKLCFSUM"/>
      <sheetName val="GKLSUMBS(USD)"/>
      <sheetName val="GKLPL(USD)"/>
      <sheetName val="GKLPLSUM(USD)"/>
      <sheetName val="CFGKL(USD)"/>
      <sheetName val="CFGKL(LC)"/>
      <sheetName val="GKLFF(USD)"/>
      <sheetName val="Stock Details"/>
      <sheetName val="Debtors(USD)"/>
      <sheetName val="Creditors(USD)"/>
      <sheetName val="Stock Flow Rate (2)"/>
      <sheetName val="Duties&amp;Taxes (2)"/>
      <sheetName val="GKL ICFLOW"/>
      <sheetName val="Price Buildup"/>
      <sheetName val="Stock Flow Qty &amp; Value(USD)"/>
      <sheetName val="GSLBS(USD)"/>
      <sheetName val="PriceBuildup"/>
      <sheetName val="GSLFF"/>
      <sheetName val="GSLPL"/>
      <sheetName val="GSLBS"/>
      <sheetName val="GSLFF(USD)"/>
      <sheetName val="GSLCFSUM"/>
      <sheetName val="GSLSUMBS(USD)"/>
      <sheetName val="GSLPLSUM(USD)"/>
      <sheetName val="GSLPL(USD)"/>
      <sheetName val="Flow"/>
      <sheetName val="GSLCF(LC)"/>
      <sheetName val="GSLCF(USD)"/>
      <sheetName val="Debtors"/>
      <sheetName val="Stock Flow Qty &amp; Value (2)"/>
      <sheetName val="GKL ICFLOW (2)"/>
      <sheetName val="Aug'04 Sale"/>
      <sheetName val="GRWCFSUM"/>
      <sheetName val="GRWFF(LC)"/>
      <sheetName val="GRWPL(LC)"/>
      <sheetName val="GRWBS(LC)"/>
      <sheetName val="GRWFF (USD)"/>
      <sheetName val="GRWSUMBS(USD)"/>
      <sheetName val="GRWPLSUM(USD)"/>
      <sheetName val="GTL FACILITY"/>
      <sheetName val="GOT FACILITY"/>
      <sheetName val="GKLFACILITY"/>
      <sheetName val="GRWBS(USD)"/>
      <sheetName val="GRWPL(USD)"/>
      <sheetName val="GRWCF(LC)"/>
      <sheetName val="GRWCF(USD)"/>
      <sheetName val="Flow (2)"/>
      <sheetName val="PriceBuildup (2)"/>
      <sheetName val="Stock Flow Qty &amp; Value (3)"/>
      <sheetName val="GRW ICFLOW"/>
      <sheetName val="GOTAUG04BS"/>
      <sheetName val="Sales Assumptions"/>
      <sheetName val="Margin Per Unit - Actual"/>
      <sheetName val="Customerwise Margin"/>
      <sheetName val="Trading Forecast"/>
      <sheetName val="Main_Sheet"/>
      <sheetName val="Group_Sensitivity"/>
      <sheetName val="Bank_Balances"/>
      <sheetName val="Cash_Flow_Aug_Data"/>
      <sheetName val="Margin_Analysis"/>
      <sheetName val="Sales_Data"/>
      <sheetName val="GOT_Stock"/>
      <sheetName val="GTL_Stock"/>
      <sheetName val="Location_Wise_Sales"/>
      <sheetName val="GOT_ICFLOW"/>
      <sheetName val="Sales_Data_Sep'04"/>
      <sheetName val="Stock_Flow_Rate"/>
      <sheetName val="Value_Details"/>
      <sheetName val="GTL_ICFLOW"/>
      <sheetName val="GUL_NOTES"/>
      <sheetName val="GUL_ICFLOW"/>
      <sheetName val="GUL_PRICE"/>
      <sheetName val="GUL_STOCK"/>
      <sheetName val="GUL_MARGIN"/>
      <sheetName val="GUL_DEBTORS"/>
      <sheetName val="Stock_Details"/>
      <sheetName val="Stock_Flow_Rate_(2)"/>
      <sheetName val="Duties&amp;Taxes_(2)"/>
      <sheetName val="GKL_ICFLOW"/>
      <sheetName val="Price_Buildup"/>
      <sheetName val="Stock_Flow_Qty_&amp;_Value(USD)"/>
      <sheetName val="Stock_Flow_Qty_&amp;_Value_(2)"/>
      <sheetName val="GKL_ICFLOW_(2)"/>
      <sheetName val="Aug'04_Sale"/>
      <sheetName val="GRWFF_(USD)"/>
      <sheetName val="GTL_FACILITY"/>
      <sheetName val="GOT_FACILITY"/>
      <sheetName val="Flow_(2)"/>
      <sheetName val="PriceBuildup_(2)"/>
      <sheetName val="Stock_Flow_Qty_&amp;_Value_(3)"/>
      <sheetName val="GRW_ICFLOW"/>
      <sheetName val="Sales_Assumptions"/>
      <sheetName val="Margin_Per_Unit_-_Actual"/>
      <sheetName val="Customerwise_Margin"/>
      <sheetName val="Main_Sheet1"/>
      <sheetName val="Group_Sensitivity1"/>
      <sheetName val="Bank_Balances1"/>
      <sheetName val="Cash_Flow_Aug_Data1"/>
      <sheetName val="Margin_Analysis1"/>
      <sheetName val="Sales_Data1"/>
      <sheetName val="GOT_Stock1"/>
      <sheetName val="GTL_Stock1"/>
      <sheetName val="Location_Wise_Sales1"/>
      <sheetName val="GOT_ICFLOW1"/>
      <sheetName val="Sales_Data_Sep'041"/>
      <sheetName val="Stock_Flow_Rate1"/>
      <sheetName val="Value_Details1"/>
      <sheetName val="GTL_ICFLOW1"/>
      <sheetName val="GUL_NOTES1"/>
      <sheetName val="GUL_ICFLOW1"/>
      <sheetName val="GUL_PRICE1"/>
      <sheetName val="GUL_STOCK1"/>
      <sheetName val="GUL_MARGIN1"/>
      <sheetName val="GUL_DEBTORS1"/>
      <sheetName val="Stock_Details1"/>
      <sheetName val="Stock_Flow_Rate_(2)1"/>
      <sheetName val="Duties&amp;Taxes_(2)1"/>
      <sheetName val="GKL_ICFLOW1"/>
      <sheetName val="Price_Buildup1"/>
      <sheetName val="Stock_Flow_Qty_&amp;_Value(USD)1"/>
      <sheetName val="Stock_Flow_Qty_&amp;_Value_(2)1"/>
      <sheetName val="GKL_ICFLOW_(2)1"/>
      <sheetName val="Aug'04_Sale1"/>
      <sheetName val="GRWFF_(USD)1"/>
      <sheetName val="GTL_FACILITY1"/>
      <sheetName val="GOT_FACILITY1"/>
      <sheetName val="Flow_(2)1"/>
      <sheetName val="PriceBuildup_(2)1"/>
      <sheetName val="Stock_Flow_Qty_&amp;_Value_(3)1"/>
      <sheetName val="GRW_ICFLOW1"/>
      <sheetName val="Sales_Assumptions1"/>
      <sheetName val="Margin_Per_Unit_-_Actual1"/>
      <sheetName val="Customerwise_Margin1"/>
      <sheetName val="Trading_Forecast"/>
      <sheetName val="Main_Sheet2"/>
      <sheetName val="Group_Sensitivity2"/>
      <sheetName val="Bank_Balances2"/>
      <sheetName val="Cash_Flow_Aug_Data2"/>
      <sheetName val="Margin_Analysis2"/>
      <sheetName val="Sales_Data2"/>
      <sheetName val="GOT_Stock2"/>
      <sheetName val="GTL_Stock2"/>
      <sheetName val="Location_Wise_Sales2"/>
      <sheetName val="GOT_ICFLOW2"/>
      <sheetName val="Sales_Data_Sep'042"/>
      <sheetName val="Stock_Flow_Rate2"/>
      <sheetName val="Value_Details2"/>
      <sheetName val="GTL_ICFLOW2"/>
      <sheetName val="GUL_NOTES2"/>
      <sheetName val="GUL_ICFLOW2"/>
      <sheetName val="GUL_PRICE2"/>
      <sheetName val="GUL_STOCK2"/>
      <sheetName val="GUL_MARGIN2"/>
      <sheetName val="GUL_DEBTORS2"/>
      <sheetName val="Stock_Details2"/>
      <sheetName val="Stock_Flow_Rate_(2)2"/>
      <sheetName val="Duties&amp;Taxes_(2)2"/>
      <sheetName val="GKL_ICFLOW2"/>
      <sheetName val="Price_Buildup2"/>
      <sheetName val="Stock_Flow_Qty_&amp;_Value(USD)2"/>
      <sheetName val="Stock_Flow_Qty_&amp;_Value_(2)2"/>
      <sheetName val="GKL_ICFLOW_(2)2"/>
      <sheetName val="Aug'04_Sale2"/>
      <sheetName val="GRWFF_(USD)2"/>
      <sheetName val="GTL_FACILITY2"/>
      <sheetName val="GOT_FACILITY2"/>
      <sheetName val="Flow_(2)2"/>
      <sheetName val="PriceBuildup_(2)2"/>
      <sheetName val="Stock_Flow_Qty_&amp;_Value_(3)2"/>
      <sheetName val="GRW_ICFLOW2"/>
      <sheetName val="Sales_Assumptions2"/>
      <sheetName val="Margin_Per_Unit_-_Actual2"/>
      <sheetName val="Customerwise_Margin2"/>
      <sheetName val="Trading_Forecast1"/>
      <sheetName val="Main_Sheet3"/>
      <sheetName val="Group_Sensitivity3"/>
      <sheetName val="Bank_Balances3"/>
      <sheetName val="Cash_Flow_Aug_Data3"/>
      <sheetName val="Margin_Analysis3"/>
      <sheetName val="Sales_Data3"/>
      <sheetName val="GOT_Stock3"/>
      <sheetName val="GTL_Stock3"/>
      <sheetName val="Location_Wise_Sales3"/>
      <sheetName val="GOT_ICFLOW3"/>
      <sheetName val="Sales_Data_Sep'043"/>
      <sheetName val="Stock_Flow_Rate3"/>
      <sheetName val="Value_Details3"/>
      <sheetName val="GTL_ICFLOW3"/>
      <sheetName val="GUL_NOTES3"/>
      <sheetName val="GUL_ICFLOW3"/>
      <sheetName val="GUL_PRICE3"/>
      <sheetName val="GUL_STOCK3"/>
      <sheetName val="GUL_MARGIN3"/>
      <sheetName val="GUL_DEBTORS3"/>
      <sheetName val="Stock_Details3"/>
      <sheetName val="Stock_Flow_Rate_(2)3"/>
      <sheetName val="Duties&amp;Taxes_(2)3"/>
      <sheetName val="GKL_ICFLOW3"/>
      <sheetName val="Price_Buildup3"/>
      <sheetName val="Stock_Flow_Qty_&amp;_Value(USD)3"/>
      <sheetName val="Stock_Flow_Qty_&amp;_Value_(2)3"/>
      <sheetName val="GKL_ICFLOW_(2)3"/>
      <sheetName val="Aug'04_Sale3"/>
      <sheetName val="GRWFF_(USD)3"/>
      <sheetName val="GTL_FACILITY3"/>
      <sheetName val="GOT_FACILITY3"/>
      <sheetName val="Flow_(2)3"/>
      <sheetName val="PriceBuildup_(2)3"/>
      <sheetName val="Stock_Flow_Qty_&amp;_Value_(3)3"/>
      <sheetName val="GRW_ICFLOW3"/>
      <sheetName val="Sales_Assumptions3"/>
      <sheetName val="Margin_Per_Unit_-_Actual3"/>
      <sheetName val="Customerwise_Margin3"/>
      <sheetName val="Trading_Forecast2"/>
      <sheetName val="Main_Sheet4"/>
      <sheetName val="Group_Sensitivity4"/>
      <sheetName val="Bank_Balances4"/>
      <sheetName val="Cash_Flow_Aug_Data4"/>
      <sheetName val="Margin_Analysis4"/>
      <sheetName val="Sales_Data4"/>
      <sheetName val="GOT_Stock4"/>
      <sheetName val="GTL_Stock4"/>
      <sheetName val="Location_Wise_Sales4"/>
      <sheetName val="GOT_ICFLOW4"/>
      <sheetName val="Sales_Data_Sep'044"/>
      <sheetName val="Stock_Flow_Rate4"/>
      <sheetName val="Value_Details4"/>
      <sheetName val="GTL_ICFLOW4"/>
      <sheetName val="GUL_NOTES4"/>
      <sheetName val="GUL_ICFLOW4"/>
      <sheetName val="GUL_PRICE4"/>
      <sheetName val="GUL_STOCK4"/>
      <sheetName val="GUL_MARGIN4"/>
      <sheetName val="GUL_DEBTORS4"/>
      <sheetName val="Stock_Details4"/>
      <sheetName val="Stock_Flow_Rate_(2)4"/>
      <sheetName val="Duties&amp;Taxes_(2)4"/>
      <sheetName val="GKL_ICFLOW4"/>
      <sheetName val="Price_Buildup4"/>
      <sheetName val="Stock_Flow_Qty_&amp;_Value(USD)4"/>
      <sheetName val="Stock_Flow_Qty_&amp;_Value_(2)4"/>
      <sheetName val="GKL_ICFLOW_(2)4"/>
      <sheetName val="Aug'04_Sale4"/>
      <sheetName val="GRWFF_(USD)4"/>
      <sheetName val="GTL_FACILITY4"/>
      <sheetName val="GOT_FACILITY4"/>
      <sheetName val="Flow_(2)4"/>
      <sheetName val="PriceBuildup_(2)4"/>
      <sheetName val="Stock_Flow_Qty_&amp;_Value_(3)4"/>
      <sheetName val="GRW_ICFLOW4"/>
      <sheetName val="Sales_Assumptions4"/>
      <sheetName val="Margin_Per_Unit_-_Actual4"/>
      <sheetName val="Customerwise_Margin4"/>
      <sheetName val="Trading_Forecast3"/>
      <sheetName val="Main_Sheet5"/>
      <sheetName val="Group_Sensitivity5"/>
      <sheetName val="Bank_Balances5"/>
      <sheetName val="Cash_Flow_Aug_Data5"/>
      <sheetName val="Margin_Analysis5"/>
      <sheetName val="Sales_Data5"/>
      <sheetName val="GOT_Stock5"/>
      <sheetName val="GTL_Stock5"/>
      <sheetName val="Location_Wise_Sales5"/>
      <sheetName val="GOT_ICFLOW5"/>
      <sheetName val="Sales_Data_Sep'045"/>
      <sheetName val="Stock_Flow_Rate5"/>
      <sheetName val="Value_Details5"/>
      <sheetName val="GTL_ICFLOW5"/>
      <sheetName val="GUL_NOTES5"/>
      <sheetName val="GUL_ICFLOW5"/>
      <sheetName val="GUL_PRICE5"/>
      <sheetName val="GUL_STOCK5"/>
      <sheetName val="GUL_MARGIN5"/>
      <sheetName val="GUL_DEBTORS5"/>
      <sheetName val="Stock_Details5"/>
      <sheetName val="Stock_Flow_Rate_(2)5"/>
      <sheetName val="Duties&amp;Taxes_(2)5"/>
      <sheetName val="GKL_ICFLOW5"/>
      <sheetName val="Price_Buildup5"/>
      <sheetName val="Stock_Flow_Qty_&amp;_Value(USD)5"/>
      <sheetName val="Stock_Flow_Qty_&amp;_Value_(2)5"/>
      <sheetName val="GKL_ICFLOW_(2)5"/>
      <sheetName val="Aug'04_Sale5"/>
      <sheetName val="GRWFF_(USD)5"/>
      <sheetName val="GTL_FACILITY5"/>
      <sheetName val="GOT_FACILITY5"/>
      <sheetName val="Flow_(2)5"/>
      <sheetName val="PriceBuildup_(2)5"/>
      <sheetName val="Stock_Flow_Qty_&amp;_Value_(3)5"/>
      <sheetName val="GRW_ICFLOW5"/>
      <sheetName val="Sales_Assumptions5"/>
      <sheetName val="Margin_Per_Unit_-_Actual5"/>
      <sheetName val="Customerwise_Margin5"/>
      <sheetName val="Trading_Forecast4"/>
      <sheetName val="Main_Sheet7"/>
      <sheetName val="Group_Sensitivity7"/>
      <sheetName val="Bank_Balances7"/>
      <sheetName val="Cash_Flow_Aug_Data7"/>
      <sheetName val="Margin_Analysis7"/>
      <sheetName val="Sales_Data7"/>
      <sheetName val="GOT_Stock7"/>
      <sheetName val="GTL_Stock7"/>
      <sheetName val="Location_Wise_Sales7"/>
      <sheetName val="GOT_ICFLOW7"/>
      <sheetName val="Sales_Data_Sep'047"/>
      <sheetName val="Stock_Flow_Rate7"/>
      <sheetName val="Value_Details7"/>
      <sheetName val="GTL_ICFLOW7"/>
      <sheetName val="GUL_NOTES7"/>
      <sheetName val="GUL_ICFLOW7"/>
      <sheetName val="GUL_PRICE7"/>
      <sheetName val="GUL_STOCK7"/>
      <sheetName val="GUL_MARGIN7"/>
      <sheetName val="GUL_DEBTORS7"/>
      <sheetName val="Stock_Details7"/>
      <sheetName val="Stock_Flow_Rate_(2)7"/>
      <sheetName val="Duties&amp;Taxes_(2)7"/>
      <sheetName val="GKL_ICFLOW7"/>
      <sheetName val="Price_Buildup7"/>
      <sheetName val="Stock_Flow_Qty_&amp;_Value(USD)7"/>
      <sheetName val="Stock_Flow_Qty_&amp;_Value_(2)7"/>
      <sheetName val="GKL_ICFLOW_(2)7"/>
      <sheetName val="Aug'04_Sale7"/>
      <sheetName val="GRWFF_(USD)7"/>
      <sheetName val="GTL_FACILITY7"/>
      <sheetName val="GOT_FACILITY7"/>
      <sheetName val="Flow_(2)7"/>
      <sheetName val="PriceBuildup_(2)7"/>
      <sheetName val="Stock_Flow_Qty_&amp;_Value_(3)7"/>
      <sheetName val="GRW_ICFLOW7"/>
      <sheetName val="Sales_Assumptions7"/>
      <sheetName val="Margin_Per_Unit_-_Actual7"/>
      <sheetName val="Customerwise_Margin7"/>
      <sheetName val="Trading_Forecast6"/>
      <sheetName val="Main_Sheet6"/>
      <sheetName val="Group_Sensitivity6"/>
      <sheetName val="Bank_Balances6"/>
      <sheetName val="Cash_Flow_Aug_Data6"/>
      <sheetName val="Margin_Analysis6"/>
      <sheetName val="Sales_Data6"/>
      <sheetName val="GOT_Stock6"/>
      <sheetName val="GTL_Stock6"/>
      <sheetName val="Location_Wise_Sales6"/>
      <sheetName val="GOT_ICFLOW6"/>
      <sheetName val="Sales_Data_Sep'046"/>
      <sheetName val="Stock_Flow_Rate6"/>
      <sheetName val="Value_Details6"/>
      <sheetName val="GTL_ICFLOW6"/>
      <sheetName val="GUL_NOTES6"/>
      <sheetName val="GUL_ICFLOW6"/>
      <sheetName val="GUL_PRICE6"/>
      <sheetName val="GUL_STOCK6"/>
      <sheetName val="GUL_MARGIN6"/>
      <sheetName val="GUL_DEBTORS6"/>
      <sheetName val="Stock_Details6"/>
      <sheetName val="Stock_Flow_Rate_(2)6"/>
      <sheetName val="Duties&amp;Taxes_(2)6"/>
      <sheetName val="GKL_ICFLOW6"/>
      <sheetName val="Price_Buildup6"/>
      <sheetName val="Stock_Flow_Qty_&amp;_Value(USD)6"/>
      <sheetName val="Stock_Flow_Qty_&amp;_Value_(2)6"/>
      <sheetName val="GKL_ICFLOW_(2)6"/>
      <sheetName val="Aug'04_Sale6"/>
      <sheetName val="GRWFF_(USD)6"/>
      <sheetName val="GTL_FACILITY6"/>
      <sheetName val="GOT_FACILITY6"/>
      <sheetName val="Flow_(2)6"/>
      <sheetName val="PriceBuildup_(2)6"/>
      <sheetName val="Stock_Flow_Qty_&amp;_Value_(3)6"/>
      <sheetName val="GRW_ICFLOW6"/>
      <sheetName val="Sales_Assumptions6"/>
      <sheetName val="Margin_Per_Unit_-_Actual6"/>
      <sheetName val="Customerwise_Margin6"/>
      <sheetName val="Trading_Forecast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xxx"/>
      <sheetName val="Marine Gasoil Rebrand Document"/>
      <sheetName val="xxxx"/>
      <sheetName val="Lookup Tables"/>
      <sheetName val="Product Receipt Document1"/>
      <sheetName val="Product Receipt Document"/>
      <sheetName val="Receipt Recon Document"/>
      <sheetName val="GAPCO Hospitality Document"/>
      <sheetName val="MASI Sales Document"/>
      <sheetName val="MASI Imports Document"/>
      <sheetName val="Bitumen Drumming Document"/>
      <sheetName val="Fuel Oil Other Rebrand Document"/>
      <sheetName val="KPRL Rebrand Document"/>
      <sheetName val="KPRL Transfers Document"/>
      <sheetName val="Transport Cost Document - OTHER"/>
      <sheetName val="KOSF Transfers Document"/>
      <sheetName val="KOSF Kero Delvrs Rbrnd Document"/>
      <sheetName val="Trpt Cost Document - Airports"/>
      <sheetName val="JetE to Kero Rbrnd Document"/>
      <sheetName val="WKna KPC Transfers Document"/>
      <sheetName val="Transport Cost Document - NKU"/>
      <sheetName val="Transport Cost Document - ELD"/>
      <sheetName val="Transport Cost Document - KSU"/>
      <sheetName val="WKna Jet Rbrnd Delvrs Document"/>
      <sheetName val="Transport Cost Document"/>
      <sheetName val="Fuel Oil 1% Rebrand Document"/>
      <sheetName val="LPG Filling Document"/>
      <sheetName val="Mogas Rebrand Document"/>
      <sheetName val="Borrow Loan Document Kobil"/>
      <sheetName val="Borrow Loan Trf Document Kobil"/>
      <sheetName val="Misc Items-Kobil"/>
      <sheetName val="Borrow Loan Document Caltex"/>
      <sheetName val="Borrow Loan Trf Document Caltex"/>
      <sheetName val="Misc Items-Caltex"/>
      <sheetName val="Borrow Loan Document Total"/>
      <sheetName val="Borrow Loan Trf Document Total"/>
      <sheetName val="Misc Items-Total"/>
      <sheetName val="Borrow Loan Document Shell"/>
      <sheetName val="Borrow Loan Trf Document Shell"/>
      <sheetName val="Misc Items-Shell"/>
      <sheetName val="Borrow Loan MKTrs Document"/>
      <sheetName val="Prod Var KOSF+Mainline Document"/>
      <sheetName val="Own use Document"/>
      <sheetName val="KPC Local Reconciliation"/>
      <sheetName val="KPC Export Reconciliation"/>
      <sheetName val="Prod Var WKna Document"/>
      <sheetName val="Negativety Stock Document"/>
      <sheetName val="ENGEN Exchange Doc Nrb"/>
      <sheetName val="ENGEN Exchange Doc Msa"/>
      <sheetName val="ENGEN Exchange Doc"/>
      <sheetName val="PETRO (K) Reversal Document"/>
      <sheetName val="PETRO (K) Exchange Doc Nrb"/>
      <sheetName val="PETRO (K) Exchange Doc Msa"/>
      <sheetName val="PETRO (K) Exchange Doc"/>
      <sheetName val="GAPCO Exchange Document"/>
      <sheetName val="MASI Exchanges Document"/>
      <sheetName val="Misc Items Doc Masi"/>
      <sheetName val="Misc1 Items Document"/>
      <sheetName val="Misc Items Document"/>
      <sheetName val="Stock Booking Procedures"/>
      <sheetName val="ADJMSA"/>
      <sheetName val="ADJHO019.11.04"/>
      <sheetName val="ADJHO021.11.04"/>
      <sheetName val="2 USD ACCRUAL"/>
      <sheetName val="ADJHO023.11.04 "/>
      <sheetName val="MAINLINE REBRANDS"/>
      <sheetName val="ADJ"/>
      <sheetName val="TRFHO031.01.05."/>
      <sheetName val="ADJHO031.01.05"/>
      <sheetName val="TRFHO031.01.05. (2)"/>
      <sheetName val="TRFHO031.01.05. (3)"/>
      <sheetName val="ADJHO031.01.05 (2)"/>
      <sheetName val="BKup"/>
      <sheetName val="buildup"/>
      <sheetName val="Sheet2"/>
      <sheetName val="additional charge"/>
      <sheetName val="KPRL Rebrand Document FUELEX"/>
      <sheetName val="KPRL Rebrand Document- NOCK"/>
      <sheetName val="Product Receipt Document-MSP"/>
      <sheetName val="Product Receipt Document-JETNSD"/>
      <sheetName val="Prod Receipt Document-AGO SHL"/>
      <sheetName val="Product Receipt Document-AGO NS"/>
      <sheetName val="Product Receipt Document-AG (3)"/>
      <sheetName val="Product Receipt Document-LPG"/>
      <sheetName val="Product Receipt Document-AGO"/>
      <sheetName val="KPRL Transfers Document (2)"/>
      <sheetName val="Borrow Loan Document"/>
      <sheetName val="Buffer Stock Document"/>
      <sheetName val="Misc Items Document (3)"/>
      <sheetName val="Misc Items Document (2)"/>
      <sheetName val="Sorc-sup2"/>
      <sheetName val="Product Receipt Document-JET -2"/>
      <sheetName val="Sheet1"/>
      <sheetName val="Sheet3"/>
      <sheetName val="Product Receipt Document-MOGAS"/>
      <sheetName val="Product Receipt Document-PMS"/>
      <sheetName val="Transport Cost"/>
      <sheetName val="BLOAN GAPCO"/>
      <sheetName val="WKna KPC KSM Transfer Document"/>
      <sheetName val="WKna KPC NKU Transfer Document"/>
      <sheetName val="WKna KPC ELD Transfers Document"/>
      <sheetName val="PMS Receipt (kprl)"/>
      <sheetName val="PMS TRANSFER"/>
      <sheetName val="PMS Receipt (kprl) (2)"/>
      <sheetName val="PMS TRANSFER (2)"/>
      <sheetName val="LPG Receipt (kprl) "/>
      <sheetName val="LPG TRANSFER "/>
      <sheetName val="LPG Receipt (kprl)  (2)"/>
      <sheetName val="LPG TRANSFER  (2)"/>
      <sheetName val="LPG Receipt (kprl)  (3)"/>
      <sheetName val="LPG TRANSFER  (3)"/>
      <sheetName val="DPK Receipt (kprl)  "/>
      <sheetName val="DPK TRANSFER "/>
      <sheetName val="DPK Receipt (kprl)   (2)"/>
      <sheetName val="HO010.12.12"/>
      <sheetName val="DPK TRANSFER  (2)"/>
      <sheetName val="DPK Receipt (kprl)   (3)"/>
      <sheetName val="DPK TRANSFER  (3)"/>
      <sheetName val="AGO Receipt (kprl)"/>
      <sheetName val="AGO TRANSFER"/>
      <sheetName val="AGO Receipt (kprl) (2)"/>
      <sheetName val="AGO TRANSFER (2)"/>
      <sheetName val="IDO Receipt (kprl) "/>
      <sheetName val="IDO TRANSFER"/>
      <sheetName val="FO 180 Receipt (kprl) "/>
      <sheetName val="FO 180 TRANSFER"/>
      <sheetName val="FO 180 Receipt (kprl)  (2)"/>
      <sheetName val="FO 180 TRANSFER (2)"/>
      <sheetName val="Compatibility Report"/>
    </sheetNames>
    <sheetDataSet>
      <sheetData sheetId="0"/>
      <sheetData sheetId="1"/>
      <sheetData sheetId="2"/>
      <sheetData sheetId="3" refreshError="1">
        <row r="3">
          <cell r="B3" t="str">
            <v>LOCATION</v>
          </cell>
          <cell r="C3" t="str">
            <v>LDESC</v>
          </cell>
        </row>
        <row r="4">
          <cell r="B4">
            <v>1</v>
          </cell>
          <cell r="C4" t="str">
            <v>MOMBASA TERMINAL</v>
          </cell>
        </row>
        <row r="5">
          <cell r="B5">
            <v>10</v>
          </cell>
          <cell r="C5" t="str">
            <v>MOMBASA DUTY PAID</v>
          </cell>
        </row>
        <row r="6">
          <cell r="B6">
            <v>100</v>
          </cell>
          <cell r="C6" t="str">
            <v>MOMBASA HOSPITALITY BOOK PLANT</v>
          </cell>
        </row>
        <row r="7">
          <cell r="B7">
            <v>101</v>
          </cell>
          <cell r="C7" t="str">
            <v>TR. MOMBASA - MOI AIRPORT TML</v>
          </cell>
        </row>
        <row r="10">
          <cell r="B10">
            <v>102</v>
          </cell>
          <cell r="C10" t="str">
            <v>TR. MOMBASA - NAIROBI TML</v>
          </cell>
        </row>
        <row r="11">
          <cell r="B11">
            <v>103</v>
          </cell>
          <cell r="C11" t="str">
            <v>TR. MOMBASA - JKIA TML</v>
          </cell>
        </row>
        <row r="12">
          <cell r="B12">
            <v>104</v>
          </cell>
          <cell r="C12" t="str">
            <v>TR. MOMBASA - NAKURU TML</v>
          </cell>
        </row>
        <row r="13">
          <cell r="B13">
            <v>105</v>
          </cell>
          <cell r="C13" t="str">
            <v>TR. MOMBASA - ELDORET TML</v>
          </cell>
        </row>
        <row r="14">
          <cell r="B14">
            <v>106</v>
          </cell>
          <cell r="C14" t="str">
            <v>TR. MOMBASA - KISUMU TML</v>
          </cell>
        </row>
        <row r="15">
          <cell r="B15">
            <v>107</v>
          </cell>
          <cell r="C15" t="str">
            <v>TR. MOMBASA - IBERAFRICA</v>
          </cell>
        </row>
        <row r="16">
          <cell r="B16">
            <v>11</v>
          </cell>
          <cell r="C16" t="str">
            <v>NAIROBI TERMINAL</v>
          </cell>
        </row>
        <row r="17">
          <cell r="B17">
            <v>111</v>
          </cell>
          <cell r="C17" t="str">
            <v>TR. NAIROBI - NAKURU TML</v>
          </cell>
        </row>
        <row r="18">
          <cell r="B18">
            <v>112</v>
          </cell>
          <cell r="C18" t="str">
            <v>TR. NAIROBI - ELDORET TML</v>
          </cell>
        </row>
        <row r="19">
          <cell r="B19">
            <v>113</v>
          </cell>
          <cell r="C19" t="str">
            <v>TR. NAIROBI - KISUMU TML</v>
          </cell>
        </row>
        <row r="20">
          <cell r="B20">
            <v>114</v>
          </cell>
          <cell r="C20" t="str">
            <v>TR. NAIROBI - JKIA TML</v>
          </cell>
        </row>
        <row r="21">
          <cell r="B21">
            <v>115</v>
          </cell>
          <cell r="C21" t="str">
            <v>TR. NAIROBI - MOMBASA TERMINAL</v>
          </cell>
        </row>
        <row r="22">
          <cell r="B22">
            <v>12</v>
          </cell>
          <cell r="C22" t="str">
            <v>NAIROBI AIRPORT-LUBES</v>
          </cell>
        </row>
        <row r="23">
          <cell r="B23">
            <v>121</v>
          </cell>
          <cell r="C23" t="str">
            <v>SHELL/BP OIL EXCHANGE A/C</v>
          </cell>
        </row>
        <row r="24">
          <cell r="B24">
            <v>122</v>
          </cell>
          <cell r="C24" t="str">
            <v>CALTEX OIL EXCHANGE A/C</v>
          </cell>
        </row>
        <row r="25">
          <cell r="B25">
            <v>123</v>
          </cell>
          <cell r="C25" t="str">
            <v>TOTAL OIL EXCHANGE A/C</v>
          </cell>
        </row>
        <row r="26">
          <cell r="B26">
            <v>124</v>
          </cell>
          <cell r="C26" t="str">
            <v>AGIP OIL EXCHANGE A/C</v>
          </cell>
        </row>
        <row r="27">
          <cell r="B27">
            <v>125</v>
          </cell>
          <cell r="C27" t="str">
            <v>KOBIL OIL EXCHANGE A/C</v>
          </cell>
        </row>
        <row r="28">
          <cell r="B28">
            <v>126</v>
          </cell>
          <cell r="C28" t="str">
            <v>KENOL OIL EXCHANGE A/C</v>
          </cell>
        </row>
        <row r="29">
          <cell r="B29">
            <v>127</v>
          </cell>
          <cell r="C29" t="str">
            <v>N.O.C.K. OIL EXCHANGE A/C</v>
          </cell>
        </row>
        <row r="30">
          <cell r="B30">
            <v>128</v>
          </cell>
          <cell r="C30" t="str">
            <v>JOVENNA OIL EXCHANGE /AC</v>
          </cell>
        </row>
        <row r="31">
          <cell r="B31">
            <v>129</v>
          </cell>
          <cell r="C31" t="str">
            <v>MASEFIELD OIL EXCHANGE /AC</v>
          </cell>
        </row>
        <row r="32">
          <cell r="B32">
            <v>130</v>
          </cell>
          <cell r="C32" t="str">
            <v>FUELEX OIL EXCHANGE /AC</v>
          </cell>
        </row>
        <row r="33">
          <cell r="B33">
            <v>131</v>
          </cell>
          <cell r="C33" t="str">
            <v>TR. JKIA - NAIROBI TML</v>
          </cell>
        </row>
        <row r="34">
          <cell r="B34">
            <v>132</v>
          </cell>
          <cell r="C34" t="str">
            <v>TR. JKIA - MOMBASA TML</v>
          </cell>
        </row>
        <row r="35">
          <cell r="B35">
            <v>133</v>
          </cell>
          <cell r="C35" t="str">
            <v>TR. JKIA - MOI AIRPORT TML</v>
          </cell>
        </row>
        <row r="36">
          <cell r="B36">
            <v>134</v>
          </cell>
          <cell r="C36" t="str">
            <v>PETRO OIL EXCHANGE A/C</v>
          </cell>
        </row>
        <row r="37">
          <cell r="B37">
            <v>135</v>
          </cell>
          <cell r="C37" t="str">
            <v>MAFUTA OIL EXCHANGE A/C</v>
          </cell>
        </row>
        <row r="38">
          <cell r="B38">
            <v>136</v>
          </cell>
          <cell r="C38" t="str">
            <v>TRITON OIL EXCHANGE A/C</v>
          </cell>
        </row>
        <row r="39">
          <cell r="B39">
            <v>14</v>
          </cell>
          <cell r="C39" t="str">
            <v>NAKURU DEPOT</v>
          </cell>
        </row>
        <row r="40">
          <cell r="B40">
            <v>141</v>
          </cell>
          <cell r="C40" t="str">
            <v>TR. NAKURU - ELDORET TML</v>
          </cell>
        </row>
        <row r="41">
          <cell r="B41">
            <v>142</v>
          </cell>
          <cell r="C41" t="str">
            <v>TR. NAKURU - KISUMU TML</v>
          </cell>
        </row>
        <row r="42">
          <cell r="B42">
            <v>143</v>
          </cell>
          <cell r="C42" t="str">
            <v>TR. NAKURU - NAIROBI TML</v>
          </cell>
        </row>
        <row r="43">
          <cell r="B43">
            <v>144</v>
          </cell>
          <cell r="C43" t="str">
            <v>TR. NAKURU - MOMBASA TML</v>
          </cell>
        </row>
        <row r="44">
          <cell r="B44">
            <v>15</v>
          </cell>
          <cell r="C44" t="str">
            <v>ELDORET DEPOT - DUTY PAID</v>
          </cell>
        </row>
        <row r="45">
          <cell r="B45">
            <v>151</v>
          </cell>
          <cell r="C45" t="str">
            <v>TR. ELDORET - KISUMU TML</v>
          </cell>
        </row>
        <row r="46">
          <cell r="B46">
            <v>152</v>
          </cell>
          <cell r="C46" t="str">
            <v>TR. ELDORET - NAKURU TML</v>
          </cell>
        </row>
        <row r="47">
          <cell r="B47">
            <v>153</v>
          </cell>
          <cell r="C47" t="str">
            <v>TR. ELDORET - NAIROBI TML</v>
          </cell>
        </row>
        <row r="48">
          <cell r="B48">
            <v>154</v>
          </cell>
          <cell r="C48" t="str">
            <v>TR. ELDORET - MOMBASA TML</v>
          </cell>
        </row>
        <row r="49">
          <cell r="B49">
            <v>155</v>
          </cell>
          <cell r="C49" t="str">
            <v>TR. KPC ELDORET - ELDORET PLT</v>
          </cell>
        </row>
        <row r="50">
          <cell r="B50">
            <v>16</v>
          </cell>
          <cell r="C50" t="str">
            <v>KISUMU DEPOT - DUTY PAID</v>
          </cell>
        </row>
        <row r="51">
          <cell r="B51">
            <v>161</v>
          </cell>
          <cell r="C51" t="str">
            <v>TR. KISUMU - ELDORET TML</v>
          </cell>
        </row>
        <row r="52">
          <cell r="B52">
            <v>162</v>
          </cell>
          <cell r="C52" t="str">
            <v>TR. KISUMU - NAKURU TML</v>
          </cell>
        </row>
        <row r="53">
          <cell r="B53">
            <v>163</v>
          </cell>
          <cell r="C53" t="str">
            <v>TR. KISUMU - NAIROBI TML</v>
          </cell>
        </row>
        <row r="54">
          <cell r="B54">
            <v>164</v>
          </cell>
          <cell r="C54" t="str">
            <v>TR. KISUMU - MOMBASA TML</v>
          </cell>
        </row>
        <row r="55">
          <cell r="B55">
            <v>171</v>
          </cell>
          <cell r="C55" t="str">
            <v>TR. MOI AIRPORT - MOMBASA TML</v>
          </cell>
        </row>
        <row r="56">
          <cell r="B56">
            <v>172</v>
          </cell>
          <cell r="C56" t="str">
            <v>TR. MOI AIRPORT - NAIROBI TML</v>
          </cell>
        </row>
        <row r="57">
          <cell r="B57">
            <v>173</v>
          </cell>
          <cell r="C57" t="str">
            <v>TR. MOI AIRPORT - JKIA TML</v>
          </cell>
        </row>
        <row r="58">
          <cell r="B58">
            <v>18</v>
          </cell>
          <cell r="C58" t="str">
            <v>INTRANSIT - PLANT</v>
          </cell>
        </row>
        <row r="59">
          <cell r="B59">
            <v>19</v>
          </cell>
          <cell r="C59" t="str">
            <v>PRODUCT IMPORT PLANT</v>
          </cell>
        </row>
        <row r="60">
          <cell r="B60">
            <v>2</v>
          </cell>
          <cell r="C60" t="str">
            <v>KIPEVU OIL STORAGE</v>
          </cell>
        </row>
        <row r="61">
          <cell r="B61">
            <v>20</v>
          </cell>
          <cell r="C61" t="str">
            <v>KISUMU DEPOT - IN BOND</v>
          </cell>
        </row>
        <row r="62">
          <cell r="B62">
            <v>21</v>
          </cell>
          <cell r="C62" t="str">
            <v>ELDORET DEPOT - IN BOND</v>
          </cell>
        </row>
        <row r="63">
          <cell r="B63">
            <v>221</v>
          </cell>
          <cell r="C63" t="str">
            <v>GAPCO OIL EXCHANGE A/C</v>
          </cell>
        </row>
        <row r="64">
          <cell r="B64">
            <v>222</v>
          </cell>
          <cell r="C64" t="str">
            <v>ALBA OIL EXCHANGE A/C</v>
          </cell>
        </row>
        <row r="65">
          <cell r="B65">
            <v>225</v>
          </cell>
          <cell r="C65" t="str">
            <v>DALBIT OIL EXCHANGE A/C</v>
          </cell>
        </row>
        <row r="66">
          <cell r="B66">
            <v>26</v>
          </cell>
          <cell r="C66" t="str">
            <v>SHELL HOSPITALITY PLANT - MSA</v>
          </cell>
        </row>
        <row r="67">
          <cell r="B67">
            <v>27</v>
          </cell>
          <cell r="C67" t="str">
            <v>LPG CYLINDER LOAN A/C.</v>
          </cell>
        </row>
        <row r="68">
          <cell r="B68">
            <v>28</v>
          </cell>
          <cell r="C68" t="str">
            <v>SHELL CHEMICALS E.A. LTD.</v>
          </cell>
        </row>
        <row r="69">
          <cell r="B69">
            <v>29</v>
          </cell>
          <cell r="C69" t="str">
            <v>SHELL CHEMICALS</v>
          </cell>
        </row>
        <row r="70">
          <cell r="B70">
            <v>3</v>
          </cell>
          <cell r="C70" t="str">
            <v>MOMBASA - K.P.REFINERY</v>
          </cell>
        </row>
        <row r="71">
          <cell r="B71">
            <v>30</v>
          </cell>
          <cell r="C71" t="str">
            <v>MBA - MOI AIRPORT MOMBASA</v>
          </cell>
        </row>
        <row r="72">
          <cell r="B72">
            <v>31</v>
          </cell>
          <cell r="C72" t="str">
            <v>KPC NAKURU</v>
          </cell>
        </row>
        <row r="73">
          <cell r="B73">
            <v>32</v>
          </cell>
          <cell r="C73" t="str">
            <v>KPC ELDORET</v>
          </cell>
        </row>
        <row r="74">
          <cell r="B74">
            <v>33</v>
          </cell>
          <cell r="C74" t="str">
            <v>KPC KISUMU</v>
          </cell>
        </row>
        <row r="75">
          <cell r="B75">
            <v>332</v>
          </cell>
          <cell r="C75" t="str">
            <v>G.A.S. SALES ADJUSTMENTS</v>
          </cell>
        </row>
        <row r="76">
          <cell r="B76">
            <v>400</v>
          </cell>
          <cell r="C76" t="str">
            <v>SUPPLY SALES - KOSF PLANT</v>
          </cell>
        </row>
        <row r="77">
          <cell r="B77">
            <v>401</v>
          </cell>
          <cell r="C77" t="str">
            <v>SUPPLY SALES - MOMBASA PLANT</v>
          </cell>
        </row>
        <row r="78">
          <cell r="B78">
            <v>402</v>
          </cell>
          <cell r="C78" t="str">
            <v>SUPPLY SALES I&amp;W-KPC NRB PLANT</v>
          </cell>
        </row>
        <row r="79">
          <cell r="B79">
            <v>403</v>
          </cell>
          <cell r="C79" t="str">
            <v>SUPPLY SALES I&amp;W-KPRL PLANT</v>
          </cell>
        </row>
        <row r="80">
          <cell r="B80">
            <v>404</v>
          </cell>
          <cell r="C80" t="str">
            <v>SUPPLY SALES I&amp;W-NRBT PLANT</v>
          </cell>
        </row>
        <row r="81">
          <cell r="B81">
            <v>405</v>
          </cell>
          <cell r="C81" t="str">
            <v>SUPPLY KPC ELD - I&amp;W</v>
          </cell>
        </row>
        <row r="82">
          <cell r="B82">
            <v>406</v>
          </cell>
          <cell r="C82" t="str">
            <v>SUPPLY KPC KSM - I&amp;W</v>
          </cell>
        </row>
        <row r="83">
          <cell r="B83">
            <v>41</v>
          </cell>
          <cell r="C83" t="str">
            <v>KPRL GREASE PLANT</v>
          </cell>
        </row>
        <row r="84">
          <cell r="B84">
            <v>42</v>
          </cell>
          <cell r="C84" t="str">
            <v>GALANA PETROLEUM LTD.</v>
          </cell>
        </row>
        <row r="85">
          <cell r="B85">
            <v>421</v>
          </cell>
          <cell r="C85" t="str">
            <v>GALANA MOMBASA BOOK PLANT</v>
          </cell>
        </row>
        <row r="86">
          <cell r="B86">
            <v>422</v>
          </cell>
          <cell r="C86" t="str">
            <v>GALANA - KPC KOSF BOOK PLANT</v>
          </cell>
        </row>
        <row r="87">
          <cell r="B87">
            <v>425</v>
          </cell>
          <cell r="C87" t="str">
            <v>GALANA - KPC ELD BOOK PLANT</v>
          </cell>
        </row>
        <row r="88">
          <cell r="B88">
            <v>426</v>
          </cell>
          <cell r="C88" t="str">
            <v>GALANA - KPC KIS  BOOK PLANT</v>
          </cell>
        </row>
        <row r="89">
          <cell r="B89">
            <v>43</v>
          </cell>
          <cell r="C89" t="str">
            <v>MOBIL AFRICA SALES INC</v>
          </cell>
        </row>
        <row r="90">
          <cell r="B90">
            <v>431</v>
          </cell>
          <cell r="C90" t="str">
            <v>MASI MOMBASA BOOK PLANT</v>
          </cell>
        </row>
        <row r="91">
          <cell r="B91">
            <v>432</v>
          </cell>
          <cell r="C91" t="str">
            <v>MASI - KPC KOSF BOOK PLANT</v>
          </cell>
        </row>
        <row r="92">
          <cell r="B92">
            <v>433</v>
          </cell>
          <cell r="C92" t="str">
            <v>MASI - ELDORET BOOK PLANT</v>
          </cell>
        </row>
        <row r="93">
          <cell r="B93">
            <v>434</v>
          </cell>
          <cell r="C93" t="str">
            <v>MASI - KPC NAIROBI BOOK PLANT</v>
          </cell>
        </row>
        <row r="94">
          <cell r="B94">
            <v>435</v>
          </cell>
          <cell r="C94" t="str">
            <v>MASI - KPC ELDORET BOOK PLANT</v>
          </cell>
        </row>
        <row r="95">
          <cell r="B95">
            <v>436</v>
          </cell>
          <cell r="C95" t="str">
            <v>MASI - KPC KISUMU BOOK PLANT</v>
          </cell>
        </row>
        <row r="96">
          <cell r="B96">
            <v>437</v>
          </cell>
          <cell r="C96" t="str">
            <v>MASI - KPC JKIA BOOK PLANT</v>
          </cell>
        </row>
        <row r="97">
          <cell r="B97">
            <v>441</v>
          </cell>
          <cell r="C97" t="str">
            <v>MASI - MSA EXPORT SALES PLANT</v>
          </cell>
        </row>
        <row r="98">
          <cell r="B98">
            <v>442</v>
          </cell>
          <cell r="C98" t="str">
            <v>MASI - KOSF EXPORT SALES PLANT</v>
          </cell>
        </row>
        <row r="99">
          <cell r="B99">
            <v>443</v>
          </cell>
          <cell r="C99" t="str">
            <v>MASI - ELD DEPOT EXP SALES PLT</v>
          </cell>
        </row>
        <row r="100">
          <cell r="B100">
            <v>445</v>
          </cell>
          <cell r="C100" t="str">
            <v>MASI - KPC ELD EXP SALES PLANT</v>
          </cell>
        </row>
        <row r="101">
          <cell r="B101">
            <v>446</v>
          </cell>
          <cell r="C101" t="str">
            <v>MASI - KPC KSU EXP SALES PLANT</v>
          </cell>
        </row>
        <row r="102">
          <cell r="B102">
            <v>447</v>
          </cell>
          <cell r="C102" t="str">
            <v>MASI - KPRL</v>
          </cell>
        </row>
        <row r="103">
          <cell r="B103">
            <v>455</v>
          </cell>
          <cell r="C103" t="str">
            <v>GAPCO - KPC ELDORET BOOK PLANT</v>
          </cell>
        </row>
        <row r="104">
          <cell r="B104">
            <v>46</v>
          </cell>
          <cell r="C104" t="str">
            <v>F.N.GATONYE-LPG CYL A/C</v>
          </cell>
        </row>
        <row r="105">
          <cell r="B105">
            <v>465</v>
          </cell>
          <cell r="C105" t="str">
            <v>GAPCO - KPC ELD EXP SLS PLANT</v>
          </cell>
        </row>
        <row r="106">
          <cell r="B106">
            <v>5</v>
          </cell>
          <cell r="C106" t="str">
            <v>MOMBASA - AIRPORT</v>
          </cell>
        </row>
        <row r="107">
          <cell r="B107">
            <v>501</v>
          </cell>
          <cell r="C107" t="str">
            <v>MOMBASA BLENDING PLANT</v>
          </cell>
        </row>
        <row r="108">
          <cell r="B108">
            <v>502</v>
          </cell>
          <cell r="C108" t="str">
            <v>LOBP WAREHOUSE</v>
          </cell>
        </row>
        <row r="109">
          <cell r="B109">
            <v>511</v>
          </cell>
          <cell r="C109" t="str">
            <v>NAIROBI TERMINAL U.G.T.</v>
          </cell>
        </row>
        <row r="110">
          <cell r="B110">
            <v>531</v>
          </cell>
          <cell r="C110" t="str">
            <v>CONSIGNMENT STOCKS-BAMBURI</v>
          </cell>
        </row>
        <row r="111">
          <cell r="B111">
            <v>532</v>
          </cell>
          <cell r="C111" t="str">
            <v>CONSIGNMENT STOCKS-G&amp;ROBERTS</v>
          </cell>
        </row>
        <row r="112">
          <cell r="B112">
            <v>533</v>
          </cell>
          <cell r="C112" t="str">
            <v>CONSIGNMENT STOCKS-ABB ATHI</v>
          </cell>
        </row>
        <row r="113">
          <cell r="B113">
            <v>534</v>
          </cell>
          <cell r="C113" t="str">
            <v>CONSIGNMENT STOCKS-LUBESCHEM</v>
          </cell>
        </row>
        <row r="114">
          <cell r="B114">
            <v>535</v>
          </cell>
          <cell r="C114" t="str">
            <v>JOVENNA A/C BAWAZIR GLASS WORK</v>
          </cell>
        </row>
        <row r="115">
          <cell r="B115">
            <v>552</v>
          </cell>
          <cell r="C115" t="str">
            <v>E.A. SPECTRE-LPG CYLINDER</v>
          </cell>
        </row>
        <row r="116">
          <cell r="B116">
            <v>553</v>
          </cell>
          <cell r="C116" t="str">
            <v>PRESSURE VESSELS LTD</v>
          </cell>
        </row>
        <row r="117">
          <cell r="B117">
            <v>554</v>
          </cell>
          <cell r="C117" t="str">
            <v>CYLINDER MASTERS LIMITED</v>
          </cell>
        </row>
        <row r="118">
          <cell r="B118">
            <v>591</v>
          </cell>
          <cell r="C118" t="str">
            <v>AGIP BLENDING PLANT</v>
          </cell>
        </row>
        <row r="119">
          <cell r="B119">
            <v>592</v>
          </cell>
          <cell r="C119" t="str">
            <v>TOTAL BLENDING PLANT</v>
          </cell>
        </row>
        <row r="120">
          <cell r="B120">
            <v>593</v>
          </cell>
          <cell r="C120" t="str">
            <v>TOTAL OIL EXPORT PLANT</v>
          </cell>
        </row>
        <row r="121">
          <cell r="B121">
            <v>6</v>
          </cell>
          <cell r="C121" t="str">
            <v>KPC NAIROBI - FACILITY</v>
          </cell>
        </row>
        <row r="122">
          <cell r="B122">
            <v>64</v>
          </cell>
          <cell r="C122" t="str">
            <v>L.P.G. TRUCK NAIROBI</v>
          </cell>
        </row>
        <row r="123">
          <cell r="B123">
            <v>67</v>
          </cell>
          <cell r="C123" t="str">
            <v>L.P. GAS TRUCKS-MOMBASA</v>
          </cell>
        </row>
        <row r="124">
          <cell r="B124">
            <v>7</v>
          </cell>
          <cell r="C124" t="str">
            <v>NBO - JKI AIRPORT NAIROBI</v>
          </cell>
        </row>
        <row r="125">
          <cell r="B125">
            <v>70</v>
          </cell>
          <cell r="C125" t="str">
            <v>TOTAL OIL ACCOM. ELDORET</v>
          </cell>
        </row>
        <row r="126">
          <cell r="B126">
            <v>8</v>
          </cell>
          <cell r="C126" t="str">
            <v>E.A. STORAGE FACILITY</v>
          </cell>
        </row>
        <row r="127">
          <cell r="B127">
            <v>81</v>
          </cell>
          <cell r="C127" t="str">
            <v>MSA TERMINAL STOREHOUSE</v>
          </cell>
        </row>
        <row r="128">
          <cell r="B128">
            <v>811</v>
          </cell>
          <cell r="C128" t="str">
            <v>MSA STOREHOUSE ISSUES</v>
          </cell>
        </row>
        <row r="129">
          <cell r="B129">
            <v>82</v>
          </cell>
          <cell r="C129" t="str">
            <v>NAIROBI TERMINAL STOREHSE</v>
          </cell>
        </row>
        <row r="130">
          <cell r="B130">
            <v>821</v>
          </cell>
          <cell r="C130" t="str">
            <v>NBI STOREHOUSE ISSUES</v>
          </cell>
        </row>
        <row r="131">
          <cell r="B131">
            <v>83</v>
          </cell>
          <cell r="C131" t="str">
            <v>J.K.AIRPORT STOREHOUSE</v>
          </cell>
        </row>
        <row r="132">
          <cell r="B132">
            <v>831</v>
          </cell>
          <cell r="C132" t="str">
            <v>JKIA STOREHOUSE ISSUES</v>
          </cell>
        </row>
        <row r="133">
          <cell r="B133">
            <v>84</v>
          </cell>
          <cell r="C133" t="str">
            <v>MOI AIRPORT STOREHOUSE</v>
          </cell>
        </row>
        <row r="134">
          <cell r="B134">
            <v>841</v>
          </cell>
          <cell r="C134" t="str">
            <v>MOI STOREHOUSE ISSUES</v>
          </cell>
        </row>
        <row r="135">
          <cell r="B135">
            <v>85</v>
          </cell>
          <cell r="C135" t="str">
            <v>IBERAFRICA CONSIGNMENT STOCKS</v>
          </cell>
        </row>
        <row r="136">
          <cell r="B136">
            <v>86</v>
          </cell>
          <cell r="C136" t="str">
            <v>WESTMONT CONSIGNMENT STOCKS</v>
          </cell>
        </row>
        <row r="137">
          <cell r="B137">
            <v>9</v>
          </cell>
          <cell r="C137" t="str">
            <v>NAIROBI DUTY PAID</v>
          </cell>
        </row>
        <row r="138">
          <cell r="B138">
            <v>91</v>
          </cell>
          <cell r="C138" t="str">
            <v>MOMBASA TERMINAL OWN USE</v>
          </cell>
        </row>
        <row r="139">
          <cell r="B139">
            <v>92</v>
          </cell>
          <cell r="C139" t="str">
            <v>NAIROBI TERMINAL OWN USE</v>
          </cell>
        </row>
        <row r="140">
          <cell r="B140">
            <v>93</v>
          </cell>
          <cell r="C140" t="str">
            <v>MOI AIRPORT OWN USE</v>
          </cell>
        </row>
        <row r="141">
          <cell r="B141">
            <v>94</v>
          </cell>
          <cell r="C141" t="str">
            <v>NAIROBI JKIA OWN USE</v>
          </cell>
        </row>
        <row r="142">
          <cell r="B142">
            <v>95</v>
          </cell>
          <cell r="C142" t="str">
            <v>NAKURU PLANT OWN USE</v>
          </cell>
        </row>
        <row r="143">
          <cell r="B143">
            <v>96</v>
          </cell>
          <cell r="C143" t="str">
            <v>ELDORET PLANT OWN USE</v>
          </cell>
        </row>
        <row r="144">
          <cell r="B144">
            <v>97</v>
          </cell>
          <cell r="C144" t="str">
            <v>KISUMU PLANT OWN USE</v>
          </cell>
        </row>
        <row r="145">
          <cell r="B145" t="str">
            <v>XX2</v>
          </cell>
          <cell r="C145" t="str">
            <v>PROV LOCATION KOSF</v>
          </cell>
        </row>
        <row r="146">
          <cell r="B146" t="str">
            <v>XX3</v>
          </cell>
          <cell r="C146" t="str">
            <v>PROV LOCATION KPRL</v>
          </cell>
        </row>
        <row r="147">
          <cell r="B147" t="str">
            <v>XX6</v>
          </cell>
          <cell r="C147" t="str">
            <v>PROV LOCATION KPC NRB</v>
          </cell>
        </row>
        <row r="148">
          <cell r="B148" t="str">
            <v>XX7</v>
          </cell>
          <cell r="C148" t="str">
            <v>PROV LOCATION JKIA</v>
          </cell>
        </row>
        <row r="149">
          <cell r="B149" t="str">
            <v>X30</v>
          </cell>
          <cell r="C149" t="str">
            <v>PROV LOCATION MOI</v>
          </cell>
        </row>
        <row r="150">
          <cell r="B150" t="str">
            <v>X31</v>
          </cell>
          <cell r="C150" t="str">
            <v>PROV LOCATION KPC NKU</v>
          </cell>
        </row>
        <row r="151">
          <cell r="B151" t="str">
            <v>X32</v>
          </cell>
          <cell r="C151" t="str">
            <v>PROV LOCATION KPC ELD</v>
          </cell>
        </row>
        <row r="152">
          <cell r="B152" t="str">
            <v>X33</v>
          </cell>
          <cell r="C152" t="str">
            <v>PROV LOCATION KPC KSM</v>
          </cell>
        </row>
        <row r="153">
          <cell r="B153">
            <v>99</v>
          </cell>
          <cell r="C153" t="str">
            <v>HEAD OFFICE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hange Rates "/>
    </sheetNames>
    <sheetDataSet>
      <sheetData sheetId="0">
        <row r="5">
          <cell r="L5">
            <v>133.11960000000002</v>
          </cell>
        </row>
        <row r="6">
          <cell r="L6">
            <v>137.24719999999999</v>
          </cell>
        </row>
        <row r="7">
          <cell r="L7">
            <v>135.62893333333332</v>
          </cell>
        </row>
        <row r="8">
          <cell r="L8">
            <v>135.62893333333332</v>
          </cell>
        </row>
        <row r="9">
          <cell r="L9">
            <v>133.90013333333334</v>
          </cell>
        </row>
        <row r="10">
          <cell r="J10">
            <v>138.73426666666666</v>
          </cell>
        </row>
        <row r="11">
          <cell r="L11">
            <v>134.21306666666666</v>
          </cell>
        </row>
        <row r="12">
          <cell r="L12">
            <v>134.74599999999998</v>
          </cell>
        </row>
        <row r="13">
          <cell r="L13">
            <v>138.12640000000002</v>
          </cell>
        </row>
        <row r="14">
          <cell r="L14">
            <v>133.18866666666668</v>
          </cell>
        </row>
        <row r="15">
          <cell r="L15">
            <v>132.88386666666668</v>
          </cell>
        </row>
        <row r="16">
          <cell r="L16">
            <v>137.24719999999999</v>
          </cell>
        </row>
        <row r="17">
          <cell r="L17">
            <v>137.24719999999999</v>
          </cell>
        </row>
        <row r="18">
          <cell r="L18">
            <v>137.24719999999999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hange Rates for Dec 2015"/>
      <sheetName val="PMS Import"/>
      <sheetName val="AGO Import"/>
      <sheetName val="DPK Import"/>
      <sheetName val="WEIGHTED AVERAGE COST"/>
      <sheetName val="RMS Cargos"/>
      <sheetName val="Mombasa"/>
      <sheetName val="Kilifi"/>
      <sheetName val="Likoni Mainland"/>
      <sheetName val="Lungalunga"/>
      <sheetName val="Kwale"/>
      <sheetName val="Malindi"/>
      <sheetName val="Voi"/>
      <sheetName val="Taveta"/>
      <sheetName val="Lamu"/>
      <sheetName val="Nairobi"/>
      <sheetName val="Thika"/>
      <sheetName val="Machakos"/>
      <sheetName val="Namanga"/>
      <sheetName val="Kajiado"/>
      <sheetName val="Muranga"/>
      <sheetName val="Embu"/>
      <sheetName val="Kerugoya"/>
      <sheetName val="Kiganjo"/>
      <sheetName val="Makuyu"/>
      <sheetName val="Sagana"/>
      <sheetName val="Narok"/>
      <sheetName val="Nyeri"/>
      <sheetName val="Kitui"/>
      <sheetName val="Mwingi"/>
      <sheetName val="Nanyuki"/>
      <sheetName val="Mtito Andei"/>
      <sheetName val="Chuka"/>
      <sheetName val="Nkubu"/>
      <sheetName val="Meru"/>
      <sheetName val="Isiolo"/>
      <sheetName val="Maua"/>
      <sheetName val="Garissa"/>
      <sheetName val="Marsabit"/>
      <sheetName val="Liboi"/>
      <sheetName val="Wajir"/>
      <sheetName val="Mandera"/>
      <sheetName val="Nakuru"/>
      <sheetName val="Nyahururu"/>
      <sheetName val="Naivasha"/>
      <sheetName val="Gilgil"/>
      <sheetName val="Molo"/>
      <sheetName val="Mogotio"/>
      <sheetName val="Kabarnet"/>
      <sheetName val="Bomet"/>
      <sheetName val="Londiani"/>
      <sheetName val="Marigat"/>
      <sheetName val="Maralal"/>
      <sheetName val="Eldoret"/>
      <sheetName val="Kapsabet"/>
      <sheetName val="Kitale"/>
      <sheetName val="Kapenguria"/>
      <sheetName val="Bungoma"/>
      <sheetName val="Webuye"/>
      <sheetName val="Malaba"/>
      <sheetName val="Lokichogio"/>
      <sheetName val="Kisumu"/>
      <sheetName val="Kakamega"/>
      <sheetName val="Siaya"/>
      <sheetName val="Kericho"/>
      <sheetName val="Nyamira"/>
      <sheetName val="Sondu"/>
      <sheetName val="Oyugis"/>
      <sheetName val="Kisii"/>
      <sheetName val="Keroka"/>
      <sheetName val="Isebania"/>
      <sheetName val="Sotik"/>
      <sheetName val="Busia"/>
      <sheetName val="Homabay"/>
      <sheetName val="Bondo"/>
      <sheetName val="Migori"/>
      <sheetName val="PUMP PRICES SUMMARY"/>
      <sheetName val="Bridging - Sept 2013"/>
      <sheetName val="Delivery =&lt;40km-Sept 2013"/>
      <sheetName val="Delivery &gt;40km-Sept 2013"/>
      <sheetName val="AGO Pump Prices"/>
      <sheetName val="Kenya CPI"/>
      <sheetName val="PMS MISHIMA"/>
      <sheetName val="PMS MISENO"/>
      <sheetName val="PMS ZIRCON"/>
      <sheetName val="PMS SIGNE"/>
      <sheetName val="PMS SIGNE TOPUP"/>
      <sheetName val="PMS CHALLENGE"/>
      <sheetName val="AGO MARIE"/>
      <sheetName val="AGO MARIE KPRL"/>
      <sheetName val="AGO MISENO"/>
      <sheetName val="AGO SOUTHPOT KPRL "/>
      <sheetName val="AGO SOUTHPOT"/>
      <sheetName val="AGO SEAFOX "/>
      <sheetName val="AGO IPANEMA"/>
      <sheetName val="DPK STI ELYSEES"/>
      <sheetName val="DPK CRYSTAL"/>
      <sheetName val="Taxes &amp; Levies "/>
    </sheetNames>
    <sheetDataSet>
      <sheetData sheetId="0">
        <row r="6">
          <cell r="H6">
            <v>101.93333333333334</v>
          </cell>
        </row>
      </sheetData>
      <sheetData sheetId="1" refreshError="1"/>
      <sheetData sheetId="2" refreshError="1"/>
      <sheetData sheetId="3" refreshError="1"/>
      <sheetData sheetId="4">
        <row r="10">
          <cell r="D10">
            <v>14317.232999999995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9">
          <cell r="D9">
            <v>2.0880000000000001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>
        <row r="14">
          <cell r="D14">
            <v>469.26190000000003</v>
          </cell>
        </row>
      </sheetData>
      <sheetData sheetId="83">
        <row r="32">
          <cell r="E32">
            <v>437.45238095238096</v>
          </cell>
        </row>
      </sheetData>
      <sheetData sheetId="84">
        <row r="14">
          <cell r="D14">
            <v>437.45240000000001</v>
          </cell>
        </row>
      </sheetData>
      <sheetData sheetId="85">
        <row r="14">
          <cell r="D14">
            <v>469.26190000000003</v>
          </cell>
        </row>
      </sheetData>
      <sheetData sheetId="86">
        <row r="14">
          <cell r="D14">
            <v>469.26190000000003</v>
          </cell>
        </row>
      </sheetData>
      <sheetData sheetId="87">
        <row r="14">
          <cell r="D14">
            <v>469.26190000000003</v>
          </cell>
        </row>
      </sheetData>
      <sheetData sheetId="88">
        <row r="14">
          <cell r="D14">
            <v>333.73430345806133</v>
          </cell>
        </row>
      </sheetData>
      <sheetData sheetId="89">
        <row r="14">
          <cell r="D14">
            <v>333.73430345806133</v>
          </cell>
        </row>
      </sheetData>
      <sheetData sheetId="90">
        <row r="34">
          <cell r="D34">
            <v>333.77133476153523</v>
          </cell>
        </row>
      </sheetData>
      <sheetData sheetId="91">
        <row r="14">
          <cell r="D14">
            <v>413.67981622299646</v>
          </cell>
        </row>
      </sheetData>
      <sheetData sheetId="92">
        <row r="14">
          <cell r="D14">
            <v>413.67981622299646</v>
          </cell>
        </row>
      </sheetData>
      <sheetData sheetId="93">
        <row r="14">
          <cell r="C14">
            <v>415.90537214117865</v>
          </cell>
        </row>
      </sheetData>
      <sheetData sheetId="94">
        <row r="14">
          <cell r="D14">
            <v>416.32633297898826</v>
          </cell>
        </row>
      </sheetData>
      <sheetData sheetId="95">
        <row r="14">
          <cell r="C14">
            <v>361.84170356107626</v>
          </cell>
        </row>
      </sheetData>
      <sheetData sheetId="96">
        <row r="14">
          <cell r="C14">
            <v>360.79344403216413</v>
          </cell>
        </row>
        <row r="37">
          <cell r="B37" t="str">
            <v>[0.50%*CIF]</v>
          </cell>
        </row>
      </sheetData>
      <sheetData sheetId="97">
        <row r="9">
          <cell r="F9">
            <v>19.895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dging - Sept 2013"/>
      <sheetName val="Delivery =&lt;40km-Sept 2013"/>
      <sheetName val="Delivery &gt;40km-Sept 2013"/>
      <sheetName val="AGO Pump Prices"/>
      <sheetName val="Kenya CPI"/>
      <sheetName val="Bridging"/>
      <sheetName val="Delivery =&lt;40km"/>
      <sheetName val="Delivery &gt;40km"/>
    </sheetNames>
    <sheetDataSet>
      <sheetData sheetId="0">
        <row r="11">
          <cell r="D11" t="str">
            <v>Average 11/12'</v>
          </cell>
          <cell r="E11">
            <v>106.66916666666667</v>
          </cell>
        </row>
        <row r="12">
          <cell r="D12" t="str">
            <v>Average 12/13'</v>
          </cell>
          <cell r="E12">
            <v>104.19499999999999</v>
          </cell>
        </row>
      </sheetData>
      <sheetData sheetId="1" refreshError="1"/>
      <sheetData sheetId="2" refreshError="1"/>
      <sheetData sheetId="3">
        <row r="16">
          <cell r="G16">
            <v>106.66916666666667</v>
          </cell>
          <cell r="H16">
            <v>104.19499999999999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 Allocation ex KPRL Feb 11"/>
      <sheetName val="Cost Allocation ex KPRL Mar 11"/>
      <sheetName val="PMS Cargos"/>
      <sheetName val="AGO Cargos"/>
      <sheetName val="DPK Cargos"/>
      <sheetName val="RMS Cargos"/>
      <sheetName val="WEIGHTED AVERAGE COST"/>
      <sheetName val="Mombasa"/>
      <sheetName val="Kilifi"/>
      <sheetName val="Likoni Mainland"/>
      <sheetName val="Kwale"/>
      <sheetName val="Malindi"/>
      <sheetName val="Voi"/>
      <sheetName val="Taveta"/>
      <sheetName val="Lamu"/>
      <sheetName val="Nairobi"/>
      <sheetName val="Thika"/>
      <sheetName val="Machakos"/>
      <sheetName val="Kajiado"/>
      <sheetName val="Muranga"/>
      <sheetName val="Embu"/>
      <sheetName val="Narok"/>
      <sheetName val="Nyeri"/>
      <sheetName val="Kitui"/>
      <sheetName val="Nanyuki"/>
      <sheetName val="Meru"/>
      <sheetName val="Isiolo"/>
      <sheetName val="Garissa"/>
      <sheetName val="Marsabit"/>
      <sheetName val="Wajir"/>
      <sheetName val="Mandera"/>
      <sheetName val="Nakuru"/>
      <sheetName val="Nyahururu"/>
      <sheetName val="Naivasha"/>
      <sheetName val="Kabarnet"/>
      <sheetName val="Maralal"/>
      <sheetName val="Eldoret"/>
      <sheetName val="Kapsabet"/>
      <sheetName val="Kitale"/>
      <sheetName val="Kapenguria"/>
      <sheetName val="Bungoma"/>
      <sheetName val="Lokichogio"/>
      <sheetName val="Kisumu"/>
      <sheetName val="Kakamega"/>
      <sheetName val="Siaya"/>
      <sheetName val="Kericho"/>
      <sheetName val="Nyamira"/>
      <sheetName val="Kisii"/>
      <sheetName val="Sotik"/>
      <sheetName val="Busia"/>
      <sheetName val="Homabay"/>
      <sheetName val="Migori"/>
      <sheetName val="PUMP PRICES SUMMARY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14">
          <cell r="E14">
            <v>105.44345208449153</v>
          </cell>
        </row>
      </sheetData>
      <sheetData sheetId="53"/>
      <sheetData sheetId="5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 Allocation ex KPRL Apri 11"/>
      <sheetName val="Cost Allocation ex KPRL Mar 11"/>
      <sheetName val="PMS Cargos"/>
      <sheetName val="AGO Cargos"/>
      <sheetName val="DPK Cargos"/>
      <sheetName val="RMS Cargos"/>
      <sheetName val="WEIGHTED AVERAGE COST"/>
      <sheetName val="Mombasa"/>
      <sheetName val="Kilifi"/>
      <sheetName val="Likoni Mainland"/>
      <sheetName val="Kwale"/>
      <sheetName val="Malindi"/>
      <sheetName val="Voi"/>
      <sheetName val="Taveta"/>
      <sheetName val="Lamu"/>
      <sheetName val="Nairobi"/>
      <sheetName val="Thika"/>
      <sheetName val="Machakos"/>
      <sheetName val="Kajiado"/>
      <sheetName val="Muranga"/>
      <sheetName val="Embu"/>
      <sheetName val="Narok"/>
      <sheetName val="Nyeri"/>
      <sheetName val="Kitui"/>
      <sheetName val="Nanyuki"/>
      <sheetName val="Meru"/>
      <sheetName val="Isiolo"/>
      <sheetName val="Garissa"/>
      <sheetName val="Marsabit"/>
      <sheetName val="Wajir"/>
      <sheetName val="Mandera"/>
      <sheetName val="Nakuru"/>
      <sheetName val="Nyahururu"/>
      <sheetName val="Naivasha"/>
      <sheetName val="Kabarnet"/>
      <sheetName val="Maralal"/>
      <sheetName val="Eldoret"/>
      <sheetName val="Kapsabet"/>
      <sheetName val="Kitale"/>
      <sheetName val="Kapenguria"/>
      <sheetName val="Bungoma"/>
      <sheetName val="Lokichogio"/>
      <sheetName val="Kisumu"/>
      <sheetName val="Kakamega"/>
      <sheetName val="Siaya"/>
      <sheetName val="Kericho"/>
      <sheetName val="Nyamira"/>
      <sheetName val="Kisii"/>
      <sheetName val="Sotik"/>
      <sheetName val="Busia"/>
      <sheetName val="Homabay"/>
      <sheetName val="Migori"/>
      <sheetName val="PUMP PRICES SUMMARY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5">
          <cell r="E25">
            <v>108.01906484243555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 Allocation ex KPRL Apri 11"/>
      <sheetName val="Cost Allocation ex KPRL May 11"/>
      <sheetName val="PMS Cargos"/>
      <sheetName val="AGO Cargos"/>
      <sheetName val="DPK Cargos"/>
      <sheetName val="RMS Cargos"/>
      <sheetName val="WEIGHTED AVERAGE COST"/>
      <sheetName val="Mombasa"/>
      <sheetName val="Kilifi"/>
      <sheetName val="Likoni Mainland"/>
      <sheetName val="Kwale"/>
      <sheetName val="Malindi"/>
      <sheetName val="Voi"/>
      <sheetName val="Taveta"/>
      <sheetName val="Lamu"/>
      <sheetName val="Nairobi"/>
      <sheetName val="Thika"/>
      <sheetName val="Machakos"/>
      <sheetName val="Kajiado"/>
      <sheetName val="Muranga"/>
      <sheetName val="Embu"/>
      <sheetName val="Narok"/>
      <sheetName val="Nyeri"/>
      <sheetName val="Kitui"/>
      <sheetName val="Nanyuki"/>
      <sheetName val="Mtito Andei"/>
      <sheetName val="Meru"/>
      <sheetName val="Isiolo"/>
      <sheetName val="Garissa"/>
      <sheetName val="Marsabit"/>
      <sheetName val="Wajir"/>
      <sheetName val="Mandera"/>
      <sheetName val="Nakuru"/>
      <sheetName val="Nyahururu"/>
      <sheetName val="Naivasha"/>
      <sheetName val="Kabarnet"/>
      <sheetName val="Maralal"/>
      <sheetName val="Eldoret"/>
      <sheetName val="Kapsabet"/>
      <sheetName val="Kitale"/>
      <sheetName val="Kapenguria"/>
      <sheetName val="Bungoma"/>
      <sheetName val="Lokichogio"/>
      <sheetName val="Kisumu"/>
      <sheetName val="Kakamega"/>
      <sheetName val="Siaya"/>
      <sheetName val="Kericho"/>
      <sheetName val="Nyamira"/>
      <sheetName val="Kisii"/>
      <sheetName val="Sotik"/>
      <sheetName val="Busia"/>
      <sheetName val="Homabay"/>
      <sheetName val="Migori"/>
      <sheetName val="PUMP PRICES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5">
          <cell r="E25">
            <v>106.29908892434156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oleObject" Target="../embeddings/oleObject15.bin"/><Relationship Id="rId21" Type="http://schemas.openxmlformats.org/officeDocument/2006/relationships/oleObject" Target="../embeddings/oleObject11.bin"/><Relationship Id="rId42" Type="http://schemas.openxmlformats.org/officeDocument/2006/relationships/oleObject" Target="../embeddings/oleObject31.bin"/><Relationship Id="rId47" Type="http://schemas.openxmlformats.org/officeDocument/2006/relationships/oleObject" Target="../embeddings/oleObject36.bin"/><Relationship Id="rId63" Type="http://schemas.openxmlformats.org/officeDocument/2006/relationships/oleObject" Target="../embeddings/oleObject52.bin"/><Relationship Id="rId68" Type="http://schemas.openxmlformats.org/officeDocument/2006/relationships/oleObject" Target="../embeddings/oleObject57.bin"/><Relationship Id="rId84" Type="http://schemas.openxmlformats.org/officeDocument/2006/relationships/oleObject" Target="../embeddings/oleObject73.bin"/><Relationship Id="rId89" Type="http://schemas.openxmlformats.org/officeDocument/2006/relationships/oleObject" Target="../embeddings/oleObject78.bin"/><Relationship Id="rId16" Type="http://schemas.openxmlformats.org/officeDocument/2006/relationships/oleObject" Target="../embeddings/oleObject7.bin"/><Relationship Id="rId11" Type="http://schemas.openxmlformats.org/officeDocument/2006/relationships/image" Target="../media/image4.wmf"/><Relationship Id="rId32" Type="http://schemas.openxmlformats.org/officeDocument/2006/relationships/oleObject" Target="../embeddings/oleObject21.bin"/><Relationship Id="rId37" Type="http://schemas.openxmlformats.org/officeDocument/2006/relationships/oleObject" Target="../embeddings/oleObject26.bin"/><Relationship Id="rId53" Type="http://schemas.openxmlformats.org/officeDocument/2006/relationships/oleObject" Target="../embeddings/oleObject42.bin"/><Relationship Id="rId58" Type="http://schemas.openxmlformats.org/officeDocument/2006/relationships/oleObject" Target="../embeddings/oleObject47.bin"/><Relationship Id="rId74" Type="http://schemas.openxmlformats.org/officeDocument/2006/relationships/oleObject" Target="../embeddings/oleObject63.bin"/><Relationship Id="rId79" Type="http://schemas.openxmlformats.org/officeDocument/2006/relationships/oleObject" Target="../embeddings/oleObject68.bin"/><Relationship Id="rId102" Type="http://schemas.openxmlformats.org/officeDocument/2006/relationships/oleObject" Target="../embeddings/oleObject91.bin"/><Relationship Id="rId5" Type="http://schemas.openxmlformats.org/officeDocument/2006/relationships/image" Target="../media/image1.wmf"/><Relationship Id="rId90" Type="http://schemas.openxmlformats.org/officeDocument/2006/relationships/oleObject" Target="../embeddings/oleObject79.bin"/><Relationship Id="rId95" Type="http://schemas.openxmlformats.org/officeDocument/2006/relationships/oleObject" Target="../embeddings/oleObject84.bin"/><Relationship Id="rId22" Type="http://schemas.openxmlformats.org/officeDocument/2006/relationships/oleObject" Target="../embeddings/oleObject12.bin"/><Relationship Id="rId27" Type="http://schemas.openxmlformats.org/officeDocument/2006/relationships/oleObject" Target="../embeddings/oleObject16.bin"/><Relationship Id="rId43" Type="http://schemas.openxmlformats.org/officeDocument/2006/relationships/oleObject" Target="../embeddings/oleObject32.bin"/><Relationship Id="rId48" Type="http://schemas.openxmlformats.org/officeDocument/2006/relationships/oleObject" Target="../embeddings/oleObject37.bin"/><Relationship Id="rId64" Type="http://schemas.openxmlformats.org/officeDocument/2006/relationships/oleObject" Target="../embeddings/oleObject53.bin"/><Relationship Id="rId69" Type="http://schemas.openxmlformats.org/officeDocument/2006/relationships/oleObject" Target="../embeddings/oleObject58.bin"/><Relationship Id="rId80" Type="http://schemas.openxmlformats.org/officeDocument/2006/relationships/oleObject" Target="../embeddings/oleObject69.bin"/><Relationship Id="rId85" Type="http://schemas.openxmlformats.org/officeDocument/2006/relationships/oleObject" Target="../embeddings/oleObject74.bin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wmf"/><Relationship Id="rId25" Type="http://schemas.openxmlformats.org/officeDocument/2006/relationships/oleObject" Target="../embeddings/oleObject14.bin"/><Relationship Id="rId33" Type="http://schemas.openxmlformats.org/officeDocument/2006/relationships/oleObject" Target="../embeddings/oleObject22.bin"/><Relationship Id="rId38" Type="http://schemas.openxmlformats.org/officeDocument/2006/relationships/oleObject" Target="../embeddings/oleObject27.bin"/><Relationship Id="rId46" Type="http://schemas.openxmlformats.org/officeDocument/2006/relationships/oleObject" Target="../embeddings/oleObject35.bin"/><Relationship Id="rId59" Type="http://schemas.openxmlformats.org/officeDocument/2006/relationships/oleObject" Target="../embeddings/oleObject48.bin"/><Relationship Id="rId67" Type="http://schemas.openxmlformats.org/officeDocument/2006/relationships/oleObject" Target="../embeddings/oleObject56.bin"/><Relationship Id="rId103" Type="http://schemas.openxmlformats.org/officeDocument/2006/relationships/oleObject" Target="../embeddings/oleObject92.bin"/><Relationship Id="rId20" Type="http://schemas.openxmlformats.org/officeDocument/2006/relationships/oleObject" Target="../embeddings/oleObject10.bin"/><Relationship Id="rId41" Type="http://schemas.openxmlformats.org/officeDocument/2006/relationships/oleObject" Target="../embeddings/oleObject30.bin"/><Relationship Id="rId54" Type="http://schemas.openxmlformats.org/officeDocument/2006/relationships/oleObject" Target="../embeddings/oleObject43.bin"/><Relationship Id="rId62" Type="http://schemas.openxmlformats.org/officeDocument/2006/relationships/oleObject" Target="../embeddings/oleObject51.bin"/><Relationship Id="rId70" Type="http://schemas.openxmlformats.org/officeDocument/2006/relationships/oleObject" Target="../embeddings/oleObject59.bin"/><Relationship Id="rId75" Type="http://schemas.openxmlformats.org/officeDocument/2006/relationships/oleObject" Target="../embeddings/oleObject64.bin"/><Relationship Id="rId83" Type="http://schemas.openxmlformats.org/officeDocument/2006/relationships/oleObject" Target="../embeddings/oleObject72.bin"/><Relationship Id="rId88" Type="http://schemas.openxmlformats.org/officeDocument/2006/relationships/oleObject" Target="../embeddings/oleObject77.bin"/><Relationship Id="rId91" Type="http://schemas.openxmlformats.org/officeDocument/2006/relationships/oleObject" Target="../embeddings/oleObject80.bin"/><Relationship Id="rId96" Type="http://schemas.openxmlformats.org/officeDocument/2006/relationships/oleObject" Target="../embeddings/oleObject85.bin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2.bin"/><Relationship Id="rId15" Type="http://schemas.openxmlformats.org/officeDocument/2006/relationships/image" Target="../media/image6.wmf"/><Relationship Id="rId23" Type="http://schemas.openxmlformats.org/officeDocument/2006/relationships/image" Target="../media/image8.wmf"/><Relationship Id="rId28" Type="http://schemas.openxmlformats.org/officeDocument/2006/relationships/oleObject" Target="../embeddings/oleObject17.bin"/><Relationship Id="rId36" Type="http://schemas.openxmlformats.org/officeDocument/2006/relationships/oleObject" Target="../embeddings/oleObject25.bin"/><Relationship Id="rId49" Type="http://schemas.openxmlformats.org/officeDocument/2006/relationships/oleObject" Target="../embeddings/oleObject38.bin"/><Relationship Id="rId57" Type="http://schemas.openxmlformats.org/officeDocument/2006/relationships/oleObject" Target="../embeddings/oleObject46.bin"/><Relationship Id="rId10" Type="http://schemas.openxmlformats.org/officeDocument/2006/relationships/oleObject" Target="../embeddings/oleObject4.bin"/><Relationship Id="rId31" Type="http://schemas.openxmlformats.org/officeDocument/2006/relationships/oleObject" Target="../embeddings/oleObject20.bin"/><Relationship Id="rId44" Type="http://schemas.openxmlformats.org/officeDocument/2006/relationships/oleObject" Target="../embeddings/oleObject33.bin"/><Relationship Id="rId52" Type="http://schemas.openxmlformats.org/officeDocument/2006/relationships/oleObject" Target="../embeddings/oleObject41.bin"/><Relationship Id="rId60" Type="http://schemas.openxmlformats.org/officeDocument/2006/relationships/oleObject" Target="../embeddings/oleObject49.bin"/><Relationship Id="rId65" Type="http://schemas.openxmlformats.org/officeDocument/2006/relationships/oleObject" Target="../embeddings/oleObject54.bin"/><Relationship Id="rId73" Type="http://schemas.openxmlformats.org/officeDocument/2006/relationships/oleObject" Target="../embeddings/oleObject62.bin"/><Relationship Id="rId78" Type="http://schemas.openxmlformats.org/officeDocument/2006/relationships/oleObject" Target="../embeddings/oleObject67.bin"/><Relationship Id="rId81" Type="http://schemas.openxmlformats.org/officeDocument/2006/relationships/oleObject" Target="../embeddings/oleObject70.bin"/><Relationship Id="rId86" Type="http://schemas.openxmlformats.org/officeDocument/2006/relationships/oleObject" Target="../embeddings/oleObject75.bin"/><Relationship Id="rId94" Type="http://schemas.openxmlformats.org/officeDocument/2006/relationships/oleObject" Target="../embeddings/oleObject83.bin"/><Relationship Id="rId99" Type="http://schemas.openxmlformats.org/officeDocument/2006/relationships/oleObject" Target="../embeddings/oleObject88.bin"/><Relationship Id="rId101" Type="http://schemas.openxmlformats.org/officeDocument/2006/relationships/oleObject" Target="../embeddings/oleObject90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wmf"/><Relationship Id="rId13" Type="http://schemas.openxmlformats.org/officeDocument/2006/relationships/image" Target="../media/image5.wmf"/><Relationship Id="rId18" Type="http://schemas.openxmlformats.org/officeDocument/2006/relationships/oleObject" Target="../embeddings/oleObject8.bin"/><Relationship Id="rId39" Type="http://schemas.openxmlformats.org/officeDocument/2006/relationships/oleObject" Target="../embeddings/oleObject28.bin"/><Relationship Id="rId34" Type="http://schemas.openxmlformats.org/officeDocument/2006/relationships/oleObject" Target="../embeddings/oleObject23.bin"/><Relationship Id="rId50" Type="http://schemas.openxmlformats.org/officeDocument/2006/relationships/oleObject" Target="../embeddings/oleObject39.bin"/><Relationship Id="rId55" Type="http://schemas.openxmlformats.org/officeDocument/2006/relationships/oleObject" Target="../embeddings/oleObject44.bin"/><Relationship Id="rId76" Type="http://schemas.openxmlformats.org/officeDocument/2006/relationships/oleObject" Target="../embeddings/oleObject65.bin"/><Relationship Id="rId97" Type="http://schemas.openxmlformats.org/officeDocument/2006/relationships/oleObject" Target="../embeddings/oleObject86.bin"/><Relationship Id="rId104" Type="http://schemas.openxmlformats.org/officeDocument/2006/relationships/oleObject" Target="../embeddings/oleObject93.bin"/><Relationship Id="rId7" Type="http://schemas.openxmlformats.org/officeDocument/2006/relationships/image" Target="../media/image2.wmf"/><Relationship Id="rId71" Type="http://schemas.openxmlformats.org/officeDocument/2006/relationships/oleObject" Target="../embeddings/oleObject60.bin"/><Relationship Id="rId92" Type="http://schemas.openxmlformats.org/officeDocument/2006/relationships/oleObject" Target="../embeddings/oleObject81.bin"/><Relationship Id="rId2" Type="http://schemas.openxmlformats.org/officeDocument/2006/relationships/drawing" Target="../drawings/drawing1.xml"/><Relationship Id="rId29" Type="http://schemas.openxmlformats.org/officeDocument/2006/relationships/oleObject" Target="../embeddings/oleObject18.bin"/><Relationship Id="rId24" Type="http://schemas.openxmlformats.org/officeDocument/2006/relationships/oleObject" Target="../embeddings/oleObject13.bin"/><Relationship Id="rId40" Type="http://schemas.openxmlformats.org/officeDocument/2006/relationships/oleObject" Target="../embeddings/oleObject29.bin"/><Relationship Id="rId45" Type="http://schemas.openxmlformats.org/officeDocument/2006/relationships/oleObject" Target="../embeddings/oleObject34.bin"/><Relationship Id="rId66" Type="http://schemas.openxmlformats.org/officeDocument/2006/relationships/oleObject" Target="../embeddings/oleObject55.bin"/><Relationship Id="rId87" Type="http://schemas.openxmlformats.org/officeDocument/2006/relationships/oleObject" Target="../embeddings/oleObject76.bin"/><Relationship Id="rId61" Type="http://schemas.openxmlformats.org/officeDocument/2006/relationships/oleObject" Target="../embeddings/oleObject50.bin"/><Relationship Id="rId82" Type="http://schemas.openxmlformats.org/officeDocument/2006/relationships/oleObject" Target="../embeddings/oleObject71.bin"/><Relationship Id="rId19" Type="http://schemas.openxmlformats.org/officeDocument/2006/relationships/oleObject" Target="../embeddings/oleObject9.bin"/><Relationship Id="rId14" Type="http://schemas.openxmlformats.org/officeDocument/2006/relationships/oleObject" Target="../embeddings/oleObject6.bin"/><Relationship Id="rId30" Type="http://schemas.openxmlformats.org/officeDocument/2006/relationships/oleObject" Target="../embeddings/oleObject19.bin"/><Relationship Id="rId35" Type="http://schemas.openxmlformats.org/officeDocument/2006/relationships/oleObject" Target="../embeddings/oleObject24.bin"/><Relationship Id="rId56" Type="http://schemas.openxmlformats.org/officeDocument/2006/relationships/oleObject" Target="../embeddings/oleObject45.bin"/><Relationship Id="rId77" Type="http://schemas.openxmlformats.org/officeDocument/2006/relationships/oleObject" Target="../embeddings/oleObject66.bin"/><Relationship Id="rId100" Type="http://schemas.openxmlformats.org/officeDocument/2006/relationships/oleObject" Target="../embeddings/oleObject89.bin"/><Relationship Id="rId8" Type="http://schemas.openxmlformats.org/officeDocument/2006/relationships/oleObject" Target="../embeddings/oleObject3.bin"/><Relationship Id="rId51" Type="http://schemas.openxmlformats.org/officeDocument/2006/relationships/oleObject" Target="../embeddings/oleObject40.bin"/><Relationship Id="rId72" Type="http://schemas.openxmlformats.org/officeDocument/2006/relationships/oleObject" Target="../embeddings/oleObject61.bin"/><Relationship Id="rId93" Type="http://schemas.openxmlformats.org/officeDocument/2006/relationships/oleObject" Target="../embeddings/oleObject82.bin"/><Relationship Id="rId98" Type="http://schemas.openxmlformats.org/officeDocument/2006/relationships/oleObject" Target="../embeddings/oleObject87.bin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9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9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5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9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9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9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9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1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9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3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00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4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01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5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02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6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0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7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04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9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05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0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06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1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07.bin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2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08.bin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3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09.bin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4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10.bin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5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11.bin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6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12.bin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7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13.bin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8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14.bin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9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15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40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16.bin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41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17.bin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42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18.bin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43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19.bin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44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20.bin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5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21.bin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6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22.bin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7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23.bin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8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24.bin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9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25.bin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50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26.bin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51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27.bin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6.vml"/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52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28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/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3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29.bin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8.vml"/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4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30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15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9.vml"/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55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31.bin"/></Relationships>
</file>

<file path=xl/worksheets/_rels/sheet16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0.vml"/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56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3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16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1.vml"/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57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33.bin"/></Relationships>
</file>

<file path=xl/worksheets/_rels/sheet16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2.vml"/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58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34.bin"/></Relationships>
</file>

<file path=xl/worksheets/_rels/sheet17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3.vml"/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59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35.bin"/></Relationships>
</file>

<file path=xl/worksheets/_rels/sheet17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4.vml"/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60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36.bin"/></Relationships>
</file>

<file path=xl/worksheets/_rels/sheet17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5.vml"/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61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37.bin"/></Relationships>
</file>

<file path=xl/worksheets/_rels/sheet17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6.vml"/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62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38.bin"/></Relationships>
</file>

<file path=xl/worksheets/_rels/sheet17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7.vml"/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63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39.bin"/></Relationships>
</file>

<file path=xl/worksheets/_rels/sheet18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8.vml"/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64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40.bin"/></Relationships>
</file>

<file path=xl/worksheets/_rels/sheet18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9.vml"/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65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41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18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0.vml"/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66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42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19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1.vml"/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67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43.bin"/></Relationships>
</file>

<file path=xl/worksheets/_rels/sheet20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2.vml"/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68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44.bin"/></Relationships>
</file>

<file path=xl/worksheets/_rels/sheet20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3.vml"/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69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45.bin"/></Relationships>
</file>

<file path=xl/worksheets/_rels/sheet20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4.vml"/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70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46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25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5.vml"/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71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47.bin"/></Relationships>
</file>

<file path=xl/worksheets/_rels/sheet25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6.vml"/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72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48.bin"/></Relationships>
</file>

<file path=xl/worksheets/_rels/sheet25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7.vml"/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73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49.bin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2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2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2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2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2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2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2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2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2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2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2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2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2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2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3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3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3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3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3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3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3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3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3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3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3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3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3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3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3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3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3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3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3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3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3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3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3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3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3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3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8.vml"/><Relationship Id="rId2" Type="http://schemas.openxmlformats.org/officeDocument/2006/relationships/drawing" Target="../drawings/drawing171.xml"/><Relationship Id="rId1" Type="http://schemas.openxmlformats.org/officeDocument/2006/relationships/printerSettings" Target="../printerSettings/printerSettings74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50.bin"/></Relationships>
</file>

<file path=xl/worksheets/_rels/sheet3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9.vml"/><Relationship Id="rId2" Type="http://schemas.openxmlformats.org/officeDocument/2006/relationships/drawing" Target="../drawings/drawing172.xml"/><Relationship Id="rId1" Type="http://schemas.openxmlformats.org/officeDocument/2006/relationships/printerSettings" Target="../printerSettings/printerSettings75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51.bin"/></Relationships>
</file>

<file path=xl/worksheets/_rels/sheet3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35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0.vml"/><Relationship Id="rId2" Type="http://schemas.openxmlformats.org/officeDocument/2006/relationships/drawing" Target="../drawings/drawing174.xml"/><Relationship Id="rId1" Type="http://schemas.openxmlformats.org/officeDocument/2006/relationships/printerSettings" Target="../printerSettings/printerSettings76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52.bin"/></Relationships>
</file>

<file path=xl/worksheets/_rels/sheet35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1.vml"/><Relationship Id="rId2" Type="http://schemas.openxmlformats.org/officeDocument/2006/relationships/drawing" Target="../drawings/drawing175.xml"/><Relationship Id="rId1" Type="http://schemas.openxmlformats.org/officeDocument/2006/relationships/printerSettings" Target="../printerSettings/printerSettings77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53.bin"/></Relationships>
</file>

<file path=xl/worksheets/_rels/sheet36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2.vml"/><Relationship Id="rId2" Type="http://schemas.openxmlformats.org/officeDocument/2006/relationships/drawing" Target="../drawings/drawing176.xml"/><Relationship Id="rId1" Type="http://schemas.openxmlformats.org/officeDocument/2006/relationships/printerSettings" Target="../printerSettings/printerSettings78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54.bin"/></Relationships>
</file>

<file path=xl/worksheets/_rels/sheet36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3.vml"/><Relationship Id="rId2" Type="http://schemas.openxmlformats.org/officeDocument/2006/relationships/drawing" Target="../drawings/drawing177.xml"/><Relationship Id="rId1" Type="http://schemas.openxmlformats.org/officeDocument/2006/relationships/printerSettings" Target="../printerSettings/printerSettings79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55.bin"/></Relationships>
</file>

<file path=xl/worksheets/_rels/sheet36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4.vml"/><Relationship Id="rId2" Type="http://schemas.openxmlformats.org/officeDocument/2006/relationships/drawing" Target="../drawings/drawing178.xml"/><Relationship Id="rId1" Type="http://schemas.openxmlformats.org/officeDocument/2006/relationships/printerSettings" Target="../printerSettings/printerSettings80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56.bin"/></Relationships>
</file>

<file path=xl/worksheets/_rels/sheet36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5.vml"/><Relationship Id="rId2" Type="http://schemas.openxmlformats.org/officeDocument/2006/relationships/drawing" Target="../drawings/drawing179.xml"/><Relationship Id="rId1" Type="http://schemas.openxmlformats.org/officeDocument/2006/relationships/printerSettings" Target="../printerSettings/printerSettings81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57.bin"/></Relationships>
</file>

<file path=xl/worksheets/_rels/sheet36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6.vml"/><Relationship Id="rId2" Type="http://schemas.openxmlformats.org/officeDocument/2006/relationships/drawing" Target="../drawings/drawing180.xml"/><Relationship Id="rId1" Type="http://schemas.openxmlformats.org/officeDocument/2006/relationships/printerSettings" Target="../printerSettings/printerSettings82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58.bin"/></Relationships>
</file>

<file path=xl/worksheets/_rels/sheet37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7.vml"/><Relationship Id="rId2" Type="http://schemas.openxmlformats.org/officeDocument/2006/relationships/drawing" Target="../drawings/drawing181.xml"/><Relationship Id="rId1" Type="http://schemas.openxmlformats.org/officeDocument/2006/relationships/printerSettings" Target="../printerSettings/printerSettings83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59.bin"/></Relationships>
</file>

<file path=xl/worksheets/_rels/sheet37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8.vml"/><Relationship Id="rId2" Type="http://schemas.openxmlformats.org/officeDocument/2006/relationships/drawing" Target="../drawings/drawing182.xml"/><Relationship Id="rId1" Type="http://schemas.openxmlformats.org/officeDocument/2006/relationships/printerSettings" Target="../printerSettings/printerSettings84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60.bin"/></Relationships>
</file>

<file path=xl/worksheets/_rels/sheet37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9.vml"/><Relationship Id="rId2" Type="http://schemas.openxmlformats.org/officeDocument/2006/relationships/drawing" Target="../drawings/drawing183.xml"/><Relationship Id="rId1" Type="http://schemas.openxmlformats.org/officeDocument/2006/relationships/printerSettings" Target="../printerSettings/printerSettings85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61.bin"/></Relationships>
</file>

<file path=xl/worksheets/_rels/sheet37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0.vml"/><Relationship Id="rId2" Type="http://schemas.openxmlformats.org/officeDocument/2006/relationships/drawing" Target="../drawings/drawing184.xml"/><Relationship Id="rId1" Type="http://schemas.openxmlformats.org/officeDocument/2006/relationships/printerSettings" Target="../printerSettings/printerSettings86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62.bin"/></Relationships>
</file>

<file path=xl/worksheets/_rels/sheet37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1.vml"/><Relationship Id="rId2" Type="http://schemas.openxmlformats.org/officeDocument/2006/relationships/drawing" Target="../drawings/drawing185.xml"/><Relationship Id="rId1" Type="http://schemas.openxmlformats.org/officeDocument/2006/relationships/printerSettings" Target="../printerSettings/printerSettings87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63.bin"/></Relationships>
</file>

<file path=xl/worksheets/_rels/sheet38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2.vml"/><Relationship Id="rId2" Type="http://schemas.openxmlformats.org/officeDocument/2006/relationships/drawing" Target="../drawings/drawing186.xml"/><Relationship Id="rId1" Type="http://schemas.openxmlformats.org/officeDocument/2006/relationships/printerSettings" Target="../printerSettings/printerSettings88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64.bin"/></Relationships>
</file>

<file path=xl/worksheets/_rels/sheet3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3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3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3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3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3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3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3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3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4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4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4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4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4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4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4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4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4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4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4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4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4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4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4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4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4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4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4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4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4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4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4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8.xml"/></Relationships>
</file>

<file path=xl/worksheets/_rels/sheet4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9.xml"/></Relationships>
</file>

<file path=xl/worksheets/_rels/sheet4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0.xml"/></Relationships>
</file>

<file path=xl/worksheets/_rels/sheet4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1.xml"/></Relationships>
</file>

<file path=xl/worksheets/_rels/sheet4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2.xml"/></Relationships>
</file>

<file path=xl/worksheets/_rels/sheet4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3.xml"/></Relationships>
</file>

<file path=xl/worksheets/_rels/sheet4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4.xml"/></Relationships>
</file>

<file path=xl/worksheets/_rels/sheet459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67.bin"/><Relationship Id="rId3" Type="http://schemas.openxmlformats.org/officeDocument/2006/relationships/vmlDrawing" Target="../drawings/vmlDrawing73.vml"/><Relationship Id="rId7" Type="http://schemas.openxmlformats.org/officeDocument/2006/relationships/image" Target="../media/image20.wmf"/><Relationship Id="rId2" Type="http://schemas.openxmlformats.org/officeDocument/2006/relationships/drawing" Target="../drawings/drawing225.xml"/><Relationship Id="rId1" Type="http://schemas.openxmlformats.org/officeDocument/2006/relationships/printerSettings" Target="../printerSettings/printerSettings89.bin"/><Relationship Id="rId6" Type="http://schemas.openxmlformats.org/officeDocument/2006/relationships/oleObject" Target="../embeddings/oleObject166.bin"/><Relationship Id="rId5" Type="http://schemas.openxmlformats.org/officeDocument/2006/relationships/image" Target="../media/image19.wmf"/><Relationship Id="rId4" Type="http://schemas.openxmlformats.org/officeDocument/2006/relationships/oleObject" Target="../embeddings/oleObject165.bin"/><Relationship Id="rId9" Type="http://schemas.openxmlformats.org/officeDocument/2006/relationships/image" Target="../media/image8.wmf"/></Relationships>
</file>

<file path=xl/worksheets/_rels/sheet4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46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70.bin"/><Relationship Id="rId3" Type="http://schemas.openxmlformats.org/officeDocument/2006/relationships/vmlDrawing" Target="../drawings/vmlDrawing74.vml"/><Relationship Id="rId7" Type="http://schemas.openxmlformats.org/officeDocument/2006/relationships/image" Target="../media/image20.wmf"/><Relationship Id="rId2" Type="http://schemas.openxmlformats.org/officeDocument/2006/relationships/drawing" Target="../drawings/drawing226.xml"/><Relationship Id="rId1" Type="http://schemas.openxmlformats.org/officeDocument/2006/relationships/printerSettings" Target="../printerSettings/printerSettings91.bin"/><Relationship Id="rId6" Type="http://schemas.openxmlformats.org/officeDocument/2006/relationships/oleObject" Target="../embeddings/oleObject169.bin"/><Relationship Id="rId5" Type="http://schemas.openxmlformats.org/officeDocument/2006/relationships/image" Target="../media/image19.wmf"/><Relationship Id="rId4" Type="http://schemas.openxmlformats.org/officeDocument/2006/relationships/oleObject" Target="../embeddings/oleObject168.bin"/><Relationship Id="rId9" Type="http://schemas.openxmlformats.org/officeDocument/2006/relationships/image" Target="../media/image8.wmf"/></Relationships>
</file>

<file path=xl/worksheets/_rels/sheet4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4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4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4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4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4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4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4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CCB05-B217-4266-86B8-5BB4DDA5B9B2}">
  <dimension ref="A1:U37"/>
  <sheetViews>
    <sheetView topLeftCell="F2" zoomScale="90" workbookViewId="0">
      <selection activeCell="Y8" sqref="Y8"/>
    </sheetView>
  </sheetViews>
  <sheetFormatPr defaultColWidth="9.1796875" defaultRowHeight="14.5"/>
  <cols>
    <col min="1" max="2" width="3" style="160" customWidth="1"/>
    <col min="3" max="3" width="22" style="160" customWidth="1"/>
    <col min="4" max="4" width="30" style="160" bestFit="1" customWidth="1"/>
    <col min="5" max="5" width="15.453125" style="160" customWidth="1"/>
    <col min="6" max="6" width="15.26953125" style="160" customWidth="1"/>
    <col min="7" max="7" width="11" style="160" customWidth="1"/>
    <col min="8" max="9" width="11.1796875" style="160" customWidth="1"/>
    <col min="10" max="10" width="14.08984375" style="160" bestFit="1" customWidth="1"/>
    <col min="11" max="11" width="10.453125" style="160" customWidth="1"/>
    <col min="12" max="12" width="11.453125" style="160" customWidth="1"/>
    <col min="13" max="13" width="27.26953125" style="160" bestFit="1" customWidth="1"/>
    <col min="14" max="14" width="16.453125" style="160" customWidth="1"/>
    <col min="15" max="15" width="16.81640625" style="160" hidden="1" customWidth="1"/>
    <col min="16" max="16" width="8.453125" style="160" hidden="1" customWidth="1"/>
    <col min="17" max="17" width="9" style="160" hidden="1" customWidth="1"/>
    <col min="18" max="19" width="0" style="160" hidden="1" customWidth="1"/>
    <col min="20" max="20" width="9.7265625" style="160" hidden="1" customWidth="1"/>
    <col min="21" max="21" width="0" style="160" hidden="1" customWidth="1"/>
    <col min="22" max="16384" width="9.1796875" style="160"/>
  </cols>
  <sheetData>
    <row r="1" spans="1:21">
      <c r="M1" s="160" t="s">
        <v>528</v>
      </c>
    </row>
    <row r="3" spans="1:21" ht="15" thickBot="1">
      <c r="C3" s="1165" t="s">
        <v>825</v>
      </c>
      <c r="D3" s="1165"/>
      <c r="E3" s="1165"/>
      <c r="F3" s="1165"/>
      <c r="G3" s="1165"/>
      <c r="H3" s="1165"/>
      <c r="I3" s="1165"/>
      <c r="J3" s="1165"/>
      <c r="K3" s="1165"/>
      <c r="L3" s="1165"/>
      <c r="M3" s="1165"/>
      <c r="N3" s="1165"/>
    </row>
    <row r="4" spans="1:21" s="258" customFormat="1" ht="47.25" customHeight="1" thickBot="1">
      <c r="C4" s="169" t="s">
        <v>46</v>
      </c>
      <c r="D4" s="169" t="s">
        <v>216</v>
      </c>
      <c r="E4" s="1099" t="s">
        <v>274</v>
      </c>
      <c r="F4" s="1099" t="s">
        <v>374</v>
      </c>
      <c r="G4" s="1099" t="s">
        <v>800</v>
      </c>
      <c r="H4" s="169" t="s">
        <v>801</v>
      </c>
      <c r="I4" s="169" t="s">
        <v>802</v>
      </c>
      <c r="J4" s="1099" t="s">
        <v>805</v>
      </c>
      <c r="K4" s="169" t="s">
        <v>806</v>
      </c>
      <c r="L4" s="1099" t="s">
        <v>217</v>
      </c>
      <c r="M4" s="169" t="s">
        <v>214</v>
      </c>
      <c r="N4" s="169" t="s">
        <v>373</v>
      </c>
      <c r="O4" s="1098" t="s">
        <v>542</v>
      </c>
      <c r="P4" s="1166">
        <v>43733</v>
      </c>
      <c r="Q4" s="1167"/>
      <c r="R4" s="1168">
        <v>43762</v>
      </c>
      <c r="S4" s="1169"/>
      <c r="T4" s="1166">
        <v>43795</v>
      </c>
      <c r="U4" s="1167"/>
    </row>
    <row r="5" spans="1:21">
      <c r="A5" s="160">
        <v>1</v>
      </c>
      <c r="C5" s="263" t="s">
        <v>859</v>
      </c>
      <c r="D5" s="263" t="s">
        <v>862</v>
      </c>
      <c r="E5" s="1115">
        <v>44971</v>
      </c>
      <c r="F5" s="1115">
        <v>44971</v>
      </c>
      <c r="G5" s="168">
        <v>134.42880000000002</v>
      </c>
      <c r="H5" s="168">
        <v>131.43</v>
      </c>
      <c r="I5" s="168">
        <v>133.5</v>
      </c>
      <c r="J5" s="168">
        <f t="shared" ref="J5:J19" si="0">AVERAGE(G5:I5)</f>
        <v>133.11960000000002</v>
      </c>
      <c r="K5" s="168"/>
      <c r="L5" s="168">
        <f t="shared" ref="L5:L19" si="1">AVERAGE(J5:K5)</f>
        <v>133.11960000000002</v>
      </c>
      <c r="M5" s="263" t="s">
        <v>872</v>
      </c>
      <c r="N5" s="263" t="s">
        <v>906</v>
      </c>
      <c r="O5" s="1086"/>
      <c r="P5" s="1087"/>
      <c r="Q5" s="1088"/>
      <c r="R5" s="1089"/>
      <c r="S5" s="1090"/>
      <c r="T5" s="1091"/>
      <c r="U5" s="1092"/>
    </row>
    <row r="6" spans="1:21">
      <c r="A6" s="160">
        <v>2</v>
      </c>
      <c r="C6" s="263" t="s">
        <v>860</v>
      </c>
      <c r="D6" s="263" t="s">
        <v>863</v>
      </c>
      <c r="E6" s="1115">
        <v>44988</v>
      </c>
      <c r="F6" s="1115">
        <v>44988</v>
      </c>
      <c r="G6" s="168">
        <v>137.0016</v>
      </c>
      <c r="H6" s="168">
        <v>136.99</v>
      </c>
      <c r="I6" s="168">
        <v>137.75</v>
      </c>
      <c r="J6" s="168">
        <f t="shared" si="0"/>
        <v>137.24719999999999</v>
      </c>
      <c r="K6" s="168"/>
      <c r="L6" s="168">
        <f t="shared" si="1"/>
        <v>137.24719999999999</v>
      </c>
      <c r="M6" s="263" t="s">
        <v>873</v>
      </c>
      <c r="N6" s="263" t="s">
        <v>906</v>
      </c>
      <c r="O6" s="1086"/>
      <c r="P6" s="1087"/>
      <c r="Q6" s="1088"/>
      <c r="R6" s="1089"/>
      <c r="S6" s="1090"/>
      <c r="T6" s="1091"/>
      <c r="U6" s="1092"/>
    </row>
    <row r="7" spans="1:21">
      <c r="A7" s="160">
        <v>3</v>
      </c>
      <c r="C7" s="263" t="s">
        <v>817</v>
      </c>
      <c r="D7" s="263" t="s">
        <v>864</v>
      </c>
      <c r="E7" s="1115">
        <v>44983</v>
      </c>
      <c r="F7" s="1115">
        <v>44984</v>
      </c>
      <c r="G7" s="168">
        <v>136.03680000000003</v>
      </c>
      <c r="H7" s="168">
        <v>133.94999999999999</v>
      </c>
      <c r="I7" s="168">
        <v>136.9</v>
      </c>
      <c r="J7" s="168">
        <f t="shared" si="0"/>
        <v>135.62893333333332</v>
      </c>
      <c r="K7" s="168"/>
      <c r="L7" s="168">
        <f t="shared" si="1"/>
        <v>135.62893333333332</v>
      </c>
      <c r="M7" s="263" t="s">
        <v>874</v>
      </c>
      <c r="N7" s="263" t="s">
        <v>671</v>
      </c>
      <c r="O7" s="1086">
        <v>43808.662499999999</v>
      </c>
      <c r="P7" s="1087" t="s">
        <v>543</v>
      </c>
      <c r="Q7" s="1088" t="s">
        <v>544</v>
      </c>
      <c r="R7" s="1089"/>
      <c r="S7" s="1090"/>
      <c r="T7" s="1091"/>
      <c r="U7" s="1092"/>
    </row>
    <row r="8" spans="1:21">
      <c r="A8" s="160">
        <v>4</v>
      </c>
      <c r="C8" s="263" t="s">
        <v>817</v>
      </c>
      <c r="D8" s="263" t="s">
        <v>864</v>
      </c>
      <c r="E8" s="1115">
        <v>44983</v>
      </c>
      <c r="F8" s="1115">
        <v>44984</v>
      </c>
      <c r="G8" s="168">
        <v>136.03680000000003</v>
      </c>
      <c r="H8" s="168">
        <v>133.94999999999999</v>
      </c>
      <c r="I8" s="168">
        <v>136.9</v>
      </c>
      <c r="J8" s="168">
        <f t="shared" si="0"/>
        <v>135.62893333333332</v>
      </c>
      <c r="K8" s="168"/>
      <c r="L8" s="168">
        <f t="shared" si="1"/>
        <v>135.62893333333332</v>
      </c>
      <c r="M8" s="263" t="s">
        <v>874</v>
      </c>
      <c r="N8" s="263" t="s">
        <v>814</v>
      </c>
      <c r="O8" s="1086"/>
      <c r="P8" s="1087"/>
      <c r="Q8" s="1088"/>
      <c r="R8" s="1089"/>
      <c r="S8" s="1090"/>
      <c r="T8" s="1091"/>
      <c r="U8" s="1092"/>
    </row>
    <row r="9" spans="1:21">
      <c r="A9" s="160">
        <v>5</v>
      </c>
      <c r="C9" s="263" t="s">
        <v>817</v>
      </c>
      <c r="D9" s="263" t="s">
        <v>865</v>
      </c>
      <c r="E9" s="1115">
        <v>44975</v>
      </c>
      <c r="F9" s="1115">
        <v>44977</v>
      </c>
      <c r="G9" s="168">
        <v>134.75040000000001</v>
      </c>
      <c r="H9" s="168">
        <v>132.05000000000001</v>
      </c>
      <c r="I9" s="168">
        <v>134.9</v>
      </c>
      <c r="J9" s="168">
        <f t="shared" si="0"/>
        <v>133.90013333333334</v>
      </c>
      <c r="K9" s="168"/>
      <c r="L9" s="168">
        <f t="shared" si="1"/>
        <v>133.90013333333334</v>
      </c>
      <c r="M9" s="263" t="s">
        <v>875</v>
      </c>
      <c r="N9" s="263" t="s">
        <v>906</v>
      </c>
      <c r="O9" s="1086"/>
      <c r="P9" s="1087"/>
      <c r="Q9" s="1088"/>
      <c r="R9" s="1089"/>
      <c r="S9" s="1090"/>
      <c r="T9" s="1091"/>
      <c r="U9" s="1092"/>
    </row>
    <row r="10" spans="1:21">
      <c r="A10" s="160">
        <v>6</v>
      </c>
      <c r="C10" s="263" t="s">
        <v>860</v>
      </c>
      <c r="D10" s="263" t="s">
        <v>866</v>
      </c>
      <c r="E10" s="1115">
        <v>44994</v>
      </c>
      <c r="F10" s="1115">
        <v>44994</v>
      </c>
      <c r="G10" s="168">
        <v>139.2328</v>
      </c>
      <c r="H10" s="168">
        <v>138.02000000000001</v>
      </c>
      <c r="I10" s="168">
        <v>138.94999999999999</v>
      </c>
      <c r="J10" s="168">
        <f t="shared" si="0"/>
        <v>138.73426666666666</v>
      </c>
      <c r="K10" s="168"/>
      <c r="L10" s="168">
        <f t="shared" si="1"/>
        <v>138.73426666666666</v>
      </c>
      <c r="M10" s="263" t="s">
        <v>876</v>
      </c>
      <c r="N10" s="263" t="s">
        <v>671</v>
      </c>
      <c r="O10" s="1124"/>
      <c r="P10" s="1125"/>
      <c r="Q10" s="1125"/>
      <c r="R10" s="1126"/>
      <c r="S10" s="1126"/>
      <c r="T10" s="1126"/>
      <c r="U10" s="1126"/>
    </row>
    <row r="11" spans="1:21">
      <c r="A11" s="160">
        <v>7</v>
      </c>
      <c r="C11" s="263" t="s">
        <v>812</v>
      </c>
      <c r="D11" s="263" t="s">
        <v>867</v>
      </c>
      <c r="E11" s="1115">
        <v>44978</v>
      </c>
      <c r="F11" s="1115">
        <v>44978</v>
      </c>
      <c r="G11" s="168">
        <v>135.17920000000001</v>
      </c>
      <c r="H11" s="168">
        <v>132.56</v>
      </c>
      <c r="I11" s="168">
        <v>134.9</v>
      </c>
      <c r="J11" s="168">
        <f t="shared" si="0"/>
        <v>134.21306666666666</v>
      </c>
      <c r="K11" s="168"/>
      <c r="L11" s="168">
        <f t="shared" si="1"/>
        <v>134.21306666666666</v>
      </c>
      <c r="M11" s="263" t="s">
        <v>877</v>
      </c>
      <c r="N11" s="263" t="s">
        <v>906</v>
      </c>
      <c r="O11" s="1124"/>
      <c r="P11" s="1125"/>
      <c r="Q11" s="1125"/>
      <c r="R11" s="1126"/>
      <c r="S11" s="1126"/>
      <c r="T11" s="1126"/>
      <c r="U11" s="1126"/>
    </row>
    <row r="12" spans="1:21">
      <c r="A12" s="160">
        <v>8</v>
      </c>
      <c r="C12" s="263" t="s">
        <v>812</v>
      </c>
      <c r="D12" s="263" t="s">
        <v>868</v>
      </c>
      <c r="E12" s="1115">
        <v>44980</v>
      </c>
      <c r="F12" s="1115">
        <v>44980</v>
      </c>
      <c r="G12" s="168">
        <v>135.608</v>
      </c>
      <c r="H12" s="168">
        <v>133.22999999999999</v>
      </c>
      <c r="I12" s="168">
        <v>135.4</v>
      </c>
      <c r="J12" s="168">
        <f t="shared" si="0"/>
        <v>134.74599999999998</v>
      </c>
      <c r="K12" s="168"/>
      <c r="L12" s="168">
        <f t="shared" si="1"/>
        <v>134.74599999999998</v>
      </c>
      <c r="M12" s="263" t="s">
        <v>877</v>
      </c>
      <c r="N12" s="263" t="s">
        <v>671</v>
      </c>
      <c r="O12" s="1124"/>
      <c r="P12" s="1125"/>
      <c r="Q12" s="1125"/>
      <c r="R12" s="1126"/>
      <c r="S12" s="1126"/>
      <c r="T12" s="1126"/>
      <c r="U12" s="1126"/>
    </row>
    <row r="13" spans="1:21">
      <c r="A13" s="160">
        <v>9</v>
      </c>
      <c r="C13" s="263" t="s">
        <v>817</v>
      </c>
      <c r="D13" s="263" t="s">
        <v>869</v>
      </c>
      <c r="E13" s="1115">
        <v>44993</v>
      </c>
      <c r="F13" s="1115">
        <v>44993</v>
      </c>
      <c r="G13" s="168">
        <v>137.85920000000002</v>
      </c>
      <c r="H13" s="168">
        <v>137.57</v>
      </c>
      <c r="I13" s="168">
        <v>138.94999999999999</v>
      </c>
      <c r="J13" s="168">
        <f t="shared" si="0"/>
        <v>138.12640000000002</v>
      </c>
      <c r="K13" s="168"/>
      <c r="L13" s="168">
        <f t="shared" si="1"/>
        <v>138.12640000000002</v>
      </c>
      <c r="M13" s="263" t="s">
        <v>878</v>
      </c>
      <c r="N13" s="263" t="s">
        <v>906</v>
      </c>
      <c r="O13" s="1124"/>
      <c r="P13" s="1125"/>
      <c r="Q13" s="1125"/>
      <c r="R13" s="1126"/>
      <c r="S13" s="1126"/>
      <c r="T13" s="1126"/>
      <c r="U13" s="1126"/>
    </row>
    <row r="14" spans="1:21">
      <c r="A14" s="160">
        <v>10</v>
      </c>
      <c r="C14" s="263" t="s">
        <v>817</v>
      </c>
      <c r="D14" s="263" t="s">
        <v>870</v>
      </c>
      <c r="E14" s="1115">
        <v>44972</v>
      </c>
      <c r="F14" s="1115">
        <v>44972</v>
      </c>
      <c r="G14" s="168">
        <v>134.536</v>
      </c>
      <c r="H14" s="168">
        <v>131.53</v>
      </c>
      <c r="I14" s="168">
        <v>133.5</v>
      </c>
      <c r="J14" s="168">
        <f t="shared" si="0"/>
        <v>133.18866666666668</v>
      </c>
      <c r="K14" s="168"/>
      <c r="L14" s="168">
        <f t="shared" si="1"/>
        <v>133.18866666666668</v>
      </c>
      <c r="M14" s="263" t="s">
        <v>879</v>
      </c>
      <c r="N14" s="263" t="s">
        <v>907</v>
      </c>
      <c r="O14" s="1124"/>
      <c r="P14" s="1125"/>
      <c r="Q14" s="1125"/>
      <c r="R14" s="1126"/>
      <c r="S14" s="1126"/>
      <c r="T14" s="1126"/>
      <c r="U14" s="1126"/>
    </row>
    <row r="15" spans="1:21">
      <c r="A15" s="160">
        <v>11</v>
      </c>
      <c r="C15" s="263" t="s">
        <v>817</v>
      </c>
      <c r="D15" s="263" t="s">
        <v>870</v>
      </c>
      <c r="E15" s="1115">
        <v>44968</v>
      </c>
      <c r="F15" s="1164">
        <v>44970</v>
      </c>
      <c r="G15" s="271">
        <v>134.32159999999999</v>
      </c>
      <c r="H15" s="168">
        <v>131.33000000000001</v>
      </c>
      <c r="I15" s="168">
        <v>133</v>
      </c>
      <c r="J15" s="168">
        <f t="shared" si="0"/>
        <v>132.88386666666668</v>
      </c>
      <c r="K15" s="168"/>
      <c r="L15" s="168">
        <f t="shared" si="1"/>
        <v>132.88386666666668</v>
      </c>
      <c r="M15" s="263" t="s">
        <v>880</v>
      </c>
      <c r="N15" s="263" t="s">
        <v>671</v>
      </c>
      <c r="O15" s="1124"/>
      <c r="P15" s="1125"/>
      <c r="Q15" s="1125"/>
      <c r="R15" s="1126"/>
      <c r="S15" s="1126"/>
      <c r="T15" s="1126"/>
      <c r="U15" s="1126"/>
    </row>
    <row r="16" spans="1:21">
      <c r="A16" s="160">
        <v>12</v>
      </c>
      <c r="C16" s="263" t="s">
        <v>817</v>
      </c>
      <c r="D16" s="263" t="s">
        <v>871</v>
      </c>
      <c r="E16" s="1115">
        <v>44989</v>
      </c>
      <c r="F16" s="1115">
        <v>44988</v>
      </c>
      <c r="G16" s="168">
        <v>137.0016</v>
      </c>
      <c r="H16" s="168">
        <v>136.99</v>
      </c>
      <c r="I16" s="168">
        <v>137.75</v>
      </c>
      <c r="J16" s="168">
        <f t="shared" si="0"/>
        <v>137.24719999999999</v>
      </c>
      <c r="K16" s="168"/>
      <c r="L16" s="168">
        <f t="shared" si="1"/>
        <v>137.24719999999999</v>
      </c>
      <c r="M16" s="263" t="s">
        <v>881</v>
      </c>
      <c r="N16" s="263" t="s">
        <v>907</v>
      </c>
      <c r="O16" s="1124"/>
      <c r="P16" s="1125"/>
      <c r="Q16" s="1125"/>
      <c r="R16" s="1126"/>
      <c r="S16" s="1126"/>
      <c r="T16" s="1126"/>
      <c r="U16" s="1126"/>
    </row>
    <row r="17" spans="1:21">
      <c r="A17" s="160">
        <v>13</v>
      </c>
      <c r="C17" s="263" t="s">
        <v>817</v>
      </c>
      <c r="D17" s="263" t="s">
        <v>871</v>
      </c>
      <c r="E17" s="1115">
        <v>44988</v>
      </c>
      <c r="F17" s="1115">
        <v>44988</v>
      </c>
      <c r="G17" s="168">
        <v>137.0016</v>
      </c>
      <c r="H17" s="168">
        <v>136.99</v>
      </c>
      <c r="I17" s="168">
        <v>137.75</v>
      </c>
      <c r="J17" s="168">
        <f t="shared" si="0"/>
        <v>137.24719999999999</v>
      </c>
      <c r="K17" s="168"/>
      <c r="L17" s="168">
        <f t="shared" si="1"/>
        <v>137.24719999999999</v>
      </c>
      <c r="M17" s="263" t="s">
        <v>882</v>
      </c>
      <c r="N17" s="263" t="s">
        <v>671</v>
      </c>
      <c r="O17" s="1124"/>
      <c r="P17" s="1125"/>
      <c r="Q17" s="1125"/>
      <c r="R17" s="1126"/>
      <c r="S17" s="1126"/>
      <c r="T17" s="1126"/>
      <c r="U17" s="1126"/>
    </row>
    <row r="18" spans="1:21">
      <c r="A18" s="160">
        <v>14</v>
      </c>
      <c r="C18" s="263" t="s">
        <v>817</v>
      </c>
      <c r="D18" s="263" t="s">
        <v>871</v>
      </c>
      <c r="E18" s="1115">
        <v>44988</v>
      </c>
      <c r="F18" s="1115">
        <v>44988</v>
      </c>
      <c r="G18" s="168">
        <v>137.0016</v>
      </c>
      <c r="H18" s="168">
        <v>136.99</v>
      </c>
      <c r="I18" s="168">
        <v>137.75</v>
      </c>
      <c r="J18" s="168">
        <f t="shared" si="0"/>
        <v>137.24719999999999</v>
      </c>
      <c r="K18" s="168"/>
      <c r="L18" s="168">
        <f t="shared" si="1"/>
        <v>137.24719999999999</v>
      </c>
      <c r="M18" s="263" t="s">
        <v>882</v>
      </c>
      <c r="N18" s="263" t="s">
        <v>907</v>
      </c>
      <c r="O18" s="1124"/>
      <c r="P18" s="1125"/>
      <c r="Q18" s="1125"/>
      <c r="R18" s="1126"/>
      <c r="S18" s="1126"/>
      <c r="T18" s="1126"/>
      <c r="U18" s="1126"/>
    </row>
    <row r="19" spans="1:21" s="1093" customFormat="1" ht="30" customHeight="1">
      <c r="C19" s="1100" t="s">
        <v>861</v>
      </c>
      <c r="D19" s="1097"/>
      <c r="E19" s="1101"/>
      <c r="F19" s="1101"/>
      <c r="G19" s="1102">
        <v>133.98296111111108</v>
      </c>
      <c r="H19" s="1102">
        <v>133.87</v>
      </c>
      <c r="I19" s="168">
        <v>134.1</v>
      </c>
      <c r="J19" s="168">
        <f t="shared" si="0"/>
        <v>133.98432037037037</v>
      </c>
      <c r="K19" s="168"/>
      <c r="L19" s="168">
        <f t="shared" si="1"/>
        <v>133.98432037037037</v>
      </c>
      <c r="M19" s="1103"/>
      <c r="N19" s="1101"/>
    </row>
    <row r="20" spans="1:21">
      <c r="G20" s="1094"/>
      <c r="I20" s="1094"/>
      <c r="J20" s="1094"/>
      <c r="K20" s="1094"/>
    </row>
    <row r="21" spans="1:21">
      <c r="D21" s="165"/>
      <c r="E21" s="166"/>
      <c r="F21" s="167"/>
      <c r="G21" s="1095"/>
      <c r="H21" s="1094"/>
      <c r="K21" s="1114"/>
      <c r="L21" s="1094"/>
    </row>
    <row r="22" spans="1:21">
      <c r="D22" s="165"/>
      <c r="E22" s="166"/>
      <c r="L22" s="1114"/>
    </row>
    <row r="23" spans="1:21">
      <c r="E23" s="166"/>
    </row>
    <row r="24" spans="1:21">
      <c r="E24" s="166"/>
    </row>
    <row r="25" spans="1:21">
      <c r="E25" s="166"/>
    </row>
    <row r="26" spans="1:21">
      <c r="E26" s="166"/>
    </row>
    <row r="27" spans="1:21">
      <c r="E27" s="166"/>
    </row>
    <row r="28" spans="1:21">
      <c r="E28" s="166"/>
    </row>
    <row r="29" spans="1:21">
      <c r="E29" s="166"/>
    </row>
    <row r="30" spans="1:21">
      <c r="E30" s="166"/>
    </row>
    <row r="31" spans="1:21">
      <c r="E31" s="166"/>
    </row>
    <row r="32" spans="1:21">
      <c r="E32" s="166"/>
    </row>
    <row r="33" spans="4:5">
      <c r="D33" s="165"/>
      <c r="E33" s="166"/>
    </row>
    <row r="34" spans="4:5">
      <c r="D34" s="1096"/>
      <c r="E34" s="166"/>
    </row>
    <row r="35" spans="4:5">
      <c r="D35" s="1096"/>
      <c r="E35" s="166"/>
    </row>
    <row r="36" spans="4:5">
      <c r="D36" s="1096"/>
      <c r="E36" s="166"/>
    </row>
    <row r="37" spans="4:5">
      <c r="D37" s="1096"/>
      <c r="E37" s="166"/>
    </row>
  </sheetData>
  <mergeCells count="4">
    <mergeCell ref="C3:N3"/>
    <mergeCell ref="P4:Q4"/>
    <mergeCell ref="R4:S4"/>
    <mergeCell ref="T4:U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3:W24"/>
  <sheetViews>
    <sheetView topLeftCell="C3" zoomScale="90" zoomScaleNormal="90" workbookViewId="0">
      <selection activeCell="H17" sqref="H17"/>
    </sheetView>
  </sheetViews>
  <sheetFormatPr defaultColWidth="9.1796875" defaultRowHeight="14.5"/>
  <cols>
    <col min="1" max="1" width="6.7265625" style="159" customWidth="1"/>
    <col min="2" max="2" width="7.54296875" style="159" customWidth="1"/>
    <col min="3" max="3" width="27.81640625" style="159" bestFit="1" customWidth="1"/>
    <col min="4" max="4" width="15.453125" style="187" customWidth="1"/>
    <col min="5" max="5" width="26.1796875" style="159" customWidth="1"/>
    <col min="6" max="6" width="18.1796875" style="159" customWidth="1"/>
    <col min="7" max="8" width="15.453125" style="171" bestFit="1" customWidth="1"/>
    <col min="9" max="9" width="13.26953125" style="171" customWidth="1"/>
    <col min="10" max="11" width="14" style="171" customWidth="1"/>
    <col min="12" max="12" width="17.26953125" style="171" customWidth="1"/>
    <col min="13" max="13" width="12.26953125" style="171" customWidth="1"/>
    <col min="14" max="14" width="19.1796875" style="171" bestFit="1" customWidth="1"/>
    <col min="15" max="15" width="16.81640625" style="171" customWidth="1"/>
    <col min="16" max="16" width="20.7265625" style="171" customWidth="1"/>
    <col min="17" max="19" width="10.7265625" style="171" customWidth="1"/>
    <col min="20" max="20" width="19.1796875" style="171" bestFit="1" customWidth="1"/>
    <col min="21" max="21" width="11.26953125" style="172" customWidth="1"/>
    <col min="22" max="22" width="12.26953125" style="159" customWidth="1"/>
    <col min="23" max="16384" width="9.1796875" style="159"/>
  </cols>
  <sheetData>
    <row r="3" spans="1:23">
      <c r="C3" s="878" t="s">
        <v>0</v>
      </c>
    </row>
    <row r="5" spans="1:23">
      <c r="C5" s="877">
        <f>'AGO Import'!C5</f>
        <v>44986</v>
      </c>
      <c r="F5" s="173"/>
    </row>
    <row r="7" spans="1:23" ht="16.5" customHeight="1">
      <c r="B7" s="1174" t="s">
        <v>45</v>
      </c>
      <c r="C7" s="1175" t="s">
        <v>46</v>
      </c>
      <c r="D7" s="1175" t="s">
        <v>47</v>
      </c>
      <c r="E7" s="1175" t="s">
        <v>48</v>
      </c>
      <c r="F7" s="1175" t="s">
        <v>49</v>
      </c>
      <c r="G7" s="1175" t="s">
        <v>50</v>
      </c>
      <c r="H7" s="1176" t="s">
        <v>51</v>
      </c>
      <c r="I7" s="1176" t="s">
        <v>223</v>
      </c>
      <c r="J7" s="1177" t="s">
        <v>360</v>
      </c>
      <c r="K7" s="1177"/>
      <c r="L7" s="1173" t="s">
        <v>52</v>
      </c>
      <c r="M7" s="1173"/>
      <c r="N7" s="1173"/>
      <c r="O7" s="1173"/>
      <c r="P7" s="1173"/>
      <c r="Q7" s="1171" t="s">
        <v>53</v>
      </c>
      <c r="R7" s="1171" t="s">
        <v>220</v>
      </c>
      <c r="S7" s="1171" t="s">
        <v>359</v>
      </c>
      <c r="T7" s="932"/>
      <c r="U7" s="933"/>
    </row>
    <row r="8" spans="1:23">
      <c r="B8" s="1174"/>
      <c r="C8" s="1175"/>
      <c r="D8" s="1175"/>
      <c r="E8" s="1175"/>
      <c r="F8" s="1175"/>
      <c r="G8" s="1175"/>
      <c r="H8" s="1176"/>
      <c r="I8" s="1176"/>
      <c r="J8" s="1149" t="s">
        <v>220</v>
      </c>
      <c r="K8" s="1149" t="s">
        <v>359</v>
      </c>
      <c r="L8" s="1173" t="s">
        <v>54</v>
      </c>
      <c r="M8" s="1173"/>
      <c r="N8" s="1173"/>
      <c r="O8" s="1171" t="s">
        <v>55</v>
      </c>
      <c r="P8" s="1172" t="s">
        <v>56</v>
      </c>
      <c r="Q8" s="1171"/>
      <c r="R8" s="1171"/>
      <c r="S8" s="1171"/>
      <c r="T8" s="1171" t="s">
        <v>156</v>
      </c>
      <c r="U8" s="1170" t="s">
        <v>215</v>
      </c>
    </row>
    <row r="9" spans="1:23" ht="18" customHeight="1">
      <c r="B9" s="1174"/>
      <c r="C9" s="1175"/>
      <c r="D9" s="1175"/>
      <c r="E9" s="1175"/>
      <c r="F9" s="1175"/>
      <c r="G9" s="1175"/>
      <c r="H9" s="1176"/>
      <c r="I9" s="1149" t="s">
        <v>376</v>
      </c>
      <c r="J9" s="1149" t="s">
        <v>376</v>
      </c>
      <c r="K9" s="1149" t="s">
        <v>376</v>
      </c>
      <c r="L9" s="1146" t="s">
        <v>58</v>
      </c>
      <c r="M9" s="1146" t="s">
        <v>59</v>
      </c>
      <c r="N9" s="1146" t="s">
        <v>60</v>
      </c>
      <c r="O9" s="1171"/>
      <c r="P9" s="1172"/>
      <c r="Q9" s="1146" t="s">
        <v>377</v>
      </c>
      <c r="R9" s="1146" t="s">
        <v>377</v>
      </c>
      <c r="S9" s="1146" t="s">
        <v>377</v>
      </c>
      <c r="T9" s="1171"/>
      <c r="U9" s="1170"/>
    </row>
    <row r="10" spans="1:23" s="176" customFormat="1">
      <c r="A10" s="174"/>
      <c r="B10" s="934">
        <v>1</v>
      </c>
      <c r="C10" s="177" t="s">
        <v>817</v>
      </c>
      <c r="D10" s="1061" t="s">
        <v>826</v>
      </c>
      <c r="E10" s="177" t="s">
        <v>824</v>
      </c>
      <c r="F10" s="935" t="s">
        <v>827</v>
      </c>
      <c r="G10" s="178">
        <v>37120.918000000005</v>
      </c>
      <c r="H10" s="936">
        <v>51139.127000000008</v>
      </c>
      <c r="I10" s="937">
        <v>838.06738880418754</v>
      </c>
      <c r="J10" s="179">
        <f t="shared" ref="J10:J11" si="0">(0.02*I10)</f>
        <v>16.761347776083753</v>
      </c>
      <c r="K10" s="179">
        <f t="shared" ref="K10:K11" si="1">(0.035*I10)</f>
        <v>29.332358608146567</v>
      </c>
      <c r="L10" s="193">
        <v>31603214.229999989</v>
      </c>
      <c r="M10" s="938">
        <f>'[13]Exchange Rates '!L13</f>
        <v>138.12640000000002</v>
      </c>
      <c r="N10" s="179">
        <f t="shared" ref="N10:N15" si="2">L10*M10</f>
        <v>4365238210.018671</v>
      </c>
      <c r="O10" s="938">
        <v>77167610.310000002</v>
      </c>
      <c r="P10" s="179">
        <f t="shared" ref="P10:P11" si="3">N10+O10</f>
        <v>4442405820.3286715</v>
      </c>
      <c r="Q10" s="939">
        <f t="shared" ref="Q10:Q11" si="4">P10/(H10*1000)</f>
        <v>86.869019495164068</v>
      </c>
      <c r="R10" s="940">
        <f t="shared" ref="R10:R11" si="5">J10*G10*M10/(H10*1000)</f>
        <v>1.6805484127788466</v>
      </c>
      <c r="S10" s="939">
        <f t="shared" ref="S10:S11" si="6">K10*G10*M10/(H10*1000)</f>
        <v>2.9409597223629818</v>
      </c>
      <c r="T10" s="179">
        <f t="shared" ref="T10:T11" si="7">P10/M10</f>
        <v>32161888.09907933</v>
      </c>
      <c r="U10" s="941">
        <f t="shared" ref="U10:U11" si="8">T10/G10</f>
        <v>866.40874827177834</v>
      </c>
      <c r="V10" s="175">
        <f>((R10*H10)+(R11*H11)+(R12*H12)+(H13*R13)+(R14*H14)+(H15*R15))/H16</f>
        <v>1.7335007701822511</v>
      </c>
      <c r="W10" s="175"/>
    </row>
    <row r="11" spans="1:23" s="176" customFormat="1">
      <c r="A11" s="174"/>
      <c r="B11" s="934">
        <v>2</v>
      </c>
      <c r="C11" s="177" t="s">
        <v>817</v>
      </c>
      <c r="D11" s="1061" t="s">
        <v>828</v>
      </c>
      <c r="E11" s="177" t="s">
        <v>830</v>
      </c>
      <c r="F11" s="935" t="s">
        <v>829</v>
      </c>
      <c r="G11" s="178">
        <v>12444.220000000001</v>
      </c>
      <c r="H11" s="936">
        <v>16692.115999999998</v>
      </c>
      <c r="I11" s="937">
        <v>926.62402607367494</v>
      </c>
      <c r="J11" s="179">
        <f t="shared" si="0"/>
        <v>18.532480521473499</v>
      </c>
      <c r="K11" s="179">
        <f t="shared" si="1"/>
        <v>32.431840912578629</v>
      </c>
      <c r="L11" s="193">
        <v>11706417.4053232</v>
      </c>
      <c r="M11" s="938">
        <f>'[13]Exchange Rates '!L15</f>
        <v>132.88386666666668</v>
      </c>
      <c r="N11" s="179">
        <f t="shared" si="2"/>
        <v>1555594009.6333141</v>
      </c>
      <c r="O11" s="938">
        <v>27601167.969999999</v>
      </c>
      <c r="P11" s="179">
        <f t="shared" si="3"/>
        <v>1583195177.6033142</v>
      </c>
      <c r="Q11" s="939">
        <f t="shared" si="4"/>
        <v>94.846883259337176</v>
      </c>
      <c r="R11" s="940">
        <f t="shared" si="5"/>
        <v>1.8359552665497265</v>
      </c>
      <c r="S11" s="939">
        <f t="shared" si="6"/>
        <v>3.2129217164620218</v>
      </c>
      <c r="T11" s="179">
        <f t="shared" si="7"/>
        <v>11914126.351957303</v>
      </c>
      <c r="U11" s="941">
        <f t="shared" si="8"/>
        <v>957.4024207187997</v>
      </c>
      <c r="V11" s="175">
        <f>((S11*H11)+(S10*H10)+(S12*H12)+(H13*S13)+(S14*H14)+(H15*S15))/H16</f>
        <v>3.0336263478189394</v>
      </c>
      <c r="W11" s="175"/>
    </row>
    <row r="12" spans="1:23" s="176" customFormat="1">
      <c r="A12" s="174"/>
      <c r="B12" s="934">
        <v>3</v>
      </c>
      <c r="C12" s="177" t="s">
        <v>817</v>
      </c>
      <c r="D12" s="1061" t="s">
        <v>832</v>
      </c>
      <c r="E12" s="177" t="s">
        <v>834</v>
      </c>
      <c r="F12" s="935" t="s">
        <v>833</v>
      </c>
      <c r="G12" s="178">
        <v>12156.891000000001</v>
      </c>
      <c r="H12" s="936">
        <v>16418.795999999998</v>
      </c>
      <c r="I12" s="937">
        <v>879.28147521168751</v>
      </c>
      <c r="J12" s="179">
        <f t="shared" ref="J12" si="9">(0.02*I12)</f>
        <v>17.585629504233751</v>
      </c>
      <c r="K12" s="179">
        <f t="shared" ref="K12" si="10">(0.035*I12)</f>
        <v>30.774851632409067</v>
      </c>
      <c r="L12" s="193">
        <v>10789476.939999999</v>
      </c>
      <c r="M12" s="938">
        <f>'[13]Exchange Rates '!L17</f>
        <v>137.24719999999999</v>
      </c>
      <c r="N12" s="179">
        <f t="shared" si="2"/>
        <v>1480825499.4795678</v>
      </c>
      <c r="O12" s="938">
        <v>25761157.140000001</v>
      </c>
      <c r="P12" s="179">
        <f t="shared" ref="P12" si="11">N12+O12</f>
        <v>1506586656.6195679</v>
      </c>
      <c r="Q12" s="939">
        <f t="shared" ref="Q12" si="12">P12/(H12*1000)</f>
        <v>91.759874269682626</v>
      </c>
      <c r="R12" s="940">
        <f t="shared" ref="R12" si="13">J12*G12*M12/(H12*1000)</f>
        <v>1.7870743778409128</v>
      </c>
      <c r="S12" s="939">
        <f t="shared" ref="S12" si="14">K12*G12*M12/(H12*1000)</f>
        <v>3.1273801612215975</v>
      </c>
      <c r="T12" s="179">
        <f t="shared" ref="T12" si="15">P12/M12</f>
        <v>10977175.903184677</v>
      </c>
      <c r="U12" s="941">
        <f t="shared" ref="U12" si="16">T12/G12</f>
        <v>902.95914499724279</v>
      </c>
      <c r="V12" s="175"/>
      <c r="W12" s="175"/>
    </row>
    <row r="13" spans="1:23" s="176" customFormat="1">
      <c r="A13" s="174"/>
      <c r="B13" s="934">
        <v>4</v>
      </c>
      <c r="C13" s="177" t="s">
        <v>817</v>
      </c>
      <c r="D13" s="1061" t="s">
        <v>832</v>
      </c>
      <c r="E13" s="177" t="s">
        <v>835</v>
      </c>
      <c r="F13" s="935" t="s">
        <v>833</v>
      </c>
      <c r="G13" s="178">
        <v>3944.873</v>
      </c>
      <c r="H13" s="936">
        <v>5309.3529999999992</v>
      </c>
      <c r="I13" s="937">
        <v>879.28147521168751</v>
      </c>
      <c r="J13" s="179">
        <f t="shared" ref="J13" si="17">(0.02*I13)</f>
        <v>17.585629504233751</v>
      </c>
      <c r="K13" s="179">
        <f t="shared" ref="K13" si="18">(0.035*I13)</f>
        <v>30.774851632409067</v>
      </c>
      <c r="L13" s="193">
        <v>3522374.9878000002</v>
      </c>
      <c r="M13" s="938">
        <f>'[13]Exchange Rates '!L18</f>
        <v>137.24719999999999</v>
      </c>
      <c r="N13" s="179">
        <f t="shared" si="2"/>
        <v>483436104.42558414</v>
      </c>
      <c r="O13" s="938">
        <v>8380381.6899999995</v>
      </c>
      <c r="P13" s="179">
        <f t="shared" ref="P13" si="19">N13+O13</f>
        <v>491816486.11558414</v>
      </c>
      <c r="Q13" s="939">
        <f t="shared" ref="Q13" si="20">P13/(H13*1000)</f>
        <v>92.63209398877494</v>
      </c>
      <c r="R13" s="940">
        <f t="shared" ref="R13" si="21">J13*G13*M13/(H13*1000)</f>
        <v>1.7932995417299831</v>
      </c>
      <c r="S13" s="939">
        <f t="shared" ref="S13" si="22">K13*G13*M13/(H13*1000)</f>
        <v>3.1382741980274709</v>
      </c>
      <c r="T13" s="179">
        <f t="shared" ref="T13" si="23">P13/M13</f>
        <v>3583435.4807645194</v>
      </c>
      <c r="U13" s="941">
        <f t="shared" ref="U13" si="24">T13/G13</f>
        <v>908.37790741666959</v>
      </c>
      <c r="V13" s="175"/>
      <c r="W13" s="175"/>
    </row>
    <row r="14" spans="1:23" s="176" customFormat="1">
      <c r="A14" s="174"/>
      <c r="B14" s="934">
        <v>5</v>
      </c>
      <c r="C14" s="177" t="s">
        <v>812</v>
      </c>
      <c r="D14" s="1061" t="s">
        <v>844</v>
      </c>
      <c r="E14" s="177" t="s">
        <v>843</v>
      </c>
      <c r="F14" s="935" t="s">
        <v>845</v>
      </c>
      <c r="G14" s="178">
        <v>36402.328000000001</v>
      </c>
      <c r="H14" s="936">
        <v>49941.457000000017</v>
      </c>
      <c r="I14" s="937">
        <v>877.54717442235005</v>
      </c>
      <c r="J14" s="179">
        <f t="shared" ref="J14:J15" si="25">(0.02*I14)</f>
        <v>17.550943488447</v>
      </c>
      <c r="K14" s="179">
        <f t="shared" ref="K14:K15" si="26">(0.035*I14)</f>
        <v>30.714151104782253</v>
      </c>
      <c r="L14" s="193">
        <v>32440865.469999999</v>
      </c>
      <c r="M14" s="938">
        <f>'[13]Exchange Rates '!L11</f>
        <v>134.21306666666666</v>
      </c>
      <c r="N14" s="179">
        <f t="shared" si="2"/>
        <v>4353988040.0494747</v>
      </c>
      <c r="O14" s="938">
        <v>76792112.400000006</v>
      </c>
      <c r="P14" s="179">
        <f t="shared" ref="P14:P15" si="27">N14+O14</f>
        <v>4430780152.4494743</v>
      </c>
      <c r="Q14" s="939">
        <f t="shared" ref="Q14:Q15" si="28">P14/(H14*1000)</f>
        <v>88.719481140677829</v>
      </c>
      <c r="R14" s="940">
        <f t="shared" ref="R14:R15" si="29">J14*G14*M14/(H14*1000)</f>
        <v>1.7169720195011786</v>
      </c>
      <c r="S14" s="939">
        <f t="shared" ref="S14:S15" si="30">K14*G14*M14/(H14*1000)</f>
        <v>3.0047010341270632</v>
      </c>
      <c r="T14" s="179">
        <f t="shared" ref="T14:T15" si="31">P14/M14</f>
        <v>33013031.163752619</v>
      </c>
      <c r="U14" s="941">
        <f t="shared" ref="U14:U15" si="32">T14/G14</f>
        <v>906.89340428317166</v>
      </c>
      <c r="V14" s="175"/>
      <c r="W14" s="175"/>
    </row>
    <row r="15" spans="1:23" s="176" customFormat="1">
      <c r="A15" s="174"/>
      <c r="B15" s="934">
        <v>6</v>
      </c>
      <c r="C15" s="177" t="s">
        <v>812</v>
      </c>
      <c r="D15" s="1061" t="s">
        <v>847</v>
      </c>
      <c r="E15" s="177" t="s">
        <v>846</v>
      </c>
      <c r="F15" s="935" t="s">
        <v>845</v>
      </c>
      <c r="G15" s="178">
        <v>15332.924000000003</v>
      </c>
      <c r="H15" s="936">
        <v>20556.674999999999</v>
      </c>
      <c r="I15" s="937">
        <v>877.54717442235005</v>
      </c>
      <c r="J15" s="179">
        <f t="shared" si="25"/>
        <v>17.550943488447</v>
      </c>
      <c r="K15" s="179">
        <f t="shared" si="26"/>
        <v>30.714151104782253</v>
      </c>
      <c r="L15" s="193">
        <v>13663069.449999999</v>
      </c>
      <c r="M15" s="938">
        <f>'[13]Exchange Rates '!L12</f>
        <v>134.74599999999998</v>
      </c>
      <c r="N15" s="179">
        <f t="shared" si="2"/>
        <v>1841043956.1096997</v>
      </c>
      <c r="O15" s="938">
        <v>32364551.990000002</v>
      </c>
      <c r="P15" s="179">
        <f t="shared" si="27"/>
        <v>1873408508.0996997</v>
      </c>
      <c r="Q15" s="939">
        <f t="shared" si="28"/>
        <v>91.133829186855351</v>
      </c>
      <c r="R15" s="940">
        <f t="shared" si="29"/>
        <v>1.7639589041592771</v>
      </c>
      <c r="S15" s="939">
        <f t="shared" si="30"/>
        <v>3.0869280822787353</v>
      </c>
      <c r="T15" s="179">
        <f t="shared" si="31"/>
        <v>13903258.783931991</v>
      </c>
      <c r="U15" s="941">
        <f t="shared" si="32"/>
        <v>906.75847502615864</v>
      </c>
      <c r="V15" s="175"/>
      <c r="W15" s="175"/>
    </row>
    <row r="16" spans="1:23" s="176" customFormat="1" ht="15" thickBot="1">
      <c r="D16" s="188"/>
      <c r="G16" s="216">
        <f>SUM(G10:G15)</f>
        <v>117402.15400000001</v>
      </c>
      <c r="H16" s="216">
        <f>SUM(H10:H15)</f>
        <v>160057.524</v>
      </c>
      <c r="I16" s="180"/>
      <c r="J16" s="180"/>
      <c r="K16" s="180"/>
      <c r="L16" s="181"/>
      <c r="M16" s="181"/>
      <c r="N16" s="181"/>
      <c r="O16" s="181"/>
      <c r="P16" s="181"/>
      <c r="Q16" s="181"/>
      <c r="R16" s="180">
        <f>V10</f>
        <v>1.7335007701822511</v>
      </c>
      <c r="S16" s="723">
        <f>V11</f>
        <v>3.0336263478189394</v>
      </c>
      <c r="T16" s="180">
        <f>SUM(T10:T15)</f>
        <v>105552915.78267042</v>
      </c>
      <c r="U16" s="182">
        <f>T16/G16</f>
        <v>899.07137293810138</v>
      </c>
      <c r="W16" s="175"/>
    </row>
    <row r="17" spans="4:21">
      <c r="G17" s="183"/>
      <c r="H17" s="184"/>
      <c r="I17" s="183"/>
      <c r="J17" s="183"/>
      <c r="K17" s="183"/>
      <c r="T17" s="180">
        <f>T16/H16</f>
        <v>659.46862818314253</v>
      </c>
      <c r="U17" s="182"/>
    </row>
    <row r="18" spans="4:21">
      <c r="K18" s="185"/>
      <c r="Q18" s="185"/>
    </row>
    <row r="19" spans="4:21">
      <c r="Q19" s="185"/>
      <c r="S19" s="208"/>
    </row>
    <row r="20" spans="4:21">
      <c r="Q20" s="185"/>
    </row>
    <row r="21" spans="4:21">
      <c r="Q21" s="185"/>
    </row>
    <row r="22" spans="4:21">
      <c r="Q22" s="185"/>
    </row>
    <row r="23" spans="4:21">
      <c r="Q23" s="185"/>
    </row>
    <row r="24" spans="4:21">
      <c r="D24" s="189"/>
      <c r="E24" s="186"/>
      <c r="F24" s="186"/>
      <c r="Q24" s="185"/>
    </row>
  </sheetData>
  <mergeCells count="18">
    <mergeCell ref="O8:O9"/>
    <mergeCell ref="P8:P9"/>
    <mergeCell ref="L8:N8"/>
    <mergeCell ref="L7:P7"/>
    <mergeCell ref="B7:B9"/>
    <mergeCell ref="C7:C9"/>
    <mergeCell ref="D7:D9"/>
    <mergeCell ref="G7:G9"/>
    <mergeCell ref="H7:H9"/>
    <mergeCell ref="I7:I8"/>
    <mergeCell ref="J7:K7"/>
    <mergeCell ref="E7:E9"/>
    <mergeCell ref="F7:F9"/>
    <mergeCell ref="U8:U9"/>
    <mergeCell ref="T8:T9"/>
    <mergeCell ref="Q7:Q8"/>
    <mergeCell ref="R7:R8"/>
    <mergeCell ref="S7:S8"/>
  </mergeCells>
  <pageMargins left="0.25" right="0.25" top="0.75" bottom="0.75" header="0.3" footer="0.3"/>
  <pageSetup scale="5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3:W21"/>
  <sheetViews>
    <sheetView topLeftCell="B1" zoomScale="80" zoomScaleNormal="80" workbookViewId="0">
      <selection activeCell="I20" sqref="I20"/>
    </sheetView>
  </sheetViews>
  <sheetFormatPr defaultColWidth="9.1796875" defaultRowHeight="14.5"/>
  <cols>
    <col min="1" max="1" width="6.1796875" style="159" bestFit="1" customWidth="1"/>
    <col min="2" max="2" width="7.54296875" style="159" customWidth="1"/>
    <col min="3" max="3" width="29.1796875" style="159" bestFit="1" customWidth="1"/>
    <col min="4" max="4" width="12.7265625" style="187" customWidth="1"/>
    <col min="5" max="5" width="30.453125" style="159" bestFit="1" customWidth="1"/>
    <col min="6" max="6" width="21" style="187" customWidth="1"/>
    <col min="7" max="7" width="14.54296875" style="159" customWidth="1"/>
    <col min="8" max="8" width="14.54296875" style="197" customWidth="1"/>
    <col min="9" max="9" width="11" style="197" bestFit="1" customWidth="1"/>
    <col min="10" max="11" width="10.26953125" style="197" customWidth="1"/>
    <col min="12" max="12" width="18.26953125" style="159" customWidth="1"/>
    <col min="13" max="13" width="11.81640625" style="159" customWidth="1"/>
    <col min="14" max="14" width="18.54296875" style="159" customWidth="1"/>
    <col min="15" max="15" width="17.54296875" style="159" customWidth="1"/>
    <col min="16" max="16" width="19.1796875" style="185" customWidth="1"/>
    <col min="17" max="19" width="11.81640625" style="159" customWidth="1"/>
    <col min="20" max="20" width="20.1796875" style="159" bestFit="1" customWidth="1"/>
    <col min="21" max="21" width="13.81640625" style="159" customWidth="1"/>
    <col min="22" max="22" width="9.1796875" style="159" customWidth="1"/>
    <col min="23" max="23" width="9.54296875" style="159" bestFit="1" customWidth="1"/>
    <col min="24" max="16384" width="9.1796875" style="159"/>
  </cols>
  <sheetData>
    <row r="3" spans="1:23">
      <c r="C3" s="878" t="s">
        <v>1</v>
      </c>
      <c r="O3" s="846"/>
    </row>
    <row r="4" spans="1:23" ht="17.25" customHeight="1">
      <c r="E4" s="170"/>
      <c r="O4" s="847"/>
    </row>
    <row r="5" spans="1:23">
      <c r="C5" s="877">
        <v>44986</v>
      </c>
      <c r="H5" s="207"/>
      <c r="I5" s="207"/>
      <c r="J5" s="207"/>
      <c r="K5" s="207"/>
      <c r="P5" s="208"/>
    </row>
    <row r="6" spans="1:23">
      <c r="H6" s="207"/>
      <c r="I6" s="848"/>
      <c r="J6" s="207"/>
      <c r="K6" s="207"/>
      <c r="P6" s="208"/>
    </row>
    <row r="7" spans="1:23" ht="17.25" customHeight="1">
      <c r="B7" s="1174" t="s">
        <v>45</v>
      </c>
      <c r="C7" s="1175" t="s">
        <v>46</v>
      </c>
      <c r="D7" s="1175" t="s">
        <v>47</v>
      </c>
      <c r="E7" s="1175" t="s">
        <v>48</v>
      </c>
      <c r="F7" s="1175" t="s">
        <v>49</v>
      </c>
      <c r="G7" s="1175" t="s">
        <v>50</v>
      </c>
      <c r="H7" s="1176" t="s">
        <v>51</v>
      </c>
      <c r="I7" s="1176" t="s">
        <v>223</v>
      </c>
      <c r="J7" s="1177" t="s">
        <v>360</v>
      </c>
      <c r="K7" s="1177"/>
      <c r="L7" s="1178" t="s">
        <v>52</v>
      </c>
      <c r="M7" s="1178"/>
      <c r="N7" s="1178"/>
      <c r="O7" s="1178"/>
      <c r="P7" s="1178"/>
      <c r="Q7" s="1175" t="s">
        <v>53</v>
      </c>
      <c r="R7" s="1175" t="s">
        <v>220</v>
      </c>
      <c r="S7" s="1175" t="s">
        <v>359</v>
      </c>
      <c r="T7" s="1175" t="s">
        <v>535</v>
      </c>
      <c r="U7" s="1175"/>
    </row>
    <row r="8" spans="1:23">
      <c r="B8" s="1174"/>
      <c r="C8" s="1175"/>
      <c r="D8" s="1175"/>
      <c r="E8" s="1175"/>
      <c r="F8" s="1175"/>
      <c r="G8" s="1175"/>
      <c r="H8" s="1176"/>
      <c r="I8" s="1176"/>
      <c r="J8" s="1149" t="s">
        <v>220</v>
      </c>
      <c r="K8" s="1149" t="s">
        <v>359</v>
      </c>
      <c r="L8" s="1178" t="s">
        <v>54</v>
      </c>
      <c r="M8" s="1178"/>
      <c r="N8" s="1178"/>
      <c r="O8" s="1175" t="s">
        <v>55</v>
      </c>
      <c r="P8" s="1179" t="s">
        <v>56</v>
      </c>
      <c r="Q8" s="1175"/>
      <c r="R8" s="1175"/>
      <c r="S8" s="1175"/>
      <c r="T8" s="1175"/>
      <c r="U8" s="1175"/>
    </row>
    <row r="9" spans="1:23" ht="29">
      <c r="B9" s="1174"/>
      <c r="C9" s="1175"/>
      <c r="D9" s="1175"/>
      <c r="E9" s="1175"/>
      <c r="F9" s="1175"/>
      <c r="G9" s="1175"/>
      <c r="H9" s="1176"/>
      <c r="I9" s="1150" t="s">
        <v>376</v>
      </c>
      <c r="J9" s="1149" t="s">
        <v>376</v>
      </c>
      <c r="K9" s="1149" t="s">
        <v>376</v>
      </c>
      <c r="L9" s="1148" t="s">
        <v>58</v>
      </c>
      <c r="M9" s="1148" t="s">
        <v>59</v>
      </c>
      <c r="N9" s="1148" t="s">
        <v>60</v>
      </c>
      <c r="O9" s="1175"/>
      <c r="P9" s="1179"/>
      <c r="Q9" s="1148" t="s">
        <v>377</v>
      </c>
      <c r="R9" s="1148" t="s">
        <v>377</v>
      </c>
      <c r="S9" s="1148" t="s">
        <v>377</v>
      </c>
      <c r="T9" s="1148" t="s">
        <v>58</v>
      </c>
      <c r="U9" s="1147" t="s">
        <v>215</v>
      </c>
    </row>
    <row r="10" spans="1:23" s="758" customFormat="1">
      <c r="A10" s="162"/>
      <c r="B10" s="942">
        <v>1</v>
      </c>
      <c r="C10" s="177" t="s">
        <v>839</v>
      </c>
      <c r="D10" s="951" t="s">
        <v>841</v>
      </c>
      <c r="E10" s="177" t="s">
        <v>840</v>
      </c>
      <c r="F10" s="1153" t="s">
        <v>842</v>
      </c>
      <c r="G10" s="193">
        <v>50542.573000000004</v>
      </c>
      <c r="H10" s="195">
        <v>61592.219999999979</v>
      </c>
      <c r="I10" s="301">
        <v>926.61960758315684</v>
      </c>
      <c r="J10" s="194">
        <f t="shared" ref="J10" si="0">0.02*I10</f>
        <v>18.532392151663139</v>
      </c>
      <c r="K10" s="194">
        <f t="shared" ref="K10" si="1">(0.035*I10)</f>
        <v>32.431686265410491</v>
      </c>
      <c r="L10" s="294">
        <v>47514086.18999999</v>
      </c>
      <c r="M10" s="301">
        <f>'[13]Exchange Rates '!L5</f>
        <v>133.11960000000002</v>
      </c>
      <c r="N10" s="179">
        <f t="shared" ref="N10" si="2">(L10*M10)</f>
        <v>6325056147.9783239</v>
      </c>
      <c r="O10" s="193">
        <v>110019000.66999999</v>
      </c>
      <c r="P10" s="179">
        <f t="shared" ref="P10" si="3">N10+O10</f>
        <v>6435075148.648324</v>
      </c>
      <c r="Q10" s="940">
        <f t="shared" ref="Q10" si="4">P10/(H10*1000)</f>
        <v>104.47870118414836</v>
      </c>
      <c r="R10" s="940">
        <f t="shared" ref="R10" si="5">(J10*G10*M10)/(H10*1000)</f>
        <v>2.0244403021736797</v>
      </c>
      <c r="S10" s="940">
        <f t="shared" ref="S10" si="6">(K10*G10*M10)/(H10*1000)</f>
        <v>3.5427705288039393</v>
      </c>
      <c r="T10" s="179">
        <f t="shared" ref="T10" si="7">P10/M10</f>
        <v>48340553.522158444</v>
      </c>
      <c r="U10" s="179">
        <f t="shared" ref="U10" si="8">T10/G10</f>
        <v>956.43238269959943</v>
      </c>
      <c r="V10" s="192">
        <f>((R10*H10)+(H11*R11)+(R12*H12)+(H13*R13)+(R14*H14)+(H15*R15))/H16</f>
        <v>1.994329137255715</v>
      </c>
      <c r="W10" s="857"/>
    </row>
    <row r="11" spans="1:23" s="758" customFormat="1">
      <c r="A11" s="162"/>
      <c r="B11" s="942">
        <v>2</v>
      </c>
      <c r="C11" s="177" t="s">
        <v>849</v>
      </c>
      <c r="D11" s="951" t="s">
        <v>832</v>
      </c>
      <c r="E11" s="177" t="s">
        <v>850</v>
      </c>
      <c r="F11" s="1153" t="s">
        <v>851</v>
      </c>
      <c r="G11" s="193">
        <v>51275.358</v>
      </c>
      <c r="H11" s="195">
        <v>61204.291999999979</v>
      </c>
      <c r="I11" s="301">
        <v>856.0174779842381</v>
      </c>
      <c r="J11" s="194">
        <f t="shared" ref="J11" si="9">0.02*I11</f>
        <v>17.120349559684762</v>
      </c>
      <c r="K11" s="194">
        <f t="shared" ref="K11" si="10">(0.035*I11)</f>
        <v>29.960611729448335</v>
      </c>
      <c r="L11" s="294">
        <v>44544464.339999996</v>
      </c>
      <c r="M11" s="301">
        <f>'[13]Exchange Rates '!L6</f>
        <v>137.24719999999999</v>
      </c>
      <c r="N11" s="179">
        <f t="shared" ref="N11:N15" si="11">(L11*M11)</f>
        <v>6113603006.1648474</v>
      </c>
      <c r="O11" s="193">
        <v>106278434.53</v>
      </c>
      <c r="P11" s="179">
        <f t="shared" ref="P11" si="12">N11+O11</f>
        <v>6219881440.6948471</v>
      </c>
      <c r="Q11" s="940">
        <f t="shared" ref="Q11" si="13">P11/(H11*1000)</f>
        <v>101.62492265566685</v>
      </c>
      <c r="R11" s="940">
        <f t="shared" ref="R11" si="14">(J11*G11*M11)/(H11*1000)</f>
        <v>1.9685341063219042</v>
      </c>
      <c r="S11" s="940">
        <f t="shared" ref="S11" si="15">(K11*G11*M11)/(H11*1000)</f>
        <v>3.4449346860633328</v>
      </c>
      <c r="T11" s="179">
        <f t="shared" ref="T11" si="16">P11/M11</f>
        <v>45318822.10125123</v>
      </c>
      <c r="U11" s="179">
        <f t="shared" ref="U11" si="17">T11/G11</f>
        <v>883.83238789383449</v>
      </c>
      <c r="V11" s="192">
        <f>((S10*H10)+(H11*S11)+(S12*H12)+(H13*S13)+(S14*H14)+(H15*S15))/H16</f>
        <v>3.4900759901975014</v>
      </c>
      <c r="W11" s="857"/>
    </row>
    <row r="12" spans="1:23" s="758" customFormat="1">
      <c r="A12" s="162" t="s">
        <v>814</v>
      </c>
      <c r="B12" s="942">
        <v>3</v>
      </c>
      <c r="C12" s="177" t="s">
        <v>817</v>
      </c>
      <c r="D12" s="951" t="s">
        <v>844</v>
      </c>
      <c r="E12" s="177" t="s">
        <v>854</v>
      </c>
      <c r="F12" s="1153" t="s">
        <v>853</v>
      </c>
      <c r="G12" s="193">
        <v>24198.865000000002</v>
      </c>
      <c r="H12" s="195">
        <v>28949.991000000002</v>
      </c>
      <c r="I12" s="301">
        <v>858.51516994808014</v>
      </c>
      <c r="J12" s="194">
        <f t="shared" ref="J12" si="18">0.02*I12</f>
        <v>17.170303398961604</v>
      </c>
      <c r="K12" s="194">
        <f t="shared" ref="K12" si="19">(0.035*I12)</f>
        <v>30.048030948182809</v>
      </c>
      <c r="L12" s="294">
        <v>20973535.559999999</v>
      </c>
      <c r="M12" s="301">
        <f>'[13]Exchange Rates '!L7</f>
        <v>135.62893333333332</v>
      </c>
      <c r="N12" s="179">
        <f t="shared" si="11"/>
        <v>2844618256.2315354</v>
      </c>
      <c r="O12" s="193">
        <v>50376059.810000002</v>
      </c>
      <c r="P12" s="179">
        <f t="shared" ref="P12" si="20">N12+O12</f>
        <v>2894994316.0415354</v>
      </c>
      <c r="Q12" s="940">
        <f t="shared" ref="Q12" si="21">P12/(H12*1000)</f>
        <v>99.999834750951578</v>
      </c>
      <c r="R12" s="940">
        <f t="shared" ref="R12" si="22">(J12*G12*M12)/(H12*1000)</f>
        <v>1.9466007174470907</v>
      </c>
      <c r="S12" s="940">
        <f t="shared" ref="S12" si="23">(K12*G12*M12)/(H12*1000)</f>
        <v>3.4065512555324089</v>
      </c>
      <c r="T12" s="179">
        <f t="shared" ref="T12" si="24">P12/M12</f>
        <v>21344961.173782505</v>
      </c>
      <c r="U12" s="179">
        <f t="shared" ref="U12" si="25">T12/G12</f>
        <v>882.06455855605225</v>
      </c>
      <c r="V12" s="192"/>
      <c r="W12" s="857"/>
    </row>
    <row r="13" spans="1:23" s="758" customFormat="1">
      <c r="A13" s="162" t="s">
        <v>671</v>
      </c>
      <c r="B13" s="942">
        <v>4</v>
      </c>
      <c r="C13" s="177" t="s">
        <v>817</v>
      </c>
      <c r="D13" s="951" t="s">
        <v>844</v>
      </c>
      <c r="E13" s="177" t="s">
        <v>856</v>
      </c>
      <c r="F13" s="1153" t="s">
        <v>853</v>
      </c>
      <c r="G13" s="193">
        <v>16110.360000000004</v>
      </c>
      <c r="H13" s="195">
        <v>19278.644</v>
      </c>
      <c r="I13" s="301">
        <v>858.51516994808014</v>
      </c>
      <c r="J13" s="194">
        <f t="shared" ref="J13" si="26">0.02*I13</f>
        <v>17.170303398961604</v>
      </c>
      <c r="K13" s="194">
        <f t="shared" ref="K13" si="27">(0.035*I13)</f>
        <v>30.048030948182809</v>
      </c>
      <c r="L13" s="294">
        <v>14036454.050000001</v>
      </c>
      <c r="M13" s="301">
        <f>'[13]Exchange Rates '!L8</f>
        <v>135.62893333333332</v>
      </c>
      <c r="N13" s="179">
        <f t="shared" si="11"/>
        <v>1903749290.5838466</v>
      </c>
      <c r="O13" s="193">
        <v>33551645.170000002</v>
      </c>
      <c r="P13" s="179">
        <f t="shared" ref="P13" si="28">N13+O13</f>
        <v>1937300935.7538466</v>
      </c>
      <c r="Q13" s="940">
        <f t="shared" ref="Q13" si="29">P13/(H13*1000)</f>
        <v>100.48948130137403</v>
      </c>
      <c r="R13" s="940">
        <f t="shared" ref="R13" si="30">(J13*G13*M13)/(H13*1000)</f>
        <v>1.9460727744856809</v>
      </c>
      <c r="S13" s="940">
        <f t="shared" ref="S13" si="31">(K13*G13*M13)/(H13*1000)</f>
        <v>3.4056273553499419</v>
      </c>
      <c r="T13" s="179">
        <f t="shared" ref="T13" si="32">P13/M13</f>
        <v>14283832.277826512</v>
      </c>
      <c r="U13" s="179">
        <f t="shared" ref="U13" si="33">T13/G13</f>
        <v>886.6240281301292</v>
      </c>
      <c r="V13" s="192"/>
      <c r="W13" s="857"/>
    </row>
    <row r="14" spans="1:23" s="758" customFormat="1">
      <c r="A14" s="162"/>
      <c r="B14" s="942">
        <v>5</v>
      </c>
      <c r="C14" s="177" t="s">
        <v>817</v>
      </c>
      <c r="D14" s="951" t="s">
        <v>841</v>
      </c>
      <c r="E14" s="177" t="s">
        <v>830</v>
      </c>
      <c r="F14" s="1153" t="s">
        <v>829</v>
      </c>
      <c r="G14" s="193">
        <v>14586.144</v>
      </c>
      <c r="H14" s="195">
        <v>17817.316999999999</v>
      </c>
      <c r="I14" s="301">
        <v>953.99503750554993</v>
      </c>
      <c r="J14" s="194">
        <f t="shared" ref="J14:J15" si="34">0.02*I14</f>
        <v>19.079900750110998</v>
      </c>
      <c r="K14" s="194">
        <f t="shared" ref="K14:K15" si="35">(0.035*I14)</f>
        <v>33.389826312694254</v>
      </c>
      <c r="L14" s="294">
        <v>14045753.979999999</v>
      </c>
      <c r="M14" s="301">
        <f>'[13]Exchange Rates '!L14</f>
        <v>133.18866666666668</v>
      </c>
      <c r="N14" s="179">
        <f t="shared" si="11"/>
        <v>1870735244.9242265</v>
      </c>
      <c r="O14" s="193">
        <v>33067503.169999998</v>
      </c>
      <c r="P14" s="179">
        <f t="shared" ref="P14:P15" si="36">N14+O14</f>
        <v>1903802748.0942266</v>
      </c>
      <c r="Q14" s="940">
        <f t="shared" ref="Q14:Q15" si="37">P14/(H14*1000)</f>
        <v>106.85125869928827</v>
      </c>
      <c r="R14" s="940">
        <f t="shared" ref="R14:R15" si="38">(J14*G14*M14)/(H14*1000)</f>
        <v>2.0803747424051426</v>
      </c>
      <c r="S14" s="940">
        <f t="shared" ref="S14:S15" si="39">(K14*G14*M14)/(H14*1000)</f>
        <v>3.6406557992090005</v>
      </c>
      <c r="T14" s="179">
        <f t="shared" ref="T14:T15" si="40">P14/M14</f>
        <v>14294029.632858349</v>
      </c>
      <c r="U14" s="179">
        <f t="shared" ref="U14:U15" si="41">T14/G14</f>
        <v>979.97316034027563</v>
      </c>
      <c r="V14" s="192"/>
      <c r="W14" s="857"/>
    </row>
    <row r="15" spans="1:23" s="758" customFormat="1">
      <c r="A15" s="162"/>
      <c r="B15" s="942">
        <v>6</v>
      </c>
      <c r="C15" s="177" t="s">
        <v>817</v>
      </c>
      <c r="D15" s="951" t="s">
        <v>857</v>
      </c>
      <c r="E15" s="177" t="s">
        <v>831</v>
      </c>
      <c r="F15" s="1153" t="s">
        <v>833</v>
      </c>
      <c r="G15" s="193">
        <v>16097.493999999999</v>
      </c>
      <c r="H15" s="195">
        <v>19669.679999999997</v>
      </c>
      <c r="I15" s="301">
        <v>899.15979690841675</v>
      </c>
      <c r="J15" s="194">
        <f t="shared" si="34"/>
        <v>17.983195938168336</v>
      </c>
      <c r="K15" s="194">
        <f t="shared" si="35"/>
        <v>31.470592891794588</v>
      </c>
      <c r="L15" s="294">
        <v>14610329.459999999</v>
      </c>
      <c r="M15" s="301">
        <f>'[13]Exchange Rates '!L16</f>
        <v>137.24719999999999</v>
      </c>
      <c r="N15" s="179">
        <f t="shared" si="11"/>
        <v>2005226809.4625118</v>
      </c>
      <c r="O15" s="193">
        <v>34656262.640000008</v>
      </c>
      <c r="P15" s="179">
        <f t="shared" si="36"/>
        <v>2039883072.1025119</v>
      </c>
      <c r="Q15" s="940">
        <f t="shared" si="37"/>
        <v>103.70697805467665</v>
      </c>
      <c r="R15" s="940">
        <f t="shared" si="38"/>
        <v>2.0199068716375908</v>
      </c>
      <c r="S15" s="940">
        <f t="shared" si="39"/>
        <v>3.5348370253657833</v>
      </c>
      <c r="T15" s="179">
        <f t="shared" si="40"/>
        <v>14862839.25721262</v>
      </c>
      <c r="U15" s="179">
        <f t="shared" si="41"/>
        <v>923.30143171431666</v>
      </c>
      <c r="V15" s="192"/>
      <c r="W15" s="857"/>
    </row>
    <row r="16" spans="1:23" ht="15" thickBot="1">
      <c r="G16" s="198">
        <f>SUM(G10:G15)</f>
        <v>172810.79400000002</v>
      </c>
      <c r="H16" s="198">
        <f>SUM(H10:H15)</f>
        <v>208512.14399999997</v>
      </c>
      <c r="R16" s="199">
        <f>V10</f>
        <v>1.994329137255715</v>
      </c>
      <c r="S16" s="199">
        <f>V11</f>
        <v>3.4900759901975014</v>
      </c>
      <c r="T16" s="200">
        <f>SUM(T10:T15)</f>
        <v>158445037.96508965</v>
      </c>
      <c r="U16" s="201">
        <f>T16/G16</f>
        <v>916.87003049757197</v>
      </c>
      <c r="W16" s="858"/>
    </row>
    <row r="17" spans="7:20" ht="15" thickBot="1">
      <c r="T17" s="200">
        <f>T16/H16</f>
        <v>759.88398049894715</v>
      </c>
    </row>
    <row r="18" spans="7:20">
      <c r="G18" s="215"/>
      <c r="H18" s="1038"/>
    </row>
    <row r="19" spans="7:20">
      <c r="G19" s="1055"/>
      <c r="L19" s="171"/>
      <c r="M19" s="171"/>
      <c r="R19" s="215"/>
    </row>
    <row r="20" spans="7:20">
      <c r="G20" s="1055"/>
      <c r="L20" s="171"/>
      <c r="M20" s="171"/>
    </row>
    <row r="21" spans="7:20">
      <c r="L21" s="171"/>
      <c r="M21" s="171"/>
    </row>
  </sheetData>
  <mergeCells count="17">
    <mergeCell ref="I7:I8"/>
    <mergeCell ref="E7:E9"/>
    <mergeCell ref="F7:F9"/>
    <mergeCell ref="Q7:Q8"/>
    <mergeCell ref="R7:R8"/>
    <mergeCell ref="O8:O9"/>
    <mergeCell ref="P8:P9"/>
    <mergeCell ref="B7:B9"/>
    <mergeCell ref="C7:C9"/>
    <mergeCell ref="D7:D9"/>
    <mergeCell ref="G7:G9"/>
    <mergeCell ref="H7:H9"/>
    <mergeCell ref="T7:U8"/>
    <mergeCell ref="J7:K7"/>
    <mergeCell ref="L7:P7"/>
    <mergeCell ref="L8:N8"/>
    <mergeCell ref="S7:S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3:V16"/>
  <sheetViews>
    <sheetView zoomScale="78" zoomScaleNormal="78" workbookViewId="0">
      <selection activeCell="T13" sqref="T13"/>
    </sheetView>
  </sheetViews>
  <sheetFormatPr defaultColWidth="9.1796875" defaultRowHeight="14.5"/>
  <cols>
    <col min="1" max="1" width="13" style="159" customWidth="1"/>
    <col min="2" max="2" width="7.54296875" style="159" customWidth="1"/>
    <col min="3" max="3" width="19.81640625" style="159" customWidth="1"/>
    <col min="4" max="4" width="14.81640625" style="159" customWidth="1"/>
    <col min="5" max="5" width="30" style="159" bestFit="1" customWidth="1"/>
    <col min="6" max="6" width="20.7265625" style="159" customWidth="1"/>
    <col min="7" max="7" width="15.26953125" style="159" bestFit="1" customWidth="1"/>
    <col min="8" max="8" width="15.453125" style="185" customWidth="1"/>
    <col min="9" max="9" width="12.26953125" style="185" customWidth="1"/>
    <col min="10" max="10" width="12.81640625" style="185" customWidth="1"/>
    <col min="11" max="11" width="12.81640625" style="159" customWidth="1"/>
    <col min="12" max="12" width="18.26953125" style="159" customWidth="1"/>
    <col min="13" max="13" width="11.26953125" style="159" customWidth="1"/>
    <col min="14" max="14" width="18.54296875" style="159" customWidth="1"/>
    <col min="15" max="15" width="16.81640625" style="207" customWidth="1"/>
    <col min="16" max="16" width="19" style="159" customWidth="1"/>
    <col min="17" max="17" width="11.54296875" style="159" bestFit="1" customWidth="1"/>
    <col min="18" max="19" width="11.54296875" style="159" customWidth="1"/>
    <col min="20" max="20" width="19.453125" style="159" bestFit="1" customWidth="1"/>
    <col min="21" max="21" width="21.26953125" style="159" bestFit="1" customWidth="1"/>
    <col min="22" max="22" width="9.453125" style="159" bestFit="1" customWidth="1"/>
    <col min="23" max="16384" width="9.1796875" style="159"/>
  </cols>
  <sheetData>
    <row r="3" spans="1:22">
      <c r="C3" s="878" t="s">
        <v>3</v>
      </c>
    </row>
    <row r="5" spans="1:22">
      <c r="C5" s="877"/>
      <c r="D5" s="877">
        <f>'AGO Import'!C5</f>
        <v>44986</v>
      </c>
      <c r="H5" s="207"/>
      <c r="I5" s="207"/>
      <c r="J5" s="207"/>
      <c r="O5" s="208"/>
    </row>
    <row r="6" spans="1:22">
      <c r="H6" s="207"/>
      <c r="I6" s="207"/>
      <c r="J6" s="207"/>
      <c r="O6" s="208"/>
    </row>
    <row r="7" spans="1:22" ht="15.75" customHeight="1">
      <c r="B7" s="1174" t="s">
        <v>45</v>
      </c>
      <c r="C7" s="1175" t="s">
        <v>46</v>
      </c>
      <c r="D7" s="1175" t="s">
        <v>47</v>
      </c>
      <c r="E7" s="1175" t="s">
        <v>48</v>
      </c>
      <c r="F7" s="1175" t="s">
        <v>49</v>
      </c>
      <c r="G7" s="1175" t="s">
        <v>50</v>
      </c>
      <c r="H7" s="1176" t="s">
        <v>51</v>
      </c>
      <c r="I7" s="1176" t="s">
        <v>223</v>
      </c>
      <c r="J7" s="1177" t="s">
        <v>360</v>
      </c>
      <c r="K7" s="1177"/>
      <c r="L7" s="1178" t="s">
        <v>52</v>
      </c>
      <c r="M7" s="1178"/>
      <c r="N7" s="1178"/>
      <c r="O7" s="1178"/>
      <c r="P7" s="1178"/>
      <c r="Q7" s="1175" t="s">
        <v>53</v>
      </c>
      <c r="R7" s="1175" t="s">
        <v>220</v>
      </c>
      <c r="S7" s="1175" t="s">
        <v>359</v>
      </c>
      <c r="T7" s="196"/>
      <c r="U7" s="196"/>
    </row>
    <row r="8" spans="1:22">
      <c r="B8" s="1174"/>
      <c r="C8" s="1175"/>
      <c r="D8" s="1175"/>
      <c r="E8" s="1175"/>
      <c r="F8" s="1175"/>
      <c r="G8" s="1175"/>
      <c r="H8" s="1176"/>
      <c r="I8" s="1176"/>
      <c r="J8" s="1129" t="s">
        <v>220</v>
      </c>
      <c r="K8" s="1129" t="s">
        <v>359</v>
      </c>
      <c r="L8" s="1178" t="s">
        <v>54</v>
      </c>
      <c r="M8" s="1178"/>
      <c r="N8" s="1178"/>
      <c r="O8" s="1175" t="s">
        <v>55</v>
      </c>
      <c r="P8" s="1179" t="s">
        <v>56</v>
      </c>
      <c r="Q8" s="1175"/>
      <c r="R8" s="1175"/>
      <c r="S8" s="1175"/>
      <c r="T8" s="196"/>
      <c r="U8" s="196"/>
    </row>
    <row r="9" spans="1:22">
      <c r="B9" s="1174"/>
      <c r="C9" s="1175"/>
      <c r="D9" s="1175"/>
      <c r="E9" s="1175"/>
      <c r="F9" s="1175"/>
      <c r="G9" s="1175"/>
      <c r="H9" s="1176"/>
      <c r="I9" s="1130"/>
      <c r="J9" s="1129" t="s">
        <v>376</v>
      </c>
      <c r="K9" s="1129" t="s">
        <v>376</v>
      </c>
      <c r="L9" s="1128" t="s">
        <v>58</v>
      </c>
      <c r="M9" s="1128" t="s">
        <v>59</v>
      </c>
      <c r="N9" s="1128" t="s">
        <v>60</v>
      </c>
      <c r="O9" s="1175"/>
      <c r="P9" s="1179"/>
      <c r="Q9" s="1128" t="s">
        <v>377</v>
      </c>
      <c r="R9" s="1128" t="s">
        <v>377</v>
      </c>
      <c r="S9" s="1128" t="s">
        <v>377</v>
      </c>
      <c r="T9" s="1128" t="s">
        <v>156</v>
      </c>
      <c r="U9" s="1128" t="s">
        <v>215</v>
      </c>
    </row>
    <row r="10" spans="1:22">
      <c r="A10" s="162"/>
      <c r="B10" s="1132">
        <v>1</v>
      </c>
      <c r="C10" s="1009" t="s">
        <v>817</v>
      </c>
      <c r="D10" s="1010" t="s">
        <v>837</v>
      </c>
      <c r="E10" s="1009" t="s">
        <v>836</v>
      </c>
      <c r="F10" s="161" t="s">
        <v>838</v>
      </c>
      <c r="G10" s="1011">
        <v>28973.434000000005</v>
      </c>
      <c r="H10" s="1011">
        <v>36938.085000000006</v>
      </c>
      <c r="I10" s="1012">
        <v>982.38432507827281</v>
      </c>
      <c r="J10" s="179">
        <f>(0.02*I10)</f>
        <v>19.647686501565456</v>
      </c>
      <c r="K10" s="179">
        <f>(0.035*I10)</f>
        <v>34.383451377739554</v>
      </c>
      <c r="L10" s="193">
        <v>28875611.199999999</v>
      </c>
      <c r="M10" s="193">
        <f>'[13]Exchange Rates '!L9</f>
        <v>133.90013333333334</v>
      </c>
      <c r="N10" s="179">
        <f>(L10*M10)</f>
        <v>3866448189.7614937</v>
      </c>
      <c r="O10" s="193">
        <v>67154306.609999985</v>
      </c>
      <c r="P10" s="179">
        <f>N10+O10</f>
        <v>3933602496.3714938</v>
      </c>
      <c r="Q10" s="940">
        <f>P10/(H10*1000)</f>
        <v>106.49178202853486</v>
      </c>
      <c r="R10" s="940">
        <f>(J10*G10*M10)/(H10*1000)</f>
        <v>2.0635643903257588</v>
      </c>
      <c r="S10" s="940">
        <f>(K10*G10*M10)/(H10*1000)</f>
        <v>3.6112376830700783</v>
      </c>
      <c r="T10" s="179">
        <f>P10/M10</f>
        <v>29377136.515458986</v>
      </c>
      <c r="U10" s="1013">
        <f>T10/G10</f>
        <v>1013.93354047915</v>
      </c>
      <c r="V10" s="210">
        <f>((R10*H10)+(R11*H11))/H12</f>
        <v>2.0134755528419217</v>
      </c>
    </row>
    <row r="11" spans="1:22">
      <c r="A11" s="162"/>
      <c r="B11" s="1132">
        <v>2</v>
      </c>
      <c r="C11" s="1009" t="s">
        <v>849</v>
      </c>
      <c r="D11" s="1163" t="s">
        <v>896</v>
      </c>
      <c r="E11" s="1009" t="s">
        <v>895</v>
      </c>
      <c r="F11" s="161" t="s">
        <v>897</v>
      </c>
      <c r="G11" s="1011">
        <v>27628.641</v>
      </c>
      <c r="H11" s="1011">
        <v>35193.855000000003</v>
      </c>
      <c r="I11" s="1012">
        <v>900.22272730280281</v>
      </c>
      <c r="J11" s="179">
        <f>(0.02*I11)</f>
        <v>18.004454546056056</v>
      </c>
      <c r="K11" s="179">
        <f>(0.035*I11)</f>
        <v>31.507795455598103</v>
      </c>
      <c r="L11" s="193">
        <v>25244161.430000007</v>
      </c>
      <c r="M11" s="193">
        <f>'[13]Exchange Rates '!J10</f>
        <v>138.73426666666666</v>
      </c>
      <c r="N11" s="179">
        <f>(L11*M11)</f>
        <v>3502230223.6060019</v>
      </c>
      <c r="O11" s="193">
        <v>60452267.769999996</v>
      </c>
      <c r="P11" s="179">
        <f>N11+O11</f>
        <v>3562682491.3760018</v>
      </c>
      <c r="Q11" s="940">
        <f>P11/(H11*1000)</f>
        <v>101.23024293235288</v>
      </c>
      <c r="R11" s="940">
        <f>(J11*G11*M11)/(H11*1000)</f>
        <v>1.9609042804840298</v>
      </c>
      <c r="S11" s="940">
        <f>(K11*G11*M11)/(H11*1000)</f>
        <v>3.4315824908470525</v>
      </c>
      <c r="T11" s="179">
        <f>P11/M11</f>
        <v>25679902.860163379</v>
      </c>
      <c r="U11" s="1013">
        <f>T11/G11</f>
        <v>929.46673924943968</v>
      </c>
      <c r="V11" s="210"/>
    </row>
    <row r="12" spans="1:22" s="211" customFormat="1">
      <c r="G12" s="213">
        <f>SUM(G10:G11)</f>
        <v>56602.075000000004</v>
      </c>
      <c r="H12" s="213">
        <f>SUM(H10:H11)</f>
        <v>72131.94</v>
      </c>
      <c r="I12" s="212"/>
      <c r="J12" s="212"/>
      <c r="O12" s="184"/>
      <c r="R12" s="213">
        <f>V10</f>
        <v>2.0134755528419217</v>
      </c>
      <c r="S12" s="213">
        <f>V12</f>
        <v>3.5235822174733635</v>
      </c>
      <c r="T12" s="213">
        <f>SUM(T10:T11)</f>
        <v>55057039.375622362</v>
      </c>
      <c r="U12" s="214">
        <f>T12/G12</f>
        <v>972.70355151506999</v>
      </c>
      <c r="V12" s="213">
        <f>((S10*H10)+(S11*H11))/H12</f>
        <v>3.5235822174733635</v>
      </c>
    </row>
    <row r="13" spans="1:22" ht="16.5" customHeight="1">
      <c r="L13" s="171"/>
      <c r="T13" s="213">
        <f>T12/H12</f>
        <v>763.28238746417139</v>
      </c>
    </row>
    <row r="15" spans="1:22">
      <c r="L15" s="171"/>
      <c r="M15" s="171"/>
    </row>
    <row r="16" spans="1:22">
      <c r="L16" s="215"/>
    </row>
  </sheetData>
  <mergeCells count="16">
    <mergeCell ref="L8:N8"/>
    <mergeCell ref="L7:P7"/>
    <mergeCell ref="B7:B9"/>
    <mergeCell ref="C7:C9"/>
    <mergeCell ref="D7:D9"/>
    <mergeCell ref="G7:G9"/>
    <mergeCell ref="H7:H9"/>
    <mergeCell ref="I7:I8"/>
    <mergeCell ref="J7:K7"/>
    <mergeCell ref="E7:E9"/>
    <mergeCell ref="F7:F9"/>
    <mergeCell ref="Q7:Q8"/>
    <mergeCell ref="R7:R8"/>
    <mergeCell ref="S7:S8"/>
    <mergeCell ref="O8:O9"/>
    <mergeCell ref="P8:P9"/>
  </mergeCells>
  <pageMargins left="0.7" right="0.7" top="0.75" bottom="0.75" header="0.3" footer="0.3"/>
  <pageSetup paperSize="9"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FF00"/>
    <pageSetUpPr fitToPage="1"/>
  </sheetPr>
  <dimension ref="A1:R154"/>
  <sheetViews>
    <sheetView topLeftCell="A94" zoomScale="110" zoomScaleNormal="110" workbookViewId="0">
      <pane xSplit="3" topLeftCell="L1" activePane="topRight" state="frozen"/>
      <selection activeCell="A10" sqref="A10"/>
      <selection pane="topRight" activeCell="L104" sqref="L104"/>
    </sheetView>
  </sheetViews>
  <sheetFormatPr defaultColWidth="9.1796875" defaultRowHeight="14.5"/>
  <cols>
    <col min="1" max="1" width="5.54296875" style="159" bestFit="1" customWidth="1"/>
    <col min="2" max="2" width="40.90625" style="159" customWidth="1"/>
    <col min="3" max="3" width="38.26953125" style="159" customWidth="1"/>
    <col min="4" max="4" width="21.1796875" style="159" customWidth="1"/>
    <col min="5" max="5" width="18.7265625" style="159" customWidth="1"/>
    <col min="6" max="6" width="11.453125" style="186" customWidth="1"/>
    <col min="7" max="7" width="7.7265625" style="159" customWidth="1"/>
    <col min="8" max="8" width="7.54296875" style="159" customWidth="1"/>
    <col min="9" max="10" width="9.26953125" style="159" customWidth="1"/>
    <col min="11" max="12" width="19.54296875" style="159" customWidth="1"/>
    <col min="13" max="13" width="10.453125" style="703" bestFit="1" customWidth="1"/>
    <col min="14" max="14" width="20.453125" style="159" customWidth="1"/>
    <col min="15" max="15" width="36.1796875" style="159" customWidth="1"/>
    <col min="16" max="16" width="17.7265625" style="159" customWidth="1"/>
    <col min="17" max="17" width="11.26953125" style="159" bestFit="1" customWidth="1"/>
    <col min="18" max="18" width="22" style="159" customWidth="1"/>
    <col min="19" max="19" width="22.1796875" style="159" bestFit="1" customWidth="1"/>
    <col min="20" max="16384" width="9.1796875" style="159"/>
  </cols>
  <sheetData>
    <row r="1" spans="1:17" ht="20.25" customHeight="1"/>
    <row r="2" spans="1:17">
      <c r="B2" s="704" t="s">
        <v>908</v>
      </c>
      <c r="C2" s="170"/>
      <c r="N2" s="705"/>
      <c r="O2" s="706"/>
      <c r="P2" s="706"/>
    </row>
    <row r="3" spans="1:17" ht="15" thickBot="1">
      <c r="N3" s="706"/>
      <c r="O3" s="706"/>
      <c r="P3" s="706"/>
    </row>
    <row r="4" spans="1:17" ht="15" thickBot="1">
      <c r="B4" s="707" t="s">
        <v>15</v>
      </c>
      <c r="C4" s="411"/>
      <c r="D4" s="1190"/>
      <c r="E4" s="1193"/>
      <c r="F4" s="1193"/>
      <c r="G4" s="1193"/>
      <c r="H4" s="1193"/>
      <c r="I4" s="1193"/>
      <c r="J4" s="1193"/>
      <c r="K4" s="1193"/>
      <c r="L4" s="1194"/>
    </row>
    <row r="5" spans="1:17" ht="15" thickBot="1">
      <c r="B5" s="708" t="s">
        <v>13</v>
      </c>
      <c r="C5" s="709"/>
      <c r="D5" s="206" t="s">
        <v>4</v>
      </c>
      <c r="E5" s="710" t="s">
        <v>5</v>
      </c>
      <c r="F5" s="711" t="s">
        <v>6</v>
      </c>
      <c r="G5" s="710" t="s">
        <v>7</v>
      </c>
      <c r="H5" s="710" t="s">
        <v>8</v>
      </c>
      <c r="I5" s="710" t="s">
        <v>9</v>
      </c>
      <c r="J5" s="710" t="s">
        <v>10</v>
      </c>
      <c r="K5" s="710" t="s">
        <v>221</v>
      </c>
      <c r="L5" s="209" t="s">
        <v>361</v>
      </c>
    </row>
    <row r="6" spans="1:17" ht="25.5" customHeight="1" thickBot="1">
      <c r="B6" s="712" t="s">
        <v>12</v>
      </c>
      <c r="C6" s="191" t="s">
        <v>14</v>
      </c>
      <c r="D6" s="440"/>
      <c r="E6" s="440"/>
      <c r="F6" s="713"/>
      <c r="G6" s="440"/>
      <c r="H6" s="440"/>
      <c r="I6" s="714" t="s">
        <v>220</v>
      </c>
      <c r="J6" s="714" t="s">
        <v>359</v>
      </c>
      <c r="K6" s="440" t="s">
        <v>362</v>
      </c>
      <c r="L6" s="191" t="s">
        <v>33</v>
      </c>
      <c r="O6" s="164"/>
    </row>
    <row r="7" spans="1:17" ht="19.5" customHeight="1" thickBot="1">
      <c r="B7" s="870"/>
      <c r="C7" s="864" t="s">
        <v>0</v>
      </c>
      <c r="D7" s="233" t="s">
        <v>538</v>
      </c>
      <c r="E7" s="863" t="s">
        <v>134</v>
      </c>
      <c r="F7" s="869" t="s">
        <v>134</v>
      </c>
      <c r="G7" s="863" t="s">
        <v>134</v>
      </c>
      <c r="H7" s="863" t="s">
        <v>134</v>
      </c>
      <c r="I7" s="863" t="s">
        <v>134</v>
      </c>
      <c r="J7" s="863" t="s">
        <v>134</v>
      </c>
      <c r="K7" s="863" t="s">
        <v>134</v>
      </c>
      <c r="L7" s="864" t="s">
        <v>133</v>
      </c>
      <c r="N7" s="715"/>
      <c r="O7" s="715"/>
      <c r="P7" s="715"/>
      <c r="Q7" s="715"/>
    </row>
    <row r="8" spans="1:17" ht="17.25" customHeight="1" thickBot="1">
      <c r="B8" s="865">
        <f>'AGO Import'!C5</f>
        <v>44986</v>
      </c>
      <c r="C8" s="871"/>
      <c r="D8" s="872"/>
      <c r="E8" s="872"/>
      <c r="F8" s="817"/>
      <c r="G8" s="866"/>
      <c r="H8" s="866"/>
      <c r="I8" s="866"/>
      <c r="J8" s="866"/>
      <c r="K8" s="866"/>
      <c r="L8" s="867"/>
      <c r="N8" s="1050"/>
      <c r="O8" s="715"/>
      <c r="P8" s="715"/>
      <c r="Q8" s="715"/>
    </row>
    <row r="9" spans="1:17" ht="19.5" customHeight="1" thickBot="1">
      <c r="A9" s="162"/>
      <c r="B9" s="719" t="str">
        <f>'PMS Import'!C10</f>
        <v>E3 ENERGY</v>
      </c>
      <c r="C9" s="615" t="str">
        <f>'PMS Import'!E10</f>
        <v>MT SANMAR SANGEET</v>
      </c>
      <c r="D9" s="720">
        <f>'PMS Import'!H10</f>
        <v>51139.127000000008</v>
      </c>
      <c r="E9" s="1106">
        <f>'PMS Import'!Q10</f>
        <v>86.869019495164068</v>
      </c>
      <c r="F9" s="721">
        <f t="shared" ref="F9:F14" si="0">32.415+6+0.13+1.025+5+1.03343</f>
        <v>45.603430000000003</v>
      </c>
      <c r="G9" s="868">
        <v>0</v>
      </c>
      <c r="H9" s="178">
        <v>0</v>
      </c>
      <c r="I9" s="178">
        <f>'PMS Import'!R10</f>
        <v>1.6805484127788466</v>
      </c>
      <c r="J9" s="178">
        <f>'PMS Import'!S10</f>
        <v>2.9409597223629818</v>
      </c>
      <c r="K9" s="178">
        <f>SUM(E9:J9)</f>
        <v>137.09395763030591</v>
      </c>
      <c r="L9" s="722">
        <f t="shared" ref="L9" si="1">(K9*D9)</f>
        <v>7010865.3101888336</v>
      </c>
      <c r="M9" s="723">
        <f>'PMS Import'!M10</f>
        <v>138.12640000000002</v>
      </c>
      <c r="N9" s="715"/>
      <c r="O9" s="715"/>
      <c r="P9" s="715"/>
      <c r="Q9" s="715"/>
    </row>
    <row r="10" spans="1:17" ht="19.5" customHeight="1" thickBot="1">
      <c r="A10" s="162"/>
      <c r="B10" s="719" t="str">
        <f>'PMS Import'!C11</f>
        <v>E3 ENERGY</v>
      </c>
      <c r="C10" s="615" t="str">
        <f>'PMS Import'!E11</f>
        <v>MT PIS POLARIS</v>
      </c>
      <c r="D10" s="720">
        <f>'PMS Import'!H11</f>
        <v>16692.115999999998</v>
      </c>
      <c r="E10" s="1106">
        <f>'PMS Import'!Q11</f>
        <v>94.846883259337176</v>
      </c>
      <c r="F10" s="721">
        <f t="shared" si="0"/>
        <v>45.603430000000003</v>
      </c>
      <c r="G10" s="868">
        <v>0</v>
      </c>
      <c r="H10" s="178">
        <v>0</v>
      </c>
      <c r="I10" s="178">
        <f>'PMS Import'!R11</f>
        <v>1.8359552665497265</v>
      </c>
      <c r="J10" s="178">
        <f>'PMS Import'!S11</f>
        <v>3.2129217164620218</v>
      </c>
      <c r="K10" s="178">
        <f t="shared" ref="K10" si="2">SUM(E10:J10)</f>
        <v>145.49919024234893</v>
      </c>
      <c r="L10" s="722">
        <f t="shared" ref="L10" si="3">(K10*D10)</f>
        <v>2428689.3614313561</v>
      </c>
      <c r="M10" s="723">
        <f>'PMS Import'!M11</f>
        <v>132.88386666666668</v>
      </c>
      <c r="N10" s="715"/>
      <c r="O10" s="715"/>
      <c r="P10" s="715"/>
      <c r="Q10" s="715"/>
    </row>
    <row r="11" spans="1:17" ht="19.5" customHeight="1" thickBot="1">
      <c r="A11" s="162"/>
      <c r="B11" s="719" t="str">
        <f>'PMS Import'!C12</f>
        <v>E3 ENERGY</v>
      </c>
      <c r="C11" s="615" t="str">
        <f>'PMS Import'!E12</f>
        <v>MT PHILOXENIA-SOT</v>
      </c>
      <c r="D11" s="720">
        <f>'PMS Import'!H12</f>
        <v>16418.795999999998</v>
      </c>
      <c r="E11" s="1106">
        <f>'PMS Import'!Q12</f>
        <v>91.759874269682626</v>
      </c>
      <c r="F11" s="721">
        <f t="shared" si="0"/>
        <v>45.603430000000003</v>
      </c>
      <c r="G11" s="868">
        <v>0</v>
      </c>
      <c r="H11" s="178">
        <v>0</v>
      </c>
      <c r="I11" s="178">
        <f>'PMS Import'!R12</f>
        <v>1.7870743778409128</v>
      </c>
      <c r="J11" s="178">
        <f>'PMS Import'!S12</f>
        <v>3.1273801612215975</v>
      </c>
      <c r="K11" s="178">
        <f t="shared" ref="K11:K12" si="4">SUM(E11:J11)</f>
        <v>142.27775880874515</v>
      </c>
      <c r="L11" s="722">
        <f t="shared" ref="L11:L12" si="5">(K11*D11)</f>
        <v>2336029.4972179895</v>
      </c>
      <c r="M11" s="723">
        <f>'PMS Import'!M12</f>
        <v>137.24719999999999</v>
      </c>
      <c r="N11" s="715"/>
      <c r="O11" s="715"/>
      <c r="P11" s="715"/>
      <c r="Q11" s="715"/>
    </row>
    <row r="12" spans="1:17" ht="19.5" customHeight="1" thickBot="1">
      <c r="A12" s="162"/>
      <c r="B12" s="719" t="str">
        <f>'PMS Import'!C13</f>
        <v>E3 ENERGY</v>
      </c>
      <c r="C12" s="615" t="str">
        <f>'PMS Import'!E13</f>
        <v>MT PHILOXENIA-KOSF</v>
      </c>
      <c r="D12" s="720">
        <f>'PMS Import'!H13</f>
        <v>5309.3529999999992</v>
      </c>
      <c r="E12" s="1106">
        <f>'PMS Import'!Q13</f>
        <v>92.63209398877494</v>
      </c>
      <c r="F12" s="721">
        <f t="shared" si="0"/>
        <v>45.603430000000003</v>
      </c>
      <c r="G12" s="868">
        <v>0</v>
      </c>
      <c r="H12" s="178">
        <v>0</v>
      </c>
      <c r="I12" s="178">
        <f>'PMS Import'!R13</f>
        <v>1.7932995417299831</v>
      </c>
      <c r="J12" s="178">
        <f>'PMS Import'!S13</f>
        <v>3.1382741980274709</v>
      </c>
      <c r="K12" s="178">
        <f t="shared" si="4"/>
        <v>143.16709772853241</v>
      </c>
      <c r="L12" s="722">
        <f t="shared" si="5"/>
        <v>760124.65982627659</v>
      </c>
      <c r="M12" s="723">
        <f>'PMS Import'!M13</f>
        <v>137.24719999999999</v>
      </c>
      <c r="N12" s="715"/>
      <c r="O12" s="715"/>
      <c r="P12" s="715"/>
      <c r="Q12" s="715"/>
    </row>
    <row r="13" spans="1:17" ht="19.5" customHeight="1" thickBot="1">
      <c r="A13" s="162"/>
      <c r="B13" s="719" t="str">
        <f>'PMS Import'!C14</f>
        <v>GULF ENERGY</v>
      </c>
      <c r="C13" s="615" t="str">
        <f>'PMS Import'!E14</f>
        <v>MT FRONT VEGA</v>
      </c>
      <c r="D13" s="720">
        <f>'PMS Import'!H14</f>
        <v>49941.457000000017</v>
      </c>
      <c r="E13" s="1106">
        <f>'PMS Import'!Q14</f>
        <v>88.719481140677829</v>
      </c>
      <c r="F13" s="721">
        <f t="shared" si="0"/>
        <v>45.603430000000003</v>
      </c>
      <c r="G13" s="868">
        <v>0</v>
      </c>
      <c r="H13" s="178">
        <v>0</v>
      </c>
      <c r="I13" s="178">
        <f>'PMS Import'!R14</f>
        <v>1.7169720195011786</v>
      </c>
      <c r="J13" s="178">
        <f>'PMS Import'!S14</f>
        <v>3.0047010341270632</v>
      </c>
      <c r="K13" s="178">
        <f t="shared" ref="K13:K14" si="6">SUM(E13:J13)</f>
        <v>139.04458419430608</v>
      </c>
      <c r="L13" s="722">
        <f t="shared" ref="L13:L14" si="7">(K13*D13)</f>
        <v>6944089.1226228196</v>
      </c>
      <c r="M13" s="723">
        <f>'PMS Import'!M14</f>
        <v>134.21306666666666</v>
      </c>
      <c r="N13" s="715"/>
      <c r="O13" s="715"/>
      <c r="P13" s="715"/>
      <c r="Q13" s="715"/>
    </row>
    <row r="14" spans="1:17" ht="19.5" customHeight="1">
      <c r="A14" s="162"/>
      <c r="B14" s="719" t="str">
        <f>'PMS Import'!C15</f>
        <v>GULF ENERGY</v>
      </c>
      <c r="C14" s="615" t="str">
        <f>'PMS Import'!E15</f>
        <v>MT CLEAROCEAN MESQUITE</v>
      </c>
      <c r="D14" s="720">
        <f>'PMS Import'!H15</f>
        <v>20556.674999999999</v>
      </c>
      <c r="E14" s="1106">
        <f>'PMS Import'!Q15</f>
        <v>91.133829186855351</v>
      </c>
      <c r="F14" s="721">
        <f t="shared" si="0"/>
        <v>45.603430000000003</v>
      </c>
      <c r="G14" s="868">
        <v>0</v>
      </c>
      <c r="H14" s="178">
        <v>0</v>
      </c>
      <c r="I14" s="178">
        <f>'PMS Import'!R15</f>
        <v>1.7639589041592771</v>
      </c>
      <c r="J14" s="178">
        <f>'PMS Import'!S15</f>
        <v>3.0869280822787353</v>
      </c>
      <c r="K14" s="178">
        <f t="shared" si="6"/>
        <v>141.58814617329335</v>
      </c>
      <c r="L14" s="722">
        <f t="shared" si="7"/>
        <v>2910581.504736885</v>
      </c>
      <c r="M14" s="723">
        <f>'PMS Import'!M15</f>
        <v>134.74599999999998</v>
      </c>
      <c r="N14" s="715"/>
      <c r="O14" s="715"/>
      <c r="P14" s="715"/>
      <c r="Q14" s="715"/>
    </row>
    <row r="15" spans="1:17" ht="16.5" customHeight="1">
      <c r="B15" s="724" t="s">
        <v>365</v>
      </c>
      <c r="C15" s="724" t="s">
        <v>830</v>
      </c>
      <c r="D15" s="725"/>
      <c r="E15" s="726"/>
      <c r="F15" s="727"/>
      <c r="G15" s="726"/>
      <c r="H15" s="726"/>
      <c r="I15" s="728"/>
      <c r="J15" s="728"/>
      <c r="K15" s="726"/>
      <c r="L15" s="1112">
        <f>N15*M10/1000</f>
        <v>4037.0365557374053</v>
      </c>
      <c r="M15" s="729"/>
      <c r="N15" s="985">
        <v>30380.185774275618</v>
      </c>
      <c r="O15" s="986"/>
      <c r="P15" s="986"/>
      <c r="Q15" s="952"/>
    </row>
    <row r="16" spans="1:17" ht="16.5" customHeight="1">
      <c r="B16" s="724" t="s">
        <v>365</v>
      </c>
      <c r="C16" s="724" t="s">
        <v>843</v>
      </c>
      <c r="D16" s="725"/>
      <c r="E16" s="726"/>
      <c r="F16" s="727"/>
      <c r="G16" s="726"/>
      <c r="H16" s="726"/>
      <c r="I16" s="728"/>
      <c r="J16" s="728"/>
      <c r="K16" s="726"/>
      <c r="L16" s="1112">
        <f>N16*M13/1000</f>
        <v>5586.4952729402867</v>
      </c>
      <c r="M16" s="729"/>
      <c r="N16" s="985">
        <v>41624.078874637293</v>
      </c>
      <c r="O16" s="986"/>
      <c r="P16" s="986"/>
      <c r="Q16" s="952"/>
    </row>
    <row r="17" spans="2:17" ht="16.5" customHeight="1">
      <c r="B17" s="724" t="s">
        <v>365</v>
      </c>
      <c r="C17" s="724" t="s">
        <v>846</v>
      </c>
      <c r="D17" s="725"/>
      <c r="E17" s="726"/>
      <c r="F17" s="727"/>
      <c r="G17" s="726"/>
      <c r="H17" s="726"/>
      <c r="I17" s="728"/>
      <c r="J17" s="728"/>
      <c r="K17" s="726"/>
      <c r="L17" s="1112">
        <f>N17*M14/1000</f>
        <v>4093.5356177909198</v>
      </c>
      <c r="M17" s="729"/>
      <c r="N17" s="985">
        <v>30379.644796809702</v>
      </c>
      <c r="O17" s="986"/>
      <c r="P17" s="986"/>
      <c r="Q17" s="952"/>
    </row>
    <row r="18" spans="2:17" ht="16.5" customHeight="1">
      <c r="B18" s="724" t="s">
        <v>365</v>
      </c>
      <c r="C18" s="724" t="s">
        <v>831</v>
      </c>
      <c r="D18" s="725"/>
      <c r="E18" s="726"/>
      <c r="F18" s="727"/>
      <c r="G18" s="726"/>
      <c r="H18" s="726"/>
      <c r="I18" s="728"/>
      <c r="J18" s="728"/>
      <c r="K18" s="726"/>
      <c r="L18" s="1112">
        <f>N18*M12/1000</f>
        <v>12823.565491422412</v>
      </c>
      <c r="M18" s="729"/>
      <c r="N18" s="985">
        <v>93434.07728115702</v>
      </c>
      <c r="O18" s="986"/>
      <c r="P18" s="986"/>
      <c r="Q18" s="952"/>
    </row>
    <row r="19" spans="2:17" ht="16.5" customHeight="1">
      <c r="B19" s="724" t="s">
        <v>365</v>
      </c>
      <c r="C19" s="724" t="s">
        <v>824</v>
      </c>
      <c r="D19" s="725"/>
      <c r="E19" s="726"/>
      <c r="F19" s="727"/>
      <c r="G19" s="726"/>
      <c r="H19" s="726"/>
      <c r="I19" s="728"/>
      <c r="J19" s="728"/>
      <c r="K19" s="726"/>
      <c r="L19" s="1112">
        <f>N19*M9/1000</f>
        <v>8640.0580734559971</v>
      </c>
      <c r="M19" s="729"/>
      <c r="N19" s="985">
        <v>62551.822630981449</v>
      </c>
      <c r="O19" s="986"/>
      <c r="P19" s="986"/>
      <c r="Q19" s="952"/>
    </row>
    <row r="20" spans="2:17" ht="16.5" customHeight="1">
      <c r="B20" s="724" t="s">
        <v>883</v>
      </c>
      <c r="C20" s="724" t="s">
        <v>819</v>
      </c>
      <c r="D20" s="725"/>
      <c r="E20" s="726"/>
      <c r="F20" s="727"/>
      <c r="G20" s="726"/>
      <c r="H20" s="726"/>
      <c r="I20" s="728"/>
      <c r="J20" s="728"/>
      <c r="K20" s="726"/>
      <c r="L20" s="1112">
        <f>N20*M20/1000</f>
        <v>6392.6370951423896</v>
      </c>
      <c r="M20" s="729">
        <v>130.44110000000001</v>
      </c>
      <c r="N20" s="985">
        <v>49007.844116174958</v>
      </c>
      <c r="O20" s="986"/>
      <c r="P20" s="986"/>
      <c r="Q20" s="952"/>
    </row>
    <row r="21" spans="2:17" ht="16.5" customHeight="1">
      <c r="B21" s="724" t="s">
        <v>884</v>
      </c>
      <c r="C21" s="724" t="s">
        <v>822</v>
      </c>
      <c r="D21" s="725"/>
      <c r="E21" s="726"/>
      <c r="F21" s="727"/>
      <c r="G21" s="726"/>
      <c r="H21" s="726"/>
      <c r="I21" s="728"/>
      <c r="J21" s="728"/>
      <c r="K21" s="726"/>
      <c r="L21" s="1112">
        <f t="shared" ref="L21:L28" si="8">N21*M21/1000</f>
        <v>6627.5169174972671</v>
      </c>
      <c r="M21" s="729">
        <v>131.62343333333334</v>
      </c>
      <c r="N21" s="985">
        <v>50352.104862006083</v>
      </c>
      <c r="O21" s="986"/>
      <c r="P21" s="986"/>
      <c r="Q21" s="952"/>
    </row>
    <row r="22" spans="2:17" ht="16.5" customHeight="1">
      <c r="B22" s="724" t="s">
        <v>885</v>
      </c>
      <c r="C22" s="724" t="s">
        <v>889</v>
      </c>
      <c r="D22" s="725"/>
      <c r="E22" s="726"/>
      <c r="F22" s="727"/>
      <c r="G22" s="726"/>
      <c r="H22" s="726"/>
      <c r="I22" s="728"/>
      <c r="J22" s="728"/>
      <c r="K22" s="726"/>
      <c r="L22" s="1112">
        <f t="shared" si="8"/>
        <v>33125.228271371241</v>
      </c>
      <c r="M22" s="729">
        <v>124.97611666666666</v>
      </c>
      <c r="N22" s="985">
        <v>265052.4688626873</v>
      </c>
      <c r="O22" s="986"/>
      <c r="P22" s="986"/>
      <c r="Q22" s="952"/>
    </row>
    <row r="23" spans="2:17" ht="16.5" customHeight="1">
      <c r="B23" s="724" t="s">
        <v>886</v>
      </c>
      <c r="C23" s="724" t="s">
        <v>818</v>
      </c>
      <c r="D23" s="725"/>
      <c r="E23" s="726"/>
      <c r="F23" s="727"/>
      <c r="G23" s="726"/>
      <c r="H23" s="726"/>
      <c r="I23" s="728"/>
      <c r="J23" s="728"/>
      <c r="K23" s="726"/>
      <c r="L23" s="1112">
        <f t="shared" si="8"/>
        <v>7416.0810539717686</v>
      </c>
      <c r="M23" s="729">
        <v>130.11506666666665</v>
      </c>
      <c r="N23" s="985">
        <v>56996.32828049457</v>
      </c>
      <c r="O23" s="986"/>
      <c r="P23" s="986"/>
      <c r="Q23" s="952"/>
    </row>
    <row r="24" spans="2:17" ht="16.5" customHeight="1">
      <c r="B24" s="724" t="s">
        <v>898</v>
      </c>
      <c r="C24" s="724" t="s">
        <v>843</v>
      </c>
      <c r="D24" s="725"/>
      <c r="E24" s="726"/>
      <c r="F24" s="727"/>
      <c r="G24" s="726"/>
      <c r="H24" s="726"/>
      <c r="I24" s="728"/>
      <c r="J24" s="728"/>
      <c r="K24" s="726"/>
      <c r="L24" s="1112">
        <f>N24*M24/1000</f>
        <v>4158.8353698555475</v>
      </c>
      <c r="M24" s="729">
        <f>M13</f>
        <v>134.21306666666666</v>
      </c>
      <c r="N24" s="985">
        <v>30986.8142733411</v>
      </c>
      <c r="O24" s="986"/>
      <c r="P24" s="986"/>
      <c r="Q24" s="952"/>
    </row>
    <row r="25" spans="2:17" ht="16.5" customHeight="1">
      <c r="B25" s="724" t="s">
        <v>898</v>
      </c>
      <c r="C25" s="724" t="s">
        <v>846</v>
      </c>
      <c r="D25" s="725"/>
      <c r="E25" s="726"/>
      <c r="F25" s="727"/>
      <c r="G25" s="726"/>
      <c r="H25" s="726"/>
      <c r="I25" s="728"/>
      <c r="J25" s="728"/>
      <c r="K25" s="726"/>
      <c r="L25" s="1112">
        <f t="shared" ref="L25:L26" si="9">N25*M25/1000</f>
        <v>3929.7941930792836</v>
      </c>
      <c r="M25" s="729">
        <f>M14</f>
        <v>134.74599999999998</v>
      </c>
      <c r="N25" s="985">
        <v>29164.459004937318</v>
      </c>
      <c r="O25" s="986"/>
      <c r="P25" s="986"/>
      <c r="Q25" s="952"/>
    </row>
    <row r="26" spans="2:17" ht="16.5" customHeight="1">
      <c r="B26" s="724" t="s">
        <v>899</v>
      </c>
      <c r="C26" s="724" t="s">
        <v>818</v>
      </c>
      <c r="D26" s="725"/>
      <c r="E26" s="726"/>
      <c r="F26" s="727"/>
      <c r="G26" s="726"/>
      <c r="H26" s="726"/>
      <c r="I26" s="728"/>
      <c r="J26" s="728"/>
      <c r="K26" s="726"/>
      <c r="L26" s="1112">
        <f t="shared" si="9"/>
        <v>3376.1575402322665</v>
      </c>
      <c r="M26" s="729">
        <v>131.83306666666667</v>
      </c>
      <c r="N26" s="985">
        <v>25609.337820902794</v>
      </c>
      <c r="O26" s="986"/>
      <c r="P26" s="986"/>
      <c r="Q26" s="952"/>
    </row>
    <row r="27" spans="2:17" ht="16.5" customHeight="1">
      <c r="B27" s="724" t="s">
        <v>887</v>
      </c>
      <c r="C27" s="724" t="s">
        <v>889</v>
      </c>
      <c r="D27" s="725"/>
      <c r="E27" s="726"/>
      <c r="F27" s="727"/>
      <c r="G27" s="726"/>
      <c r="H27" s="726"/>
      <c r="I27" s="728"/>
      <c r="J27" s="728"/>
      <c r="K27" s="726"/>
      <c r="L27" s="1112">
        <f t="shared" si="8"/>
        <v>39154.882377460657</v>
      </c>
      <c r="M27" s="729">
        <v>124.97611666666666</v>
      </c>
      <c r="N27" s="985">
        <v>313298.92</v>
      </c>
      <c r="O27" s="986"/>
      <c r="P27" s="986"/>
      <c r="Q27" s="952"/>
    </row>
    <row r="28" spans="2:17" ht="16.5" customHeight="1">
      <c r="B28" s="724" t="s">
        <v>888</v>
      </c>
      <c r="C28" s="724" t="s">
        <v>813</v>
      </c>
      <c r="D28" s="725"/>
      <c r="E28" s="726"/>
      <c r="F28" s="727"/>
      <c r="G28" s="726"/>
      <c r="H28" s="726"/>
      <c r="I28" s="728"/>
      <c r="J28" s="728"/>
      <c r="K28" s="726"/>
      <c r="L28" s="1112">
        <f t="shared" si="8"/>
        <v>20770.953001807</v>
      </c>
      <c r="M28" s="729">
        <v>128.00030000000001</v>
      </c>
      <c r="N28" s="985">
        <v>162272.69</v>
      </c>
      <c r="O28" s="986"/>
      <c r="P28" s="986"/>
      <c r="Q28" s="952"/>
    </row>
    <row r="29" spans="2:17">
      <c r="B29" s="730"/>
      <c r="C29" s="731"/>
      <c r="D29" s="1060">
        <f>SUM(D9:D14)</f>
        <v>160057.524</v>
      </c>
      <c r="E29" s="732">
        <f>((D9*E9)+(D10*E10)+(D11*E11)+(D12*E12)+(D13*E13)+(D14*E14))/D29</f>
        <v>89.519020681691345</v>
      </c>
      <c r="F29" s="717"/>
      <c r="G29" s="181"/>
      <c r="H29" s="181"/>
      <c r="I29" s="181"/>
      <c r="J29" s="181"/>
      <c r="K29" s="181"/>
      <c r="L29" s="733">
        <f>SUM(L9:L28)</f>
        <v>22550512.232855931</v>
      </c>
      <c r="M29" s="729"/>
    </row>
    <row r="30" spans="2:17">
      <c r="B30" s="730"/>
      <c r="C30" s="731"/>
      <c r="D30" s="734"/>
      <c r="E30" s="181"/>
      <c r="F30" s="717"/>
      <c r="G30" s="181"/>
      <c r="H30" s="181"/>
      <c r="I30" s="181"/>
      <c r="J30" s="181"/>
      <c r="K30" s="181"/>
      <c r="L30" s="733"/>
      <c r="M30" s="729"/>
    </row>
    <row r="31" spans="2:17" ht="16.5" customHeight="1">
      <c r="B31" s="730"/>
      <c r="C31" s="731"/>
      <c r="D31" s="734"/>
      <c r="E31" s="181"/>
      <c r="F31" s="717"/>
      <c r="G31" s="181"/>
      <c r="H31" s="181"/>
      <c r="I31" s="181"/>
      <c r="J31" s="181"/>
      <c r="K31" s="181"/>
      <c r="L31" s="733"/>
      <c r="M31" s="1143">
        <f>SUM(L15:L28)/D29</f>
        <v>1.0004701611638354</v>
      </c>
      <c r="N31" s="210">
        <f>SUM(L20:L28)/D29</f>
        <v>0.78066986604401933</v>
      </c>
    </row>
    <row r="32" spans="2:17" ht="15" thickBot="1">
      <c r="B32" s="730"/>
      <c r="C32" s="731"/>
      <c r="D32" s="735"/>
      <c r="E32" s="736"/>
      <c r="F32" s="737"/>
      <c r="G32" s="736"/>
      <c r="H32" s="736"/>
      <c r="I32" s="736"/>
      <c r="J32" s="736"/>
      <c r="K32" s="736"/>
      <c r="L32" s="738"/>
      <c r="N32" s="162"/>
    </row>
    <row r="33" spans="2:14" ht="15" thickBot="1">
      <c r="B33" s="730"/>
      <c r="C33" s="739"/>
      <c r="D33" s="740" t="s">
        <v>4</v>
      </c>
      <c r="E33" s="741" t="s">
        <v>5</v>
      </c>
      <c r="F33" s="742"/>
      <c r="G33" s="741"/>
      <c r="H33" s="741"/>
      <c r="I33" s="741"/>
      <c r="J33" s="741"/>
      <c r="K33" s="741"/>
      <c r="L33" s="743" t="s">
        <v>361</v>
      </c>
    </row>
    <row r="34" spans="2:14" ht="15" thickBot="1">
      <c r="B34" s="744" t="s">
        <v>18</v>
      </c>
      <c r="C34" s="745" t="s">
        <v>14</v>
      </c>
      <c r="D34" s="746"/>
      <c r="E34" s="203"/>
      <c r="F34" s="747"/>
      <c r="G34" s="203"/>
      <c r="H34" s="203"/>
      <c r="I34" s="748"/>
      <c r="J34" s="748"/>
      <c r="K34" s="749"/>
      <c r="L34" s="750" t="s">
        <v>363</v>
      </c>
    </row>
    <row r="35" spans="2:14" ht="15" thickBot="1">
      <c r="B35" s="366"/>
      <c r="C35" s="366"/>
      <c r="D35" s="751"/>
      <c r="E35" s="181"/>
      <c r="F35" s="717"/>
      <c r="G35" s="181"/>
      <c r="H35" s="181"/>
      <c r="I35" s="181"/>
      <c r="J35" s="181"/>
      <c r="K35" s="181"/>
      <c r="L35" s="718"/>
    </row>
    <row r="36" spans="2:14" ht="15.75" customHeight="1" thickBot="1">
      <c r="B36" s="752"/>
      <c r="C36" s="366"/>
      <c r="D36" s="753"/>
      <c r="E36" s="754"/>
      <c r="F36" s="717"/>
      <c r="G36" s="755"/>
      <c r="H36" s="756"/>
      <c r="I36" s="756"/>
      <c r="J36" s="756"/>
      <c r="K36" s="756"/>
      <c r="L36" s="718"/>
    </row>
    <row r="37" spans="2:14" ht="15" thickBot="1">
      <c r="B37" s="757"/>
      <c r="C37" s="366"/>
      <c r="D37" s="734"/>
      <c r="E37" s="180"/>
      <c r="F37" s="717"/>
      <c r="G37" s="181"/>
      <c r="H37" s="181"/>
      <c r="I37" s="181"/>
      <c r="J37" s="181"/>
      <c r="K37" s="181"/>
      <c r="L37" s="733"/>
      <c r="N37" s="758"/>
    </row>
    <row r="38" spans="2:14" ht="15" thickBot="1">
      <c r="B38" s="440" t="s">
        <v>11</v>
      </c>
      <c r="C38" s="487"/>
      <c r="D38" s="759"/>
      <c r="E38" s="760"/>
      <c r="F38" s="761"/>
      <c r="G38" s="760"/>
      <c r="H38" s="760"/>
      <c r="I38" s="760"/>
      <c r="J38" s="760"/>
      <c r="K38" s="760"/>
      <c r="L38" s="762">
        <f>L37+L29</f>
        <v>22550512.232855931</v>
      </c>
      <c r="N38" s="758"/>
    </row>
    <row r="39" spans="2:14" ht="15" thickBot="1">
      <c r="B39" s="686" t="s">
        <v>34</v>
      </c>
      <c r="C39" s="366"/>
      <c r="D39" s="763">
        <f>D29+D37</f>
        <v>160057.524</v>
      </c>
      <c r="E39" s="764">
        <f>((D29*E29)+(D37*E37))/D39</f>
        <v>89.519020681691345</v>
      </c>
      <c r="F39" s="717"/>
      <c r="G39" s="181"/>
      <c r="H39" s="181"/>
      <c r="I39" s="181"/>
      <c r="J39" s="181"/>
      <c r="K39" s="181"/>
      <c r="L39" s="765">
        <f>D29+D37</f>
        <v>160057.524</v>
      </c>
      <c r="N39" s="758"/>
    </row>
    <row r="40" spans="2:14" ht="15" thickBot="1">
      <c r="B40" s="487"/>
      <c r="C40" s="487"/>
      <c r="D40" s="486"/>
      <c r="E40" s="766"/>
      <c r="F40" s="767"/>
      <c r="G40" s="412"/>
      <c r="H40" s="412"/>
      <c r="I40" s="412"/>
      <c r="J40" s="412"/>
      <c r="K40" s="412"/>
      <c r="L40" s="768">
        <f>L38/L39</f>
        <v>140.89004796085644</v>
      </c>
    </row>
    <row r="41" spans="2:14">
      <c r="D41" s="210"/>
      <c r="E41" s="210"/>
    </row>
    <row r="42" spans="2:14" ht="27" customHeight="1"/>
    <row r="43" spans="2:14">
      <c r="B43" s="704" t="str">
        <f>B2</f>
        <v>WEIGHTED AVERAGE COST ( Cu)  FOR THE MONTH OF FEBRUARY 2023(KES/L)</v>
      </c>
      <c r="C43" s="170"/>
    </row>
    <row r="44" spans="2:14" ht="36.75" customHeight="1" thickBot="1"/>
    <row r="45" spans="2:14" ht="15" thickBot="1">
      <c r="B45" s="1183" t="s">
        <v>16</v>
      </c>
      <c r="C45" s="1184"/>
      <c r="D45" s="1184"/>
      <c r="E45" s="1184"/>
      <c r="F45" s="1184"/>
      <c r="G45" s="1184"/>
      <c r="H45" s="1184"/>
      <c r="I45" s="1184"/>
      <c r="J45" s="1184"/>
      <c r="K45" s="1184"/>
      <c r="L45" s="1185"/>
      <c r="M45" s="171"/>
    </row>
    <row r="46" spans="2:14">
      <c r="B46" s="404" t="s">
        <v>13</v>
      </c>
      <c r="C46" s="404"/>
      <c r="D46" s="769" t="s">
        <v>4</v>
      </c>
      <c r="E46" s="741" t="s">
        <v>5</v>
      </c>
      <c r="F46" s="742" t="s">
        <v>6</v>
      </c>
      <c r="G46" s="741" t="s">
        <v>7</v>
      </c>
      <c r="H46" s="741" t="s">
        <v>8</v>
      </c>
      <c r="I46" s="741" t="s">
        <v>9</v>
      </c>
      <c r="J46" s="741" t="s">
        <v>10</v>
      </c>
      <c r="K46" s="741" t="s">
        <v>221</v>
      </c>
      <c r="L46" s="743" t="s">
        <v>361</v>
      </c>
      <c r="M46" s="171"/>
    </row>
    <row r="47" spans="2:14" ht="15" thickBot="1">
      <c r="B47" s="770" t="s">
        <v>12</v>
      </c>
      <c r="C47" s="771" t="s">
        <v>14</v>
      </c>
      <c r="D47" s="234"/>
      <c r="E47" s="196"/>
      <c r="F47" s="772"/>
      <c r="G47" s="196"/>
      <c r="H47" s="196"/>
      <c r="I47" s="773" t="s">
        <v>220</v>
      </c>
      <c r="J47" s="773" t="s">
        <v>359</v>
      </c>
      <c r="K47" s="312" t="s">
        <v>362</v>
      </c>
      <c r="L47" s="314" t="s">
        <v>33</v>
      </c>
      <c r="M47" s="171"/>
    </row>
    <row r="48" spans="2:14" ht="18" customHeight="1" thickBot="1">
      <c r="B48" s="774"/>
      <c r="C48" s="205"/>
      <c r="D48" s="775" t="s">
        <v>538</v>
      </c>
      <c r="E48" s="776" t="s">
        <v>134</v>
      </c>
      <c r="F48" s="777" t="s">
        <v>134</v>
      </c>
      <c r="G48" s="776" t="s">
        <v>134</v>
      </c>
      <c r="H48" s="776" t="s">
        <v>134</v>
      </c>
      <c r="I48" s="776" t="s">
        <v>134</v>
      </c>
      <c r="J48" s="776" t="s">
        <v>134</v>
      </c>
      <c r="K48" s="776" t="s">
        <v>134</v>
      </c>
      <c r="L48" s="750" t="s">
        <v>133</v>
      </c>
      <c r="M48" s="409"/>
    </row>
    <row r="49" spans="1:17" ht="18.75" customHeight="1" thickBot="1">
      <c r="A49" s="162"/>
      <c r="B49" s="716">
        <f>B8</f>
        <v>44986</v>
      </c>
      <c r="C49" s="730"/>
      <c r="D49" s="181"/>
      <c r="E49" s="181"/>
      <c r="F49" s="717"/>
      <c r="G49" s="181"/>
      <c r="H49" s="181"/>
      <c r="I49" s="181"/>
      <c r="J49" s="181"/>
      <c r="K49" s="181"/>
      <c r="L49" s="778"/>
    </row>
    <row r="50" spans="1:17" ht="18" customHeight="1" thickBot="1">
      <c r="A50" s="162"/>
      <c r="B50" s="719" t="str">
        <f>'AGO Import'!C10</f>
        <v>TEXAS</v>
      </c>
      <c r="C50" s="615" t="str">
        <f>'AGO Import'!E10</f>
        <v>MT SEALEGEND</v>
      </c>
      <c r="D50" s="779">
        <f>'AGO Import'!H10</f>
        <v>61592.219999999979</v>
      </c>
      <c r="E50" s="202">
        <f>'AGO Import'!Q10</f>
        <v>104.47870118414836</v>
      </c>
      <c r="F50" s="721">
        <f t="shared" ref="F50:F55" si="10">22.825+6+0.13+0.531+5+0.53528</f>
        <v>35.021279999999997</v>
      </c>
      <c r="G50" s="178">
        <v>0</v>
      </c>
      <c r="H50" s="178">
        <v>0</v>
      </c>
      <c r="I50" s="178">
        <f>'AGO Import'!R10</f>
        <v>2.0244403021736797</v>
      </c>
      <c r="J50" s="178">
        <f>'AGO Import'!S10</f>
        <v>3.5427705288039393</v>
      </c>
      <c r="K50" s="178">
        <f>SUM(E50:J50)</f>
        <v>145.06719201512598</v>
      </c>
      <c r="L50" s="780">
        <f>K50*D50</f>
        <v>8935010.4053778797</v>
      </c>
      <c r="M50" s="703">
        <f>'AGO Import'!M10</f>
        <v>133.11960000000002</v>
      </c>
      <c r="N50" s="1186" t="s">
        <v>395</v>
      </c>
      <c r="O50" s="1180" t="s">
        <v>392</v>
      </c>
      <c r="P50" s="1180" t="s">
        <v>393</v>
      </c>
      <c r="Q50" s="1188" t="s">
        <v>394</v>
      </c>
    </row>
    <row r="51" spans="1:17" ht="18" customHeight="1" thickBot="1">
      <c r="A51" s="162"/>
      <c r="B51" s="719" t="str">
        <f>'AGO Import'!C11</f>
        <v>ORYX ENERGIES</v>
      </c>
      <c r="C51" s="615" t="str">
        <f>'AGO Import'!E11</f>
        <v>MT STI LOTUS</v>
      </c>
      <c r="D51" s="779">
        <f>'AGO Import'!H11</f>
        <v>61204.291999999979</v>
      </c>
      <c r="E51" s="202">
        <f>'AGO Import'!Q11</f>
        <v>101.62492265566685</v>
      </c>
      <c r="F51" s="721">
        <f t="shared" si="10"/>
        <v>35.021279999999997</v>
      </c>
      <c r="G51" s="178">
        <v>0</v>
      </c>
      <c r="H51" s="178">
        <v>0</v>
      </c>
      <c r="I51" s="178">
        <f>'AGO Import'!R11</f>
        <v>1.9685341063219042</v>
      </c>
      <c r="J51" s="178">
        <f>'AGO Import'!S11</f>
        <v>3.4449346860633328</v>
      </c>
      <c r="K51" s="178">
        <f t="shared" ref="K51" si="11">SUM(E51:J51)</f>
        <v>142.05967144805209</v>
      </c>
      <c r="L51" s="780">
        <f t="shared" ref="L51" si="12">K51*D51</f>
        <v>8694661.6127306391</v>
      </c>
      <c r="M51" s="703">
        <f>'AGO Import'!M11</f>
        <v>137.24719999999999</v>
      </c>
      <c r="N51" s="1187"/>
      <c r="O51" s="1181"/>
      <c r="P51" s="1181"/>
      <c r="Q51" s="1189"/>
    </row>
    <row r="52" spans="1:17" ht="18" customHeight="1" thickBot="1">
      <c r="A52" s="162"/>
      <c r="B52" s="719" t="str">
        <f>'AGO Import'!C12</f>
        <v>E3 ENERGY</v>
      </c>
      <c r="C52" s="615" t="str">
        <f>'AGO Import'!E12</f>
        <v>MT SERENGETI-VTTI</v>
      </c>
      <c r="D52" s="779">
        <f>'AGO Import'!H12</f>
        <v>28949.991000000002</v>
      </c>
      <c r="E52" s="202">
        <f>'AGO Import'!Q12</f>
        <v>99.999834750951578</v>
      </c>
      <c r="F52" s="721">
        <f t="shared" si="10"/>
        <v>35.021279999999997</v>
      </c>
      <c r="G52" s="178">
        <v>0</v>
      </c>
      <c r="H52" s="178">
        <v>0</v>
      </c>
      <c r="I52" s="178">
        <f>'AGO Import'!R12</f>
        <v>1.9466007174470907</v>
      </c>
      <c r="J52" s="178">
        <f>'AGO Import'!S12</f>
        <v>3.4065512555324089</v>
      </c>
      <c r="K52" s="178">
        <f t="shared" ref="K52:K53" si="13">SUM(E52:J52)</f>
        <v>140.37426672393107</v>
      </c>
      <c r="L52" s="780">
        <f t="shared" ref="L52:L53" si="14">K52*D52</f>
        <v>4063833.7582894042</v>
      </c>
      <c r="M52" s="703">
        <f>'AGO Import'!M12</f>
        <v>135.62893333333332</v>
      </c>
      <c r="N52" s="1014"/>
      <c r="O52" s="1014"/>
      <c r="P52" s="1014"/>
      <c r="Q52" s="1014"/>
    </row>
    <row r="53" spans="1:17" ht="18" customHeight="1" thickBot="1">
      <c r="A53" s="162"/>
      <c r="B53" s="719" t="str">
        <f>'AGO Import'!C13</f>
        <v>E3 ENERGY</v>
      </c>
      <c r="C53" s="615" t="str">
        <f>'AGO Import'!E13</f>
        <v>MT SERENGETI-KOSF</v>
      </c>
      <c r="D53" s="779">
        <f>'AGO Import'!H13</f>
        <v>19278.644</v>
      </c>
      <c r="E53" s="202">
        <f>'AGO Import'!Q13</f>
        <v>100.48948130137403</v>
      </c>
      <c r="F53" s="721">
        <f t="shared" si="10"/>
        <v>35.021279999999997</v>
      </c>
      <c r="G53" s="178">
        <v>0</v>
      </c>
      <c r="H53" s="178">
        <v>0</v>
      </c>
      <c r="I53" s="178">
        <f>'AGO Import'!R13</f>
        <v>1.9460727744856809</v>
      </c>
      <c r="J53" s="178">
        <f>'AGO Import'!S13</f>
        <v>3.4056273553499419</v>
      </c>
      <c r="K53" s="178">
        <f t="shared" si="13"/>
        <v>140.86246143120965</v>
      </c>
      <c r="L53" s="780">
        <f t="shared" si="14"/>
        <v>2715637.2468960215</v>
      </c>
      <c r="M53" s="703">
        <f>'AGO Import'!M13</f>
        <v>135.62893333333332</v>
      </c>
      <c r="N53" s="1014"/>
      <c r="O53" s="1014"/>
      <c r="P53" s="1014"/>
      <c r="Q53" s="1014"/>
    </row>
    <row r="54" spans="1:17" ht="18" customHeight="1" thickBot="1">
      <c r="A54" s="162"/>
      <c r="B54" s="719" t="str">
        <f>'AGO Import'!C14</f>
        <v>E3 ENERGY</v>
      </c>
      <c r="C54" s="615" t="str">
        <f>'AGO Import'!E14</f>
        <v>MT PIS POLARIS</v>
      </c>
      <c r="D54" s="779">
        <f>'AGO Import'!H14</f>
        <v>17817.316999999999</v>
      </c>
      <c r="E54" s="202">
        <f>'AGO Import'!Q14</f>
        <v>106.85125869928827</v>
      </c>
      <c r="F54" s="721">
        <f t="shared" si="10"/>
        <v>35.021279999999997</v>
      </c>
      <c r="G54" s="178">
        <v>0</v>
      </c>
      <c r="H54" s="178">
        <v>0</v>
      </c>
      <c r="I54" s="178">
        <f>'AGO Import'!R14</f>
        <v>2.0803747424051426</v>
      </c>
      <c r="J54" s="178">
        <f>'AGO Import'!S14</f>
        <v>3.6406557992090005</v>
      </c>
      <c r="K54" s="178">
        <f t="shared" ref="K54:K55" si="15">SUM(E54:J54)</f>
        <v>147.59356924090244</v>
      </c>
      <c r="L54" s="780">
        <f t="shared" ref="L54:L55" si="16">K54*D54</f>
        <v>2629721.410326608</v>
      </c>
      <c r="M54" s="703">
        <f>'AGO Import'!M14</f>
        <v>133.18866666666668</v>
      </c>
      <c r="N54" s="1014"/>
      <c r="O54" s="1014"/>
      <c r="P54" s="1014"/>
      <c r="Q54" s="1014"/>
    </row>
    <row r="55" spans="1:17" ht="18" customHeight="1">
      <c r="A55" s="162"/>
      <c r="B55" s="719" t="str">
        <f>'AGO Import'!C15</f>
        <v>E3 ENERGY</v>
      </c>
      <c r="C55" s="615" t="str">
        <f>'AGO Import'!E15</f>
        <v>MT PHILOXENIA</v>
      </c>
      <c r="D55" s="779">
        <f>'AGO Import'!H15</f>
        <v>19669.679999999997</v>
      </c>
      <c r="E55" s="202">
        <f>'AGO Import'!Q15</f>
        <v>103.70697805467665</v>
      </c>
      <c r="F55" s="721">
        <f t="shared" si="10"/>
        <v>35.021279999999997</v>
      </c>
      <c r="G55" s="178">
        <v>0</v>
      </c>
      <c r="H55" s="178">
        <v>0</v>
      </c>
      <c r="I55" s="178">
        <f>'AGO Import'!R15</f>
        <v>2.0199068716375908</v>
      </c>
      <c r="J55" s="178">
        <f>'AGO Import'!S15</f>
        <v>3.5348370253657833</v>
      </c>
      <c r="K55" s="178">
        <f t="shared" si="15"/>
        <v>144.28300195168003</v>
      </c>
      <c r="L55" s="780">
        <f t="shared" si="16"/>
        <v>2838000.4778289213</v>
      </c>
      <c r="M55" s="703">
        <f>'AGO Import'!M15</f>
        <v>137.24719999999999</v>
      </c>
      <c r="N55" s="1014"/>
      <c r="O55" s="1014"/>
      <c r="P55" s="1014"/>
      <c r="Q55" s="1014"/>
    </row>
    <row r="56" spans="1:17" ht="16.5" customHeight="1">
      <c r="A56" s="162"/>
      <c r="B56" s="724" t="s">
        <v>365</v>
      </c>
      <c r="C56" s="724" t="s">
        <v>830</v>
      </c>
      <c r="D56" s="726"/>
      <c r="E56" s="726"/>
      <c r="F56" s="727"/>
      <c r="G56" s="728"/>
      <c r="H56" s="726"/>
      <c r="I56" s="726"/>
      <c r="J56" s="726"/>
      <c r="K56" s="726"/>
      <c r="L56" s="726">
        <f>N56*M54/1000</f>
        <v>4732.9210328820591</v>
      </c>
      <c r="N56" s="193">
        <v>35535.463724756803</v>
      </c>
      <c r="O56" s="1110"/>
      <c r="P56" s="1058"/>
      <c r="Q56" s="942"/>
    </row>
    <row r="57" spans="1:17">
      <c r="B57" s="724" t="s">
        <v>365</v>
      </c>
      <c r="C57" s="724" t="s">
        <v>840</v>
      </c>
      <c r="D57" s="726"/>
      <c r="E57" s="726"/>
      <c r="F57" s="727"/>
      <c r="G57" s="728"/>
      <c r="H57" s="726"/>
      <c r="I57" s="726"/>
      <c r="J57" s="726"/>
      <c r="K57" s="726"/>
      <c r="L57" s="726">
        <f>N57*M50/1000</f>
        <v>3332.6826299638969</v>
      </c>
      <c r="N57" s="193">
        <v>25035.251232454852</v>
      </c>
      <c r="O57" s="1110"/>
      <c r="P57" s="1059"/>
      <c r="Q57" s="942"/>
    </row>
    <row r="58" spans="1:17">
      <c r="B58" s="724" t="s">
        <v>365</v>
      </c>
      <c r="C58" s="724" t="s">
        <v>852</v>
      </c>
      <c r="D58" s="726"/>
      <c r="E58" s="726"/>
      <c r="F58" s="727"/>
      <c r="G58" s="728"/>
      <c r="H58" s="726"/>
      <c r="I58" s="726"/>
      <c r="J58" s="726"/>
      <c r="K58" s="726"/>
      <c r="L58" s="726">
        <f>N58*M52/1000</f>
        <v>11538.082015153937</v>
      </c>
      <c r="N58" s="193">
        <v>85070.948591750363</v>
      </c>
      <c r="O58" s="1110"/>
      <c r="P58" s="1059"/>
      <c r="Q58" s="942"/>
    </row>
    <row r="59" spans="1:17">
      <c r="B59" s="724" t="s">
        <v>365</v>
      </c>
      <c r="C59" s="724" t="s">
        <v>831</v>
      </c>
      <c r="D59" s="726"/>
      <c r="E59" s="726"/>
      <c r="F59" s="727"/>
      <c r="G59" s="728"/>
      <c r="H59" s="726"/>
      <c r="I59" s="726"/>
      <c r="J59" s="726"/>
      <c r="K59" s="726"/>
      <c r="L59" s="726">
        <f>N59*M55/1000</f>
        <v>12847.3326871462</v>
      </c>
      <c r="N59" s="193">
        <v>93607.247995924146</v>
      </c>
      <c r="O59" s="1110"/>
      <c r="P59" s="310"/>
      <c r="Q59" s="952"/>
    </row>
    <row r="60" spans="1:17">
      <c r="B60" s="724" t="s">
        <v>365</v>
      </c>
      <c r="C60" s="724" t="s">
        <v>850</v>
      </c>
      <c r="D60" s="726"/>
      <c r="E60" s="726"/>
      <c r="F60" s="727"/>
      <c r="G60" s="728"/>
      <c r="H60" s="726"/>
      <c r="I60" s="726"/>
      <c r="J60" s="726"/>
      <c r="K60" s="726"/>
      <c r="L60" s="726">
        <f>N60*M51/1000</f>
        <v>14379.758841449122</v>
      </c>
      <c r="N60" s="193">
        <v>104772.69366113935</v>
      </c>
      <c r="O60" s="1110"/>
      <c r="P60" s="310"/>
      <c r="Q60" s="952"/>
    </row>
    <row r="61" spans="1:17">
      <c r="B61" s="724" t="s">
        <v>890</v>
      </c>
      <c r="C61" s="724" t="s">
        <v>823</v>
      </c>
      <c r="D61" s="726"/>
      <c r="E61" s="726"/>
      <c r="F61" s="727"/>
      <c r="G61" s="728"/>
      <c r="H61" s="726"/>
      <c r="I61" s="726"/>
      <c r="J61" s="726"/>
      <c r="K61" s="726"/>
      <c r="L61" s="726">
        <f>N61*M61/1000</f>
        <v>1851.4892670235536</v>
      </c>
      <c r="M61" s="703">
        <v>131.62343333333334</v>
      </c>
      <c r="N61" s="193">
        <v>14066.562618334832</v>
      </c>
      <c r="O61" s="1162"/>
      <c r="P61" s="310"/>
      <c r="Q61" s="952"/>
    </row>
    <row r="62" spans="1:17">
      <c r="B62" s="724" t="s">
        <v>891</v>
      </c>
      <c r="C62" s="724" t="s">
        <v>824</v>
      </c>
      <c r="D62" s="726"/>
      <c r="E62" s="726"/>
      <c r="F62" s="727"/>
      <c r="G62" s="728"/>
      <c r="H62" s="726"/>
      <c r="I62" s="726"/>
      <c r="J62" s="726"/>
      <c r="K62" s="726"/>
      <c r="L62" s="726">
        <f>N62*M62/1000</f>
        <v>10172.84827910021</v>
      </c>
      <c r="M62" s="703">
        <v>131.37946666666667</v>
      </c>
      <c r="N62" s="193">
        <v>77431.036502154137</v>
      </c>
      <c r="O62" s="1162"/>
      <c r="P62" s="310"/>
      <c r="Q62" s="952"/>
    </row>
    <row r="63" spans="1:17">
      <c r="B63" s="724" t="s">
        <v>900</v>
      </c>
      <c r="C63" s="724" t="s">
        <v>815</v>
      </c>
      <c r="D63" s="726"/>
      <c r="E63" s="726"/>
      <c r="F63" s="727"/>
      <c r="G63" s="728"/>
      <c r="H63" s="726"/>
      <c r="I63" s="726"/>
      <c r="J63" s="726"/>
      <c r="K63" s="726"/>
      <c r="L63" s="726">
        <f>N63*M63/1000</f>
        <v>7485.2615063229277</v>
      </c>
      <c r="M63" s="703">
        <v>131.10713333333334</v>
      </c>
      <c r="N63" s="193">
        <v>57092.709725351284</v>
      </c>
      <c r="O63" s="1162"/>
      <c r="P63" s="310"/>
      <c r="Q63" s="952"/>
    </row>
    <row r="64" spans="1:17">
      <c r="B64" s="724" t="s">
        <v>905</v>
      </c>
      <c r="C64" s="724" t="s">
        <v>819</v>
      </c>
      <c r="D64" s="726"/>
      <c r="E64" s="726"/>
      <c r="F64" s="727"/>
      <c r="G64" s="728"/>
      <c r="H64" s="726"/>
      <c r="I64" s="726"/>
      <c r="J64" s="726"/>
      <c r="K64" s="726"/>
      <c r="L64" s="726">
        <f>N64*M64/1000</f>
        <v>7967.2496155853678</v>
      </c>
      <c r="M64" s="703">
        <v>130.8647</v>
      </c>
      <c r="N64" s="193">
        <v>60881.579337937335</v>
      </c>
      <c r="O64" s="1162"/>
      <c r="P64" s="310"/>
      <c r="Q64" s="952"/>
    </row>
    <row r="65" spans="2:18">
      <c r="B65" s="731"/>
      <c r="C65" s="730"/>
      <c r="D65" s="781">
        <f>SUM(D50:D55)</f>
        <v>208512.14399999997</v>
      </c>
      <c r="E65" s="732">
        <f>((D50*E50)+(D51*E51)+(D52*E52)+(D53*E53)+(D54*E54)+(D55*E55))/D65</f>
        <v>102.78028535995151</v>
      </c>
      <c r="F65" s="717"/>
      <c r="G65" s="181"/>
      <c r="H65" s="181"/>
      <c r="I65" s="181"/>
      <c r="J65" s="181"/>
      <c r="K65" s="181"/>
      <c r="L65" s="782">
        <f>SUM(L50:L64)</f>
        <v>29951172.537324097</v>
      </c>
      <c r="M65" s="159"/>
      <c r="N65" s="193"/>
      <c r="P65" s="1059"/>
      <c r="Q65" s="942"/>
    </row>
    <row r="66" spans="2:18">
      <c r="B66" s="731"/>
      <c r="C66" s="730"/>
      <c r="D66" s="781"/>
      <c r="E66" s="732"/>
      <c r="F66" s="717"/>
      <c r="G66" s="181"/>
      <c r="H66" s="181"/>
      <c r="I66" s="181"/>
      <c r="J66" s="181"/>
      <c r="K66" s="181"/>
      <c r="L66" s="782"/>
      <c r="M66" s="1143">
        <f>SUM(L56:L64)/D65</f>
        <v>0.35637073433299543</v>
      </c>
      <c r="O66" s="171"/>
      <c r="R66" s="171"/>
    </row>
    <row r="67" spans="2:18">
      <c r="B67" s="731"/>
      <c r="C67" s="730"/>
      <c r="D67" s="781"/>
      <c r="E67" s="732"/>
      <c r="F67" s="717"/>
      <c r="G67" s="181"/>
      <c r="H67" s="181"/>
      <c r="I67" s="181"/>
      <c r="J67" s="181"/>
      <c r="K67" s="181"/>
      <c r="L67" s="782"/>
      <c r="N67" s="181">
        <f>SUM(L61:L63)/D65</f>
        <v>9.356576877578264E-2</v>
      </c>
      <c r="O67" s="171"/>
      <c r="P67" s="210"/>
      <c r="R67" s="171"/>
    </row>
    <row r="68" spans="2:18">
      <c r="B68" s="731"/>
      <c r="C68" s="730"/>
      <c r="D68" s="781"/>
      <c r="E68" s="732"/>
      <c r="F68" s="717"/>
      <c r="G68" s="181"/>
      <c r="H68" s="181"/>
      <c r="I68" s="181"/>
      <c r="J68" s="181"/>
      <c r="K68" s="181"/>
      <c r="L68" s="782"/>
      <c r="N68" s="215"/>
      <c r="O68" s="171"/>
      <c r="P68" s="215"/>
      <c r="R68" s="171"/>
    </row>
    <row r="69" spans="2:18">
      <c r="B69" s="731"/>
      <c r="C69" s="783"/>
      <c r="D69" s="784" t="s">
        <v>4</v>
      </c>
      <c r="E69" s="313" t="s">
        <v>5</v>
      </c>
      <c r="F69" s="785" t="s">
        <v>6</v>
      </c>
      <c r="G69" s="313" t="s">
        <v>7</v>
      </c>
      <c r="H69" s="313" t="s">
        <v>8</v>
      </c>
      <c r="I69" s="313" t="s">
        <v>9</v>
      </c>
      <c r="J69" s="313" t="s">
        <v>10</v>
      </c>
      <c r="K69" s="313" t="s">
        <v>221</v>
      </c>
      <c r="L69" s="314" t="s">
        <v>361</v>
      </c>
      <c r="N69" s="210"/>
      <c r="O69" s="162"/>
      <c r="P69" s="162"/>
      <c r="R69" s="171"/>
    </row>
    <row r="70" spans="2:18">
      <c r="B70" s="786" t="s">
        <v>18</v>
      </c>
      <c r="C70" s="455" t="s">
        <v>14</v>
      </c>
      <c r="D70" s="787"/>
      <c r="E70" s="178"/>
      <c r="F70" s="788"/>
      <c r="G70" s="178"/>
      <c r="H70" s="178"/>
      <c r="I70" s="773" t="s">
        <v>220</v>
      </c>
      <c r="J70" s="773" t="s">
        <v>359</v>
      </c>
      <c r="K70" s="312" t="s">
        <v>362</v>
      </c>
      <c r="L70" s="314" t="s">
        <v>363</v>
      </c>
      <c r="N70" s="162"/>
      <c r="R70" s="171"/>
    </row>
    <row r="71" spans="2:18" ht="15" thickBot="1">
      <c r="B71" s="789"/>
      <c r="C71" s="366"/>
      <c r="D71" s="181"/>
      <c r="E71" s="181"/>
      <c r="F71" s="717"/>
      <c r="G71" s="181"/>
      <c r="H71" s="181"/>
      <c r="I71" s="181"/>
      <c r="J71" s="181"/>
      <c r="K71" s="181"/>
      <c r="L71" s="718"/>
      <c r="M71" s="159"/>
      <c r="P71" s="1116"/>
    </row>
    <row r="72" spans="2:18" ht="15" thickBot="1">
      <c r="B72" s="790"/>
      <c r="C72" s="370"/>
      <c r="D72" s="791"/>
      <c r="E72" s="754"/>
      <c r="F72" s="737"/>
      <c r="G72" s="792"/>
      <c r="H72" s="793"/>
      <c r="I72" s="793"/>
      <c r="J72" s="793"/>
      <c r="K72" s="793"/>
      <c r="L72" s="794"/>
      <c r="N72" s="162"/>
    </row>
    <row r="73" spans="2:18" ht="15" thickBot="1">
      <c r="B73" s="795"/>
      <c r="C73" s="366"/>
      <c r="D73" s="796"/>
      <c r="E73" s="180"/>
      <c r="F73" s="717"/>
      <c r="G73" s="181"/>
      <c r="H73" s="181"/>
      <c r="I73" s="181"/>
      <c r="J73" s="181"/>
      <c r="K73" s="181"/>
      <c r="L73" s="733"/>
    </row>
    <row r="74" spans="2:18" ht="15" thickBot="1">
      <c r="B74" s="411" t="s">
        <v>11</v>
      </c>
      <c r="C74" s="487"/>
      <c r="D74" s="797"/>
      <c r="E74" s="760"/>
      <c r="F74" s="761"/>
      <c r="G74" s="760"/>
      <c r="H74" s="760"/>
      <c r="I74" s="760"/>
      <c r="J74" s="760"/>
      <c r="K74" s="760"/>
      <c r="L74" s="762">
        <f>L73+L65</f>
        <v>29951172.537324097</v>
      </c>
      <c r="O74" s="171"/>
    </row>
    <row r="75" spans="2:18" ht="16.5" customHeight="1" thickBot="1">
      <c r="B75" s="685" t="s">
        <v>34</v>
      </c>
      <c r="C75" s="366"/>
      <c r="D75" s="798">
        <f>D65+D73</f>
        <v>208512.14399999997</v>
      </c>
      <c r="E75" s="764">
        <f>((D65*E65)+(D73*E73))/D75</f>
        <v>102.78028535995151</v>
      </c>
      <c r="F75" s="717"/>
      <c r="G75" s="181"/>
      <c r="H75" s="181"/>
      <c r="I75" s="181"/>
      <c r="J75" s="181"/>
      <c r="K75" s="181"/>
      <c r="L75" s="799">
        <f>D65+D73</f>
        <v>208512.14399999997</v>
      </c>
    </row>
    <row r="76" spans="2:18" ht="16.5" customHeight="1" thickBot="1">
      <c r="B76" s="800"/>
      <c r="C76" s="487"/>
      <c r="D76" s="412"/>
      <c r="E76" s="766"/>
      <c r="F76" s="767"/>
      <c r="G76" s="412"/>
      <c r="H76" s="412"/>
      <c r="I76" s="412"/>
      <c r="J76" s="412"/>
      <c r="K76" s="412"/>
      <c r="L76" s="768">
        <f>L74/L75</f>
        <v>143.64234122173767</v>
      </c>
    </row>
    <row r="77" spans="2:18" ht="16.5" customHeight="1">
      <c r="B77" s="801"/>
      <c r="C77" s="176"/>
      <c r="D77" s="802"/>
      <c r="E77" s="803"/>
      <c r="F77" s="804"/>
      <c r="G77" s="176"/>
      <c r="H77" s="176"/>
      <c r="I77" s="176"/>
      <c r="J77" s="176"/>
      <c r="K77" s="176"/>
      <c r="L77" s="805"/>
      <c r="O77" s="806"/>
      <c r="P77" s="806"/>
      <c r="Q77" s="806"/>
    </row>
    <row r="78" spans="2:18" ht="16.5" customHeight="1">
      <c r="J78" s="171"/>
      <c r="N78" s="806"/>
      <c r="O78" s="1182"/>
      <c r="P78" s="1182"/>
      <c r="Q78" s="1182"/>
    </row>
    <row r="79" spans="2:18">
      <c r="B79" s="704" t="str">
        <f>B43</f>
        <v>WEIGHTED AVERAGE COST ( Cu)  FOR THE MONTH OF FEBRUARY 2023(KES/L)</v>
      </c>
      <c r="C79" s="170"/>
      <c r="M79" s="171"/>
      <c r="N79" s="1182"/>
      <c r="O79" s="1182"/>
      <c r="P79" s="1182"/>
      <c r="Q79" s="1182"/>
    </row>
    <row r="80" spans="2:18" ht="16.5" customHeight="1" thickBot="1">
      <c r="N80" s="1182"/>
      <c r="O80" s="310"/>
      <c r="P80" s="310"/>
      <c r="Q80" s="808"/>
    </row>
    <row r="81" spans="1:17" ht="16.5" customHeight="1" thickBot="1">
      <c r="B81" s="707" t="s">
        <v>160</v>
      </c>
      <c r="C81" s="441"/>
      <c r="D81" s="1191"/>
      <c r="E81" s="1193"/>
      <c r="F81" s="1193"/>
      <c r="G81" s="1193"/>
      <c r="H81" s="1193"/>
      <c r="I81" s="1193"/>
      <c r="J81" s="1193"/>
      <c r="K81" s="1193"/>
      <c r="L81" s="1194"/>
      <c r="N81" s="807"/>
      <c r="O81" s="310"/>
      <c r="P81" s="310"/>
      <c r="Q81" s="808"/>
    </row>
    <row r="82" spans="1:17" ht="15" thickBot="1">
      <c r="B82" s="443" t="s">
        <v>13</v>
      </c>
      <c r="C82" s="809" t="s">
        <v>489</v>
      </c>
      <c r="D82" s="740" t="s">
        <v>4</v>
      </c>
      <c r="E82" s="741" t="s">
        <v>5</v>
      </c>
      <c r="F82" s="742" t="s">
        <v>6</v>
      </c>
      <c r="G82" s="741" t="s">
        <v>7</v>
      </c>
      <c r="H82" s="741" t="s">
        <v>8</v>
      </c>
      <c r="I82" s="741" t="s">
        <v>9</v>
      </c>
      <c r="J82" s="741" t="s">
        <v>10</v>
      </c>
      <c r="K82" s="741" t="s">
        <v>221</v>
      </c>
      <c r="L82" s="743" t="s">
        <v>361</v>
      </c>
      <c r="N82" s="807"/>
      <c r="O82" s="310"/>
      <c r="P82" s="310"/>
      <c r="Q82" s="808"/>
    </row>
    <row r="83" spans="1:17" ht="15" thickBot="1">
      <c r="B83" s="810" t="s">
        <v>12</v>
      </c>
      <c r="C83" s="468" t="s">
        <v>14</v>
      </c>
      <c r="D83" s="811"/>
      <c r="E83" s="196"/>
      <c r="F83" s="772"/>
      <c r="G83" s="196"/>
      <c r="H83" s="196"/>
      <c r="I83" s="773" t="s">
        <v>220</v>
      </c>
      <c r="J83" s="773" t="s">
        <v>359</v>
      </c>
      <c r="K83" s="312" t="s">
        <v>362</v>
      </c>
      <c r="L83" s="314" t="s">
        <v>33</v>
      </c>
      <c r="N83" s="807"/>
      <c r="O83" s="1180" t="s">
        <v>392</v>
      </c>
      <c r="P83" s="310"/>
      <c r="Q83" s="808"/>
    </row>
    <row r="84" spans="1:17" ht="16.5" thickBot="1">
      <c r="B84" s="812"/>
      <c r="C84" s="813"/>
      <c r="D84" s="814" t="s">
        <v>538</v>
      </c>
      <c r="E84" s="814" t="s">
        <v>134</v>
      </c>
      <c r="F84" s="815" t="s">
        <v>134</v>
      </c>
      <c r="G84" s="814" t="s">
        <v>134</v>
      </c>
      <c r="H84" s="814" t="s">
        <v>134</v>
      </c>
      <c r="I84" s="814" t="s">
        <v>134</v>
      </c>
      <c r="J84" s="814"/>
      <c r="K84" s="814" t="s">
        <v>134</v>
      </c>
      <c r="L84" s="816" t="s">
        <v>133</v>
      </c>
      <c r="N84" s="1180" t="s">
        <v>395</v>
      </c>
      <c r="O84" s="1181"/>
      <c r="P84" s="1180" t="s">
        <v>393</v>
      </c>
      <c r="Q84" s="1180" t="s">
        <v>394</v>
      </c>
    </row>
    <row r="85" spans="1:17">
      <c r="B85" s="890">
        <f>B49</f>
        <v>44986</v>
      </c>
      <c r="C85" s="897"/>
      <c r="D85" s="894"/>
      <c r="E85" s="217"/>
      <c r="F85" s="817"/>
      <c r="G85" s="217"/>
      <c r="H85" s="217"/>
      <c r="I85" s="217"/>
      <c r="J85" s="217"/>
      <c r="K85" s="217"/>
      <c r="L85" s="818"/>
      <c r="N85" s="1181"/>
      <c r="O85" s="1181"/>
      <c r="P85" s="1181"/>
      <c r="Q85" s="1181"/>
    </row>
    <row r="86" spans="1:17">
      <c r="B86" s="891" t="str">
        <f>'DPK Import'!C10</f>
        <v>E3 ENERGY</v>
      </c>
      <c r="C86" s="783" t="str">
        <f>'DPK Import'!E10</f>
        <v>MT NAKHAL SILVER</v>
      </c>
      <c r="D86" s="895">
        <f>'DPK Import'!H10</f>
        <v>36938.085000000006</v>
      </c>
      <c r="E86" s="179">
        <f>'DPK Import'!Q10</f>
        <v>106.49178202853486</v>
      </c>
      <c r="F86" s="819">
        <f>0.45+7.205+3.1+0.2+18+0.531+0.53528</f>
        <v>30.021279999999997</v>
      </c>
      <c r="G86" s="178">
        <v>0</v>
      </c>
      <c r="H86" s="178">
        <v>0</v>
      </c>
      <c r="I86" s="178">
        <f>'DPK Import'!R10</f>
        <v>2.0635643903257588</v>
      </c>
      <c r="J86" s="178">
        <f>'DPK Import'!S10</f>
        <v>3.6112376830700783</v>
      </c>
      <c r="K86" s="178">
        <f>SUM(E86:J86)</f>
        <v>142.18786410193067</v>
      </c>
      <c r="L86" s="722">
        <f>K86*D86</f>
        <v>5252147.4101655651</v>
      </c>
      <c r="M86" s="703">
        <f>'DPK Import'!M10</f>
        <v>133.90013333333334</v>
      </c>
      <c r="N86" s="1181"/>
      <c r="O86" s="1014"/>
      <c r="P86" s="1181"/>
      <c r="Q86" s="1181"/>
    </row>
    <row r="87" spans="1:17">
      <c r="B87" s="891" t="str">
        <f>'DPK Import'!C11</f>
        <v>ORYX ENERGIES</v>
      </c>
      <c r="C87" s="783" t="str">
        <f>'DPK Import'!E11</f>
        <v>MT HAFNIA LUPUS</v>
      </c>
      <c r="D87" s="895">
        <f>'DPK Import'!H11</f>
        <v>35193.855000000003</v>
      </c>
      <c r="E87" s="179">
        <f>'DPK Import'!Q11</f>
        <v>101.23024293235288</v>
      </c>
      <c r="F87" s="819">
        <f>0.45+7.205+3.1+0.2+18+0.531+0.53528</f>
        <v>30.021279999999997</v>
      </c>
      <c r="G87" s="178">
        <v>0</v>
      </c>
      <c r="H87" s="178">
        <v>0</v>
      </c>
      <c r="I87" s="178">
        <f>'DPK Import'!R11</f>
        <v>1.9609042804840298</v>
      </c>
      <c r="J87" s="178">
        <f>'DPK Import'!S11</f>
        <v>3.4315824908470525</v>
      </c>
      <c r="K87" s="178">
        <f>SUM(E87:J87)</f>
        <v>136.64400970368396</v>
      </c>
      <c r="L87" s="722">
        <f>K87*D87</f>
        <v>4809029.4641300468</v>
      </c>
      <c r="M87" s="703">
        <f>'DPK Import'!M11</f>
        <v>138.73426666666666</v>
      </c>
      <c r="N87" s="1014"/>
      <c r="O87" s="1014"/>
      <c r="P87" s="1014"/>
      <c r="Q87" s="1131"/>
    </row>
    <row r="88" spans="1:17">
      <c r="B88" s="724" t="s">
        <v>365</v>
      </c>
      <c r="C88" s="724" t="s">
        <v>836</v>
      </c>
      <c r="D88" s="726"/>
      <c r="E88" s="726"/>
      <c r="F88" s="727"/>
      <c r="G88" s="728"/>
      <c r="H88" s="726"/>
      <c r="I88" s="726"/>
      <c r="J88" s="728"/>
      <c r="K88" s="726"/>
      <c r="L88" s="726">
        <f>N88*M86/1000</f>
        <v>5260.0682299983382</v>
      </c>
      <c r="M88" s="159"/>
      <c r="N88" s="1109">
        <v>39283.517492128492</v>
      </c>
      <c r="P88" s="1014"/>
      <c r="Q88" s="1057"/>
    </row>
    <row r="89" spans="1:17">
      <c r="B89" s="724" t="s">
        <v>892</v>
      </c>
      <c r="C89" s="724" t="s">
        <v>821</v>
      </c>
      <c r="D89" s="726"/>
      <c r="E89" s="726"/>
      <c r="F89" s="727"/>
      <c r="G89" s="728"/>
      <c r="H89" s="726"/>
      <c r="I89" s="726"/>
      <c r="J89" s="728"/>
      <c r="K89" s="726"/>
      <c r="L89" s="726">
        <f>N89*M89/1000</f>
        <v>4132.9258783951691</v>
      </c>
      <c r="M89" s="162">
        <v>131.90333333333334</v>
      </c>
      <c r="N89" s="1109">
        <v>31332.990410112223</v>
      </c>
      <c r="P89" s="1014"/>
      <c r="Q89" s="1014"/>
    </row>
    <row r="90" spans="1:17">
      <c r="B90" s="724" t="s">
        <v>893</v>
      </c>
      <c r="C90" s="724" t="s">
        <v>894</v>
      </c>
      <c r="D90" s="726"/>
      <c r="E90" s="726"/>
      <c r="F90" s="727"/>
      <c r="G90" s="728"/>
      <c r="H90" s="726"/>
      <c r="I90" s="726"/>
      <c r="J90" s="728"/>
      <c r="K90" s="726"/>
      <c r="L90" s="726">
        <f>N90*M90/1000</f>
        <v>65174.100363810656</v>
      </c>
      <c r="M90" s="162">
        <v>124.33238333333333</v>
      </c>
      <c r="N90" s="1109">
        <v>524192.48</v>
      </c>
      <c r="P90" s="1014"/>
      <c r="Q90" s="1014"/>
    </row>
    <row r="91" spans="1:17">
      <c r="B91" s="724" t="s">
        <v>901</v>
      </c>
      <c r="C91" s="724" t="s">
        <v>820</v>
      </c>
      <c r="D91" s="726"/>
      <c r="E91" s="726"/>
      <c r="F91" s="727"/>
      <c r="G91" s="728"/>
      <c r="H91" s="726"/>
      <c r="I91" s="726"/>
      <c r="J91" s="728"/>
      <c r="K91" s="726"/>
      <c r="L91" s="726">
        <f>N91*M91/1000</f>
        <v>38488.388134753644</v>
      </c>
      <c r="M91" s="162">
        <v>130.44110000000001</v>
      </c>
      <c r="N91" s="1109">
        <v>295063.35146478866</v>
      </c>
      <c r="P91" s="1014"/>
      <c r="Q91" s="1014"/>
    </row>
    <row r="92" spans="1:17">
      <c r="B92" s="724" t="s">
        <v>709</v>
      </c>
      <c r="C92" s="1085" t="s">
        <v>858</v>
      </c>
      <c r="D92" s="726"/>
      <c r="E92" s="726"/>
      <c r="F92" s="727"/>
      <c r="G92" s="728"/>
      <c r="H92" s="726"/>
      <c r="I92" s="726"/>
      <c r="J92" s="728"/>
      <c r="K92" s="726"/>
      <c r="L92" s="726">
        <f>N92/1000</f>
        <v>2235.7180555555551</v>
      </c>
      <c r="N92" s="171">
        <v>2235718.055555555</v>
      </c>
    </row>
    <row r="93" spans="1:17">
      <c r="B93" s="731"/>
      <c r="C93" s="730"/>
      <c r="D93" s="781">
        <f>SUM(D86:D87)</f>
        <v>72131.94</v>
      </c>
      <c r="E93" s="862">
        <f>((D86*E86)+(D87*E87))/D93</f>
        <v>103.92462739457022</v>
      </c>
      <c r="F93" s="717"/>
      <c r="G93" s="181"/>
      <c r="H93" s="181"/>
      <c r="I93" s="181"/>
      <c r="J93" s="181"/>
      <c r="K93" s="181"/>
      <c r="L93" s="733">
        <f>SUM(L86:L92)</f>
        <v>10176468.074958123</v>
      </c>
      <c r="N93" s="171"/>
    </row>
    <row r="94" spans="1:17">
      <c r="B94" s="731"/>
      <c r="C94" s="730"/>
      <c r="D94" s="717"/>
      <c r="E94" s="717"/>
      <c r="F94" s="717"/>
      <c r="G94" s="181"/>
      <c r="H94" s="181"/>
      <c r="I94" s="820"/>
      <c r="J94" s="181"/>
      <c r="K94" s="181"/>
      <c r="L94" s="733"/>
      <c r="N94" s="171"/>
    </row>
    <row r="95" spans="1:17">
      <c r="B95" s="731"/>
      <c r="C95" s="730"/>
      <c r="D95" s="717"/>
      <c r="E95" s="717"/>
      <c r="F95" s="717"/>
      <c r="G95" s="181"/>
      <c r="H95" s="181"/>
      <c r="I95" s="820"/>
      <c r="J95" s="181"/>
      <c r="K95" s="181"/>
      <c r="L95" s="733"/>
    </row>
    <row r="96" spans="1:17">
      <c r="A96" s="162"/>
      <c r="B96" s="731"/>
      <c r="C96" s="730"/>
      <c r="D96" s="717"/>
      <c r="E96" s="717"/>
      <c r="F96" s="717"/>
      <c r="G96" s="181"/>
      <c r="H96" s="181"/>
      <c r="I96" s="181"/>
      <c r="J96" s="181"/>
      <c r="K96" s="181"/>
      <c r="L96" s="733"/>
      <c r="M96" s="1051">
        <f>SUM(L88:L92)/D93</f>
        <v>1.5983377219926895</v>
      </c>
      <c r="N96" s="162">
        <f>SUM(L89:L91)/D93</f>
        <v>1.4944200083480281</v>
      </c>
    </row>
    <row r="97" spans="1:14">
      <c r="A97" s="162"/>
      <c r="B97" s="731"/>
      <c r="C97" s="783"/>
      <c r="D97" s="784" t="s">
        <v>4</v>
      </c>
      <c r="E97" s="313" t="s">
        <v>5</v>
      </c>
      <c r="F97" s="785" t="s">
        <v>6</v>
      </c>
      <c r="G97" s="313" t="s">
        <v>7</v>
      </c>
      <c r="H97" s="313" t="s">
        <v>8</v>
      </c>
      <c r="I97" s="313" t="s">
        <v>9</v>
      </c>
      <c r="J97" s="313" t="s">
        <v>10</v>
      </c>
      <c r="K97" s="313" t="s">
        <v>221</v>
      </c>
      <c r="L97" s="314" t="s">
        <v>361</v>
      </c>
      <c r="N97" s="1056"/>
    </row>
    <row r="98" spans="1:14">
      <c r="A98" s="162"/>
      <c r="B98" s="786" t="s">
        <v>18</v>
      </c>
      <c r="C98" s="455" t="s">
        <v>14</v>
      </c>
      <c r="D98" s="787"/>
      <c r="E98" s="178"/>
      <c r="F98" s="788"/>
      <c r="G98" s="178"/>
      <c r="H98" s="178"/>
      <c r="I98" s="178" t="s">
        <v>220</v>
      </c>
      <c r="J98" s="178" t="s">
        <v>359</v>
      </c>
      <c r="K98" s="196" t="s">
        <v>362</v>
      </c>
      <c r="L98" s="314" t="s">
        <v>363</v>
      </c>
    </row>
    <row r="99" spans="1:14" ht="15" thickBot="1">
      <c r="B99" s="789"/>
      <c r="C99" s="366"/>
      <c r="D99" s="181"/>
      <c r="E99" s="181"/>
      <c r="F99" s="717"/>
      <c r="G99" s="181"/>
      <c r="H99" s="181"/>
      <c r="I99" s="181"/>
      <c r="J99" s="181"/>
      <c r="K99" s="181"/>
      <c r="L99" s="718"/>
      <c r="N99" s="1056"/>
    </row>
    <row r="100" spans="1:14" ht="15" thickBot="1">
      <c r="B100" s="892"/>
      <c r="C100" s="366"/>
      <c r="D100" s="791"/>
      <c r="E100" s="754"/>
      <c r="F100" s="821"/>
      <c r="G100" s="755"/>
      <c r="H100" s="756"/>
      <c r="I100" s="756"/>
      <c r="J100" s="756"/>
      <c r="K100" s="756"/>
      <c r="L100" s="718"/>
    </row>
    <row r="101" spans="1:14" ht="21.75" customHeight="1" thickBot="1">
      <c r="B101" s="893"/>
      <c r="C101" s="370"/>
      <c r="D101" s="896"/>
      <c r="E101" s="822"/>
      <c r="F101" s="737"/>
      <c r="G101" s="736"/>
      <c r="H101" s="736"/>
      <c r="I101" s="736"/>
      <c r="J101" s="736"/>
      <c r="K101" s="736"/>
      <c r="L101" s="738"/>
      <c r="M101" s="159"/>
      <c r="N101" s="1056"/>
    </row>
    <row r="102" spans="1:14" ht="21.75" customHeight="1" thickBot="1">
      <c r="B102" s="411" t="s">
        <v>11</v>
      </c>
      <c r="C102" s="487"/>
      <c r="D102" s="797"/>
      <c r="E102" s="760"/>
      <c r="F102" s="761"/>
      <c r="G102" s="760"/>
      <c r="H102" s="760"/>
      <c r="I102" s="760"/>
      <c r="J102" s="760"/>
      <c r="K102" s="760"/>
      <c r="L102" s="762">
        <f>L93+L101</f>
        <v>10176468.074958123</v>
      </c>
    </row>
    <row r="103" spans="1:14" ht="21.75" customHeight="1" thickBot="1">
      <c r="A103" s="161"/>
      <c r="B103" s="685" t="s">
        <v>34</v>
      </c>
      <c r="C103" s="366"/>
      <c r="D103" s="823">
        <f>D93+D101</f>
        <v>72131.94</v>
      </c>
      <c r="E103" s="824">
        <f>((D93*E93)+(D101*E101))/D103</f>
        <v>103.92462739457022</v>
      </c>
      <c r="F103" s="717"/>
      <c r="G103" s="181"/>
      <c r="H103" s="181"/>
      <c r="I103" s="181"/>
      <c r="J103" s="181"/>
      <c r="K103" s="181"/>
      <c r="L103" s="765">
        <f>D93+D101</f>
        <v>72131.94</v>
      </c>
    </row>
    <row r="104" spans="1:14" ht="15" customHeight="1" thickBot="1">
      <c r="B104" s="486"/>
      <c r="C104" s="487"/>
      <c r="D104" s="825"/>
      <c r="E104" s="766"/>
      <c r="F104" s="767"/>
      <c r="G104" s="412"/>
      <c r="H104" s="412"/>
      <c r="I104" s="412"/>
      <c r="J104" s="412"/>
      <c r="K104" s="412"/>
      <c r="L104" s="768">
        <f>L102/L103</f>
        <v>141.08130288687818</v>
      </c>
    </row>
    <row r="105" spans="1:14" ht="15" customHeight="1">
      <c r="D105" s="210"/>
    </row>
    <row r="106" spans="1:14" ht="17.25" customHeight="1"/>
    <row r="107" spans="1:14" ht="17.25" customHeight="1">
      <c r="B107" s="704" t="str">
        <f>B79</f>
        <v>WEIGHTED AVERAGE COST ( Cu)  FOR THE MONTH OF FEBRUARY 2023(KES/L)</v>
      </c>
      <c r="C107" s="170"/>
    </row>
    <row r="108" spans="1:14" ht="17.25" customHeight="1" thickBot="1"/>
    <row r="109" spans="1:14" ht="17.25" customHeight="1" thickBot="1">
      <c r="B109" s="826" t="s">
        <v>17</v>
      </c>
      <c r="C109" s="440"/>
      <c r="D109" s="1190"/>
      <c r="E109" s="1191"/>
      <c r="F109" s="1191"/>
      <c r="G109" s="1191"/>
      <c r="H109" s="1191"/>
      <c r="I109" s="1191"/>
      <c r="J109" s="1191"/>
      <c r="K109" s="1191"/>
      <c r="L109" s="1192"/>
    </row>
    <row r="110" spans="1:14" ht="16.5" customHeight="1">
      <c r="B110" s="442" t="s">
        <v>13</v>
      </c>
      <c r="C110" s="499"/>
      <c r="D110" s="827" t="s">
        <v>4</v>
      </c>
      <c r="E110" s="828" t="s">
        <v>5</v>
      </c>
      <c r="F110" s="829" t="s">
        <v>6</v>
      </c>
      <c r="G110" s="828" t="s">
        <v>7</v>
      </c>
      <c r="H110" s="828" t="s">
        <v>8</v>
      </c>
      <c r="I110" s="828" t="s">
        <v>9</v>
      </c>
      <c r="J110" s="828"/>
      <c r="K110" s="828" t="s">
        <v>10</v>
      </c>
      <c r="L110" s="830" t="s">
        <v>221</v>
      </c>
    </row>
    <row r="111" spans="1:14" ht="16.5" customHeight="1">
      <c r="B111" s="770" t="s">
        <v>12</v>
      </c>
      <c r="C111" s="455" t="s">
        <v>14</v>
      </c>
      <c r="D111" s="811"/>
      <c r="E111" s="196"/>
      <c r="F111" s="772"/>
      <c r="G111" s="196"/>
      <c r="H111" s="196"/>
      <c r="I111" s="178" t="s">
        <v>220</v>
      </c>
      <c r="J111" s="178"/>
      <c r="K111" s="196" t="s">
        <v>222</v>
      </c>
      <c r="L111" s="314" t="s">
        <v>33</v>
      </c>
    </row>
    <row r="112" spans="1:14" ht="16.5" customHeight="1" thickBot="1">
      <c r="B112" s="831"/>
      <c r="C112" s="776"/>
      <c r="D112" s="776" t="s">
        <v>538</v>
      </c>
      <c r="E112" s="776" t="s">
        <v>134</v>
      </c>
      <c r="F112" s="777" t="s">
        <v>134</v>
      </c>
      <c r="G112" s="776" t="s">
        <v>134</v>
      </c>
      <c r="H112" s="776" t="s">
        <v>134</v>
      </c>
      <c r="I112" s="776" t="s">
        <v>134</v>
      </c>
      <c r="J112" s="776"/>
      <c r="K112" s="776" t="s">
        <v>134</v>
      </c>
      <c r="L112" s="750" t="s">
        <v>133</v>
      </c>
    </row>
    <row r="113" spans="2:13" ht="16.5" customHeight="1">
      <c r="B113" s="716"/>
      <c r="C113" s="832"/>
      <c r="D113" s="176"/>
      <c r="E113" s="176"/>
      <c r="F113" s="804"/>
      <c r="G113" s="176"/>
      <c r="H113" s="176"/>
      <c r="I113" s="176"/>
      <c r="J113" s="176"/>
      <c r="K113" s="176"/>
      <c r="L113" s="190"/>
    </row>
    <row r="114" spans="2:13" hidden="1">
      <c r="B114" s="716">
        <f>B85</f>
        <v>44986</v>
      </c>
      <c r="C114" s="832"/>
      <c r="D114" s="181"/>
      <c r="E114" s="181"/>
      <c r="F114" s="717"/>
      <c r="G114" s="181"/>
      <c r="H114" s="181"/>
      <c r="I114" s="181"/>
      <c r="J114" s="181"/>
      <c r="K114" s="181"/>
      <c r="L114" s="718"/>
    </row>
    <row r="115" spans="2:13" ht="15" hidden="1" thickBot="1">
      <c r="B115" s="731"/>
      <c r="C115" s="832"/>
      <c r="D115" s="753">
        <v>0</v>
      </c>
      <c r="E115" s="753">
        <v>0</v>
      </c>
      <c r="F115" s="717">
        <v>0</v>
      </c>
      <c r="G115" s="181">
        <v>0</v>
      </c>
      <c r="H115" s="181">
        <v>0</v>
      </c>
      <c r="I115" s="181">
        <v>0</v>
      </c>
      <c r="J115" s="181"/>
      <c r="K115" s="181">
        <f>SUM(E115:G115)</f>
        <v>0</v>
      </c>
      <c r="L115" s="833">
        <f>K115*D115</f>
        <v>0</v>
      </c>
    </row>
    <row r="116" spans="2:13" ht="15" hidden="1" customHeight="1" thickBot="1">
      <c r="B116" s="716"/>
      <c r="C116" s="832"/>
      <c r="D116" s="181"/>
      <c r="E116" s="181"/>
      <c r="F116" s="717"/>
      <c r="G116" s="181"/>
      <c r="H116" s="181"/>
      <c r="I116" s="181"/>
      <c r="J116" s="181"/>
      <c r="K116" s="181"/>
      <c r="L116" s="718"/>
    </row>
    <row r="117" spans="2:13" ht="17.25" hidden="1" customHeight="1">
      <c r="B117" s="731"/>
      <c r="C117" s="730"/>
      <c r="D117" s="796">
        <f>SUM(D114:D116)</f>
        <v>0</v>
      </c>
      <c r="E117" s="181"/>
      <c r="F117" s="717"/>
      <c r="G117" s="181"/>
      <c r="H117" s="181"/>
      <c r="I117" s="181"/>
      <c r="J117" s="181"/>
      <c r="K117" s="181"/>
      <c r="L117" s="733">
        <f>SUM(L114:L116)</f>
        <v>0</v>
      </c>
    </row>
    <row r="118" spans="2:13" hidden="1">
      <c r="B118" s="731"/>
      <c r="C118" s="783"/>
      <c r="D118" s="784" t="s">
        <v>4</v>
      </c>
      <c r="E118" s="313" t="s">
        <v>5</v>
      </c>
      <c r="F118" s="785" t="s">
        <v>6</v>
      </c>
      <c r="G118" s="313" t="s">
        <v>7</v>
      </c>
      <c r="H118" s="313" t="s">
        <v>8</v>
      </c>
      <c r="I118" s="313" t="s">
        <v>9</v>
      </c>
      <c r="J118" s="313"/>
      <c r="K118" s="313" t="s">
        <v>10</v>
      </c>
      <c r="L118" s="314" t="s">
        <v>221</v>
      </c>
    </row>
    <row r="119" spans="2:13" hidden="1">
      <c r="B119" s="786" t="s">
        <v>18</v>
      </c>
      <c r="C119" s="455" t="s">
        <v>14</v>
      </c>
      <c r="D119" s="787"/>
      <c r="E119" s="178"/>
      <c r="F119" s="788"/>
      <c r="G119" s="178"/>
      <c r="H119" s="178"/>
      <c r="I119" s="178" t="s">
        <v>220</v>
      </c>
      <c r="J119" s="178"/>
      <c r="K119" s="196" t="s">
        <v>222</v>
      </c>
      <c r="L119" s="314" t="s">
        <v>33</v>
      </c>
    </row>
    <row r="120" spans="2:13" hidden="1">
      <c r="B120" s="789"/>
      <c r="C120" s="366"/>
      <c r="D120" s="181"/>
      <c r="E120" s="181"/>
      <c r="F120" s="717"/>
      <c r="G120" s="181"/>
      <c r="H120" s="181"/>
      <c r="I120" s="181"/>
      <c r="J120" s="181"/>
      <c r="K120" s="181"/>
      <c r="L120" s="718"/>
    </row>
    <row r="121" spans="2:13" ht="17.25" hidden="1" customHeight="1" thickBot="1">
      <c r="B121" s="834">
        <f>B100</f>
        <v>0</v>
      </c>
      <c r="C121" s="835" t="s">
        <v>14</v>
      </c>
      <c r="D121" s="836">
        <v>1138.567</v>
      </c>
      <c r="E121" s="836">
        <v>68.306299999999993</v>
      </c>
      <c r="F121" s="837">
        <v>28.96</v>
      </c>
      <c r="G121" s="838">
        <v>0</v>
      </c>
      <c r="H121" s="839">
        <v>-0.45</v>
      </c>
      <c r="I121" s="839">
        <v>0</v>
      </c>
      <c r="J121" s="839"/>
      <c r="K121" s="839">
        <f>E121+F121+H121</f>
        <v>96.816299999999998</v>
      </c>
      <c r="L121" s="840">
        <f>D121*K121</f>
        <v>110231.84424209999</v>
      </c>
    </row>
    <row r="122" spans="2:13" ht="17.25" hidden="1" customHeight="1" thickBot="1">
      <c r="B122" s="834"/>
      <c r="C122" s="835" t="s">
        <v>14</v>
      </c>
      <c r="D122" s="836">
        <v>1928.154</v>
      </c>
      <c r="E122" s="836">
        <v>59.005549999999999</v>
      </c>
      <c r="F122" s="837">
        <v>28.96</v>
      </c>
      <c r="G122" s="838">
        <v>0</v>
      </c>
      <c r="H122" s="841">
        <v>-0.45</v>
      </c>
      <c r="I122" s="841">
        <v>0</v>
      </c>
      <c r="J122" s="841"/>
      <c r="K122" s="841">
        <f>E122+F122+G122+H122</f>
        <v>87.515550000000005</v>
      </c>
      <c r="L122" s="840">
        <f>K122*D122</f>
        <v>168743.45779470002</v>
      </c>
    </row>
    <row r="123" spans="2:13" hidden="1">
      <c r="B123" s="795"/>
      <c r="C123" s="366"/>
      <c r="D123" s="796">
        <f>SUM(D121:D122)</f>
        <v>3066.721</v>
      </c>
      <c r="E123" s="180"/>
      <c r="F123" s="717"/>
      <c r="G123" s="181"/>
      <c r="H123" s="181"/>
      <c r="I123" s="181"/>
      <c r="J123" s="181"/>
      <c r="K123" s="181"/>
      <c r="L123" s="733">
        <f>SUM(L121:L122)</f>
        <v>278975.30203680001</v>
      </c>
    </row>
    <row r="124" spans="2:13" ht="15" hidden="1" thickBot="1">
      <c r="B124" s="411" t="s">
        <v>11</v>
      </c>
      <c r="C124" s="487"/>
      <c r="D124" s="797"/>
      <c r="E124" s="760"/>
      <c r="F124" s="761"/>
      <c r="G124" s="760"/>
      <c r="H124" s="760"/>
      <c r="I124" s="760"/>
      <c r="J124" s="760"/>
      <c r="K124" s="760"/>
      <c r="L124" s="762">
        <f>L123+L117</f>
        <v>278975.30203680001</v>
      </c>
    </row>
    <row r="125" spans="2:13" ht="15" hidden="1" thickBot="1">
      <c r="B125" s="685" t="s">
        <v>34</v>
      </c>
      <c r="C125" s="366"/>
      <c r="D125" s="796"/>
      <c r="E125" s="181"/>
      <c r="F125" s="717"/>
      <c r="G125" s="181"/>
      <c r="H125" s="181"/>
      <c r="I125" s="181"/>
      <c r="J125" s="181"/>
      <c r="K125" s="181"/>
      <c r="L125" s="765">
        <f>D117+D123</f>
        <v>3066.721</v>
      </c>
    </row>
    <row r="126" spans="2:13" ht="24" hidden="1" customHeight="1">
      <c r="B126" s="486"/>
      <c r="C126" s="487"/>
      <c r="D126" s="412"/>
      <c r="E126" s="412"/>
      <c r="F126" s="767"/>
      <c r="G126" s="412"/>
      <c r="H126" s="412"/>
      <c r="I126" s="412"/>
      <c r="J126" s="412"/>
      <c r="K126" s="412"/>
      <c r="L126" s="768">
        <f>L124/L125</f>
        <v>90.968595459710883</v>
      </c>
      <c r="M126" s="842"/>
    </row>
    <row r="127" spans="2:13" hidden="1">
      <c r="M127" s="842"/>
    </row>
    <row r="128" spans="2:13" hidden="1"/>
    <row r="129" spans="4:13" hidden="1">
      <c r="G129" s="210"/>
    </row>
    <row r="130" spans="4:13" hidden="1"/>
    <row r="131" spans="4:13" hidden="1">
      <c r="D131" s="843"/>
      <c r="E131" s="843"/>
      <c r="F131" s="197"/>
      <c r="G131" s="843"/>
      <c r="M131" s="183"/>
    </row>
    <row r="132" spans="4:13" ht="22.5" hidden="1" customHeight="1" thickBot="1">
      <c r="D132" s="844"/>
      <c r="E132" s="843"/>
      <c r="F132" s="197"/>
    </row>
    <row r="133" spans="4:13" hidden="1">
      <c r="D133" s="844"/>
      <c r="E133" s="843"/>
      <c r="F133" s="197"/>
      <c r="M133" s="183"/>
    </row>
    <row r="134" spans="4:13" ht="38.25" hidden="1" customHeight="1">
      <c r="E134" s="845"/>
      <c r="G134" s="392"/>
    </row>
    <row r="135" spans="4:13" hidden="1"/>
    <row r="136" spans="4:13" hidden="1"/>
    <row r="137" spans="4:13" hidden="1"/>
    <row r="138" spans="4:13" hidden="1"/>
    <row r="139" spans="4:13" ht="25.5" hidden="1" customHeight="1"/>
    <row r="140" spans="4:13" ht="25.5" hidden="1" customHeight="1" thickBot="1"/>
    <row r="141" spans="4:13" hidden="1"/>
    <row r="142" spans="4:13" hidden="1"/>
    <row r="143" spans="4:13" hidden="1"/>
    <row r="144" spans="4:13" hidden="1"/>
    <row r="145" hidden="1"/>
    <row r="146" hidden="1"/>
    <row r="147" ht="25.5" hidden="1" customHeight="1"/>
    <row r="148" hidden="1"/>
    <row r="149" hidden="1"/>
    <row r="150" hidden="1"/>
    <row r="151" hidden="1"/>
    <row r="152" hidden="1"/>
    <row r="153" hidden="1"/>
    <row r="154" ht="24" hidden="1" customHeight="1" thickBot="1"/>
  </sheetData>
  <protectedRanges>
    <protectedRange password="C965" sqref="N81:N83" name="Range1_1_3_1_1"/>
  </protectedRanges>
  <mergeCells count="16">
    <mergeCell ref="D109:L109"/>
    <mergeCell ref="D4:L4"/>
    <mergeCell ref="D81:L81"/>
    <mergeCell ref="N79:N80"/>
    <mergeCell ref="O78:O79"/>
    <mergeCell ref="N84:N86"/>
    <mergeCell ref="O83:O85"/>
    <mergeCell ref="P84:P86"/>
    <mergeCell ref="Q84:Q86"/>
    <mergeCell ref="P78:P79"/>
    <mergeCell ref="Q78:Q79"/>
    <mergeCell ref="B45:L45"/>
    <mergeCell ref="N50:N51"/>
    <mergeCell ref="O50:O51"/>
    <mergeCell ref="P50:P51"/>
    <mergeCell ref="Q50:Q51"/>
  </mergeCells>
  <pageMargins left="0.7" right="0.7" top="0.75" bottom="0.75" header="0.3" footer="0.3"/>
  <pageSetup paperSize="9" scale="32" orientation="portrait" r:id="rId1"/>
  <ignoredErrors>
    <ignoredError sqref="E50 G50:J50" evalError="1"/>
  </ignoredErrors>
  <drawing r:id="rId2"/>
  <legacyDrawing r:id="rId3"/>
  <oleObjects>
    <mc:AlternateContent xmlns:mc="http://schemas.openxmlformats.org/markup-compatibility/2006">
      <mc:Choice Requires="x14">
        <oleObject progId="Equation.3" shapeId="11265" r:id="rId4">
          <objectPr defaultSize="0" autoPict="0" r:id="rId5">
            <anchor moveWithCells="1" sizeWithCells="1">
              <from>
                <xdr:col>3</xdr:col>
                <xdr:colOff>165100</xdr:colOff>
                <xdr:row>5</xdr:row>
                <xdr:rowOff>12700</xdr:rowOff>
              </from>
              <to>
                <xdr:col>3</xdr:col>
                <xdr:colOff>527050</xdr:colOff>
                <xdr:row>6</xdr:row>
                <xdr:rowOff>0</xdr:rowOff>
              </to>
            </anchor>
          </objectPr>
        </oleObject>
      </mc:Choice>
      <mc:Fallback>
        <oleObject progId="Equation.3" shapeId="11265" r:id="rId4"/>
      </mc:Fallback>
    </mc:AlternateContent>
    <mc:AlternateContent xmlns:mc="http://schemas.openxmlformats.org/markup-compatibility/2006">
      <mc:Choice Requires="x14">
        <oleObject progId="Equation.3" shapeId="11266" r:id="rId6">
          <objectPr defaultSize="0" autoPict="0" r:id="rId7">
            <anchor moveWithCells="1" sizeWithCells="1">
              <from>
                <xdr:col>4</xdr:col>
                <xdr:colOff>146050</xdr:colOff>
                <xdr:row>5</xdr:row>
                <xdr:rowOff>12700</xdr:rowOff>
              </from>
              <to>
                <xdr:col>4</xdr:col>
                <xdr:colOff>495300</xdr:colOff>
                <xdr:row>6</xdr:row>
                <xdr:rowOff>0</xdr:rowOff>
              </to>
            </anchor>
          </objectPr>
        </oleObject>
      </mc:Choice>
      <mc:Fallback>
        <oleObject progId="Equation.3" shapeId="11266" r:id="rId6"/>
      </mc:Fallback>
    </mc:AlternateContent>
    <mc:AlternateContent xmlns:mc="http://schemas.openxmlformats.org/markup-compatibility/2006">
      <mc:Choice Requires="x14">
        <oleObject progId="Equation.3" shapeId="11267" r:id="rId8">
          <objectPr defaultSize="0" autoPict="0" r:id="rId9">
            <anchor moveWithCells="1" sizeWithCells="1">
              <from>
                <xdr:col>5</xdr:col>
                <xdr:colOff>190500</xdr:colOff>
                <xdr:row>5</xdr:row>
                <xdr:rowOff>38100</xdr:rowOff>
              </from>
              <to>
                <xdr:col>5</xdr:col>
                <xdr:colOff>431800</xdr:colOff>
                <xdr:row>5</xdr:row>
                <xdr:rowOff>304800</xdr:rowOff>
              </to>
            </anchor>
          </objectPr>
        </oleObject>
      </mc:Choice>
      <mc:Fallback>
        <oleObject progId="Equation.3" shapeId="11267" r:id="rId8"/>
      </mc:Fallback>
    </mc:AlternateContent>
    <mc:AlternateContent xmlns:mc="http://schemas.openxmlformats.org/markup-compatibility/2006">
      <mc:Choice Requires="x14">
        <oleObject progId="Equation.3" shapeId="11268" r:id="rId10">
          <objectPr defaultSize="0" autoPict="0" r:id="rId11">
            <anchor moveWithCells="1" sizeWithCells="1">
              <from>
                <xdr:col>6</xdr:col>
                <xdr:colOff>69850</xdr:colOff>
                <xdr:row>5</xdr:row>
                <xdr:rowOff>50800</xdr:rowOff>
              </from>
              <to>
                <xdr:col>6</xdr:col>
                <xdr:colOff>323850</xdr:colOff>
                <xdr:row>5</xdr:row>
                <xdr:rowOff>304800</xdr:rowOff>
              </to>
            </anchor>
          </objectPr>
        </oleObject>
      </mc:Choice>
      <mc:Fallback>
        <oleObject progId="Equation.3" shapeId="11268" r:id="rId10"/>
      </mc:Fallback>
    </mc:AlternateContent>
    <mc:AlternateContent xmlns:mc="http://schemas.openxmlformats.org/markup-compatibility/2006">
      <mc:Choice Requires="x14">
        <oleObject progId="Equation.3" shapeId="11269" r:id="rId12">
          <objectPr defaultSize="0" autoPict="0" r:id="rId13">
            <anchor moveWithCells="1" sizeWithCells="1">
              <from>
                <xdr:col>12</xdr:col>
                <xdr:colOff>0</xdr:colOff>
                <xdr:row>4</xdr:row>
                <xdr:rowOff>184150</xdr:rowOff>
              </from>
              <to>
                <xdr:col>12</xdr:col>
                <xdr:colOff>0</xdr:colOff>
                <xdr:row>6</xdr:row>
                <xdr:rowOff>0</xdr:rowOff>
              </to>
            </anchor>
          </objectPr>
        </oleObject>
      </mc:Choice>
      <mc:Fallback>
        <oleObject progId="Equation.3" shapeId="11269" r:id="rId12"/>
      </mc:Fallback>
    </mc:AlternateContent>
    <mc:AlternateContent xmlns:mc="http://schemas.openxmlformats.org/markup-compatibility/2006">
      <mc:Choice Requires="x14">
        <oleObject progId="Equation.3" shapeId="11270" r:id="rId14">
          <objectPr defaultSize="0" autoPict="0" r:id="rId15">
            <anchor moveWithCells="1" sizeWithCells="1">
              <from>
                <xdr:col>12</xdr:col>
                <xdr:colOff>0</xdr:colOff>
                <xdr:row>4</xdr:row>
                <xdr:rowOff>165100</xdr:rowOff>
              </from>
              <to>
                <xdr:col>12</xdr:col>
                <xdr:colOff>0</xdr:colOff>
                <xdr:row>6</xdr:row>
                <xdr:rowOff>0</xdr:rowOff>
              </to>
            </anchor>
          </objectPr>
        </oleObject>
      </mc:Choice>
      <mc:Fallback>
        <oleObject progId="Equation.3" shapeId="11270" r:id="rId14"/>
      </mc:Fallback>
    </mc:AlternateContent>
    <mc:AlternateContent xmlns:mc="http://schemas.openxmlformats.org/markup-compatibility/2006">
      <mc:Choice Requires="x14">
        <oleObject progId="Equation.3" shapeId="11271" r:id="rId16">
          <objectPr defaultSize="0" autoPict="0" r:id="rId17">
            <anchor moveWithCells="1" sizeWithCells="1">
              <from>
                <xdr:col>12</xdr:col>
                <xdr:colOff>0</xdr:colOff>
                <xdr:row>5</xdr:row>
                <xdr:rowOff>0</xdr:rowOff>
              </from>
              <to>
                <xdr:col>12</xdr:col>
                <xdr:colOff>0</xdr:colOff>
                <xdr:row>6</xdr:row>
                <xdr:rowOff>0</xdr:rowOff>
              </to>
            </anchor>
          </objectPr>
        </oleObject>
      </mc:Choice>
      <mc:Fallback>
        <oleObject progId="Equation.3" shapeId="11271" r:id="rId16"/>
      </mc:Fallback>
    </mc:AlternateContent>
    <mc:AlternateContent xmlns:mc="http://schemas.openxmlformats.org/markup-compatibility/2006">
      <mc:Choice Requires="x14">
        <oleObject progId="Equation.3" shapeId="11272" r:id="rId18">
          <objectPr defaultSize="0" autoPict="0" r:id="rId5">
            <anchor moveWithCells="1" sizeWithCells="1">
              <from>
                <xdr:col>3</xdr:col>
                <xdr:colOff>0</xdr:colOff>
                <xdr:row>45</xdr:row>
                <xdr:rowOff>0</xdr:rowOff>
              </from>
              <to>
                <xdr:col>3</xdr:col>
                <xdr:colOff>241300</xdr:colOff>
                <xdr:row>45</xdr:row>
                <xdr:rowOff>0</xdr:rowOff>
              </to>
            </anchor>
          </objectPr>
        </oleObject>
      </mc:Choice>
      <mc:Fallback>
        <oleObject progId="Equation.3" shapeId="11272" r:id="rId18"/>
      </mc:Fallback>
    </mc:AlternateContent>
    <mc:AlternateContent xmlns:mc="http://schemas.openxmlformats.org/markup-compatibility/2006">
      <mc:Choice Requires="x14">
        <oleObject progId="Equation.3" shapeId="11273" r:id="rId19">
          <objectPr defaultSize="0" autoPict="0" r:id="rId7">
            <anchor moveWithCells="1" sizeWithCells="1">
              <from>
                <xdr:col>4</xdr:col>
                <xdr:colOff>0</xdr:colOff>
                <xdr:row>45</xdr:row>
                <xdr:rowOff>0</xdr:rowOff>
              </from>
              <to>
                <xdr:col>4</xdr:col>
                <xdr:colOff>260350</xdr:colOff>
                <xdr:row>45</xdr:row>
                <xdr:rowOff>0</xdr:rowOff>
              </to>
            </anchor>
          </objectPr>
        </oleObject>
      </mc:Choice>
      <mc:Fallback>
        <oleObject progId="Equation.3" shapeId="11273" r:id="rId19"/>
      </mc:Fallback>
    </mc:AlternateContent>
    <mc:AlternateContent xmlns:mc="http://schemas.openxmlformats.org/markup-compatibility/2006">
      <mc:Choice Requires="x14">
        <oleObject progId="Equation.3" shapeId="11274" r:id="rId20">
          <objectPr defaultSize="0" autoPict="0" r:id="rId9">
            <anchor moveWithCells="1" sizeWithCells="1">
              <from>
                <xdr:col>5</xdr:col>
                <xdr:colOff>0</xdr:colOff>
                <xdr:row>45</xdr:row>
                <xdr:rowOff>0</xdr:rowOff>
              </from>
              <to>
                <xdr:col>5</xdr:col>
                <xdr:colOff>146050</xdr:colOff>
                <xdr:row>45</xdr:row>
                <xdr:rowOff>0</xdr:rowOff>
              </to>
            </anchor>
          </objectPr>
        </oleObject>
      </mc:Choice>
      <mc:Fallback>
        <oleObject progId="Equation.3" shapeId="11274" r:id="rId20"/>
      </mc:Fallback>
    </mc:AlternateContent>
    <mc:AlternateContent xmlns:mc="http://schemas.openxmlformats.org/markup-compatibility/2006">
      <mc:Choice Requires="x14">
        <oleObject progId="Equation.3" shapeId="11275" r:id="rId21">
          <objectPr defaultSize="0" autoPict="0" r:id="rId11">
            <anchor moveWithCells="1" sizeWithCells="1">
              <from>
                <xdr:col>6</xdr:col>
                <xdr:colOff>0</xdr:colOff>
                <xdr:row>45</xdr:row>
                <xdr:rowOff>0</xdr:rowOff>
              </from>
              <to>
                <xdr:col>6</xdr:col>
                <xdr:colOff>165100</xdr:colOff>
                <xdr:row>45</xdr:row>
                <xdr:rowOff>0</xdr:rowOff>
              </to>
            </anchor>
          </objectPr>
        </oleObject>
      </mc:Choice>
      <mc:Fallback>
        <oleObject progId="Equation.3" shapeId="11275" r:id="rId21"/>
      </mc:Fallback>
    </mc:AlternateContent>
    <mc:AlternateContent xmlns:mc="http://schemas.openxmlformats.org/markup-compatibility/2006">
      <mc:Choice Requires="x14">
        <oleObject progId="Equation.3" shapeId="11279" r:id="rId22">
          <objectPr defaultSize="0" autoPict="0" r:id="rId23">
            <anchor moveWithCells="1" sizeWithCells="1">
              <from>
                <xdr:col>1</xdr:col>
                <xdr:colOff>19050</xdr:colOff>
                <xdr:row>45</xdr:row>
                <xdr:rowOff>0</xdr:rowOff>
              </from>
              <to>
                <xdr:col>1</xdr:col>
                <xdr:colOff>247650</xdr:colOff>
                <xdr:row>45</xdr:row>
                <xdr:rowOff>0</xdr:rowOff>
              </to>
            </anchor>
          </objectPr>
        </oleObject>
      </mc:Choice>
      <mc:Fallback>
        <oleObject progId="Equation.3" shapeId="11279" r:id="rId22"/>
      </mc:Fallback>
    </mc:AlternateContent>
    <mc:AlternateContent xmlns:mc="http://schemas.openxmlformats.org/markup-compatibility/2006">
      <mc:Choice Requires="x14">
        <oleObject progId="Equation.3" shapeId="11280" r:id="rId24">
          <objectPr defaultSize="0" autoPict="0" r:id="rId5">
            <anchor moveWithCells="1" sizeWithCells="1">
              <from>
                <xdr:col>3</xdr:col>
                <xdr:colOff>0</xdr:colOff>
                <xdr:row>45</xdr:row>
                <xdr:rowOff>0</xdr:rowOff>
              </from>
              <to>
                <xdr:col>3</xdr:col>
                <xdr:colOff>241300</xdr:colOff>
                <xdr:row>45</xdr:row>
                <xdr:rowOff>0</xdr:rowOff>
              </to>
            </anchor>
          </objectPr>
        </oleObject>
      </mc:Choice>
      <mc:Fallback>
        <oleObject progId="Equation.3" shapeId="11280" r:id="rId24"/>
      </mc:Fallback>
    </mc:AlternateContent>
    <mc:AlternateContent xmlns:mc="http://schemas.openxmlformats.org/markup-compatibility/2006">
      <mc:Choice Requires="x14">
        <oleObject progId="Equation.3" shapeId="11281" r:id="rId25">
          <objectPr defaultSize="0" autoPict="0" r:id="rId7">
            <anchor moveWithCells="1" sizeWithCells="1">
              <from>
                <xdr:col>4</xdr:col>
                <xdr:colOff>0</xdr:colOff>
                <xdr:row>45</xdr:row>
                <xdr:rowOff>0</xdr:rowOff>
              </from>
              <to>
                <xdr:col>4</xdr:col>
                <xdr:colOff>260350</xdr:colOff>
                <xdr:row>45</xdr:row>
                <xdr:rowOff>0</xdr:rowOff>
              </to>
            </anchor>
          </objectPr>
        </oleObject>
      </mc:Choice>
      <mc:Fallback>
        <oleObject progId="Equation.3" shapeId="11281" r:id="rId25"/>
      </mc:Fallback>
    </mc:AlternateContent>
    <mc:AlternateContent xmlns:mc="http://schemas.openxmlformats.org/markup-compatibility/2006">
      <mc:Choice Requires="x14">
        <oleObject progId="Equation.3" shapeId="11282" r:id="rId26">
          <objectPr defaultSize="0" autoPict="0" r:id="rId9">
            <anchor moveWithCells="1" sizeWithCells="1">
              <from>
                <xdr:col>5</xdr:col>
                <xdr:colOff>0</xdr:colOff>
                <xdr:row>45</xdr:row>
                <xdr:rowOff>0</xdr:rowOff>
              </from>
              <to>
                <xdr:col>5</xdr:col>
                <xdr:colOff>146050</xdr:colOff>
                <xdr:row>45</xdr:row>
                <xdr:rowOff>0</xdr:rowOff>
              </to>
            </anchor>
          </objectPr>
        </oleObject>
      </mc:Choice>
      <mc:Fallback>
        <oleObject progId="Equation.3" shapeId="11282" r:id="rId26"/>
      </mc:Fallback>
    </mc:AlternateContent>
    <mc:AlternateContent xmlns:mc="http://schemas.openxmlformats.org/markup-compatibility/2006">
      <mc:Choice Requires="x14">
        <oleObject progId="Equation.3" shapeId="11283" r:id="rId27">
          <objectPr defaultSize="0" autoPict="0" r:id="rId11">
            <anchor moveWithCells="1" sizeWithCells="1">
              <from>
                <xdr:col>6</xdr:col>
                <xdr:colOff>0</xdr:colOff>
                <xdr:row>45</xdr:row>
                <xdr:rowOff>0</xdr:rowOff>
              </from>
              <to>
                <xdr:col>6</xdr:col>
                <xdr:colOff>165100</xdr:colOff>
                <xdr:row>45</xdr:row>
                <xdr:rowOff>0</xdr:rowOff>
              </to>
            </anchor>
          </objectPr>
        </oleObject>
      </mc:Choice>
      <mc:Fallback>
        <oleObject progId="Equation.3" shapeId="11283" r:id="rId27"/>
      </mc:Fallback>
    </mc:AlternateContent>
    <mc:AlternateContent xmlns:mc="http://schemas.openxmlformats.org/markup-compatibility/2006">
      <mc:Choice Requires="x14">
        <oleObject progId="Equation.3" shapeId="11287" r:id="rId28">
          <objectPr defaultSize="0" autoPict="0" r:id="rId23">
            <anchor moveWithCells="1" sizeWithCells="1">
              <from>
                <xdr:col>1</xdr:col>
                <xdr:colOff>19050</xdr:colOff>
                <xdr:row>45</xdr:row>
                <xdr:rowOff>0</xdr:rowOff>
              </from>
              <to>
                <xdr:col>1</xdr:col>
                <xdr:colOff>247650</xdr:colOff>
                <xdr:row>45</xdr:row>
                <xdr:rowOff>0</xdr:rowOff>
              </to>
            </anchor>
          </objectPr>
        </oleObject>
      </mc:Choice>
      <mc:Fallback>
        <oleObject progId="Equation.3" shapeId="11287" r:id="rId28"/>
      </mc:Fallback>
    </mc:AlternateContent>
    <mc:AlternateContent xmlns:mc="http://schemas.openxmlformats.org/markup-compatibility/2006">
      <mc:Choice Requires="x14">
        <oleObject progId="Equation.3" shapeId="11288" r:id="rId29">
          <objectPr defaultSize="0" autoPict="0" r:id="rId5">
            <anchor moveWithCells="1" sizeWithCells="1">
              <from>
                <xdr:col>3</xdr:col>
                <xdr:colOff>0</xdr:colOff>
                <xdr:row>45</xdr:row>
                <xdr:rowOff>0</xdr:rowOff>
              </from>
              <to>
                <xdr:col>3</xdr:col>
                <xdr:colOff>241300</xdr:colOff>
                <xdr:row>45</xdr:row>
                <xdr:rowOff>0</xdr:rowOff>
              </to>
            </anchor>
          </objectPr>
        </oleObject>
      </mc:Choice>
      <mc:Fallback>
        <oleObject progId="Equation.3" shapeId="11288" r:id="rId29"/>
      </mc:Fallback>
    </mc:AlternateContent>
    <mc:AlternateContent xmlns:mc="http://schemas.openxmlformats.org/markup-compatibility/2006">
      <mc:Choice Requires="x14">
        <oleObject progId="Equation.3" shapeId="11289" r:id="rId30">
          <objectPr defaultSize="0" autoPict="0" r:id="rId7">
            <anchor moveWithCells="1" sizeWithCells="1">
              <from>
                <xdr:col>4</xdr:col>
                <xdr:colOff>0</xdr:colOff>
                <xdr:row>45</xdr:row>
                <xdr:rowOff>0</xdr:rowOff>
              </from>
              <to>
                <xdr:col>4</xdr:col>
                <xdr:colOff>260350</xdr:colOff>
                <xdr:row>45</xdr:row>
                <xdr:rowOff>0</xdr:rowOff>
              </to>
            </anchor>
          </objectPr>
        </oleObject>
      </mc:Choice>
      <mc:Fallback>
        <oleObject progId="Equation.3" shapeId="11289" r:id="rId30"/>
      </mc:Fallback>
    </mc:AlternateContent>
    <mc:AlternateContent xmlns:mc="http://schemas.openxmlformats.org/markup-compatibility/2006">
      <mc:Choice Requires="x14">
        <oleObject progId="Equation.3" shapeId="11290" r:id="rId31">
          <objectPr defaultSize="0" autoPict="0" r:id="rId9">
            <anchor moveWithCells="1" sizeWithCells="1">
              <from>
                <xdr:col>5</xdr:col>
                <xdr:colOff>0</xdr:colOff>
                <xdr:row>45</xdr:row>
                <xdr:rowOff>0</xdr:rowOff>
              </from>
              <to>
                <xdr:col>5</xdr:col>
                <xdr:colOff>146050</xdr:colOff>
                <xdr:row>45</xdr:row>
                <xdr:rowOff>0</xdr:rowOff>
              </to>
            </anchor>
          </objectPr>
        </oleObject>
      </mc:Choice>
      <mc:Fallback>
        <oleObject progId="Equation.3" shapeId="11290" r:id="rId31"/>
      </mc:Fallback>
    </mc:AlternateContent>
    <mc:AlternateContent xmlns:mc="http://schemas.openxmlformats.org/markup-compatibility/2006">
      <mc:Choice Requires="x14">
        <oleObject progId="Equation.3" shapeId="11291" r:id="rId32">
          <objectPr defaultSize="0" autoPict="0" r:id="rId11">
            <anchor moveWithCells="1" sizeWithCells="1">
              <from>
                <xdr:col>6</xdr:col>
                <xdr:colOff>0</xdr:colOff>
                <xdr:row>45</xdr:row>
                <xdr:rowOff>0</xdr:rowOff>
              </from>
              <to>
                <xdr:col>6</xdr:col>
                <xdr:colOff>165100</xdr:colOff>
                <xdr:row>45</xdr:row>
                <xdr:rowOff>0</xdr:rowOff>
              </to>
            </anchor>
          </objectPr>
        </oleObject>
      </mc:Choice>
      <mc:Fallback>
        <oleObject progId="Equation.3" shapeId="11291" r:id="rId32"/>
      </mc:Fallback>
    </mc:AlternateContent>
    <mc:AlternateContent xmlns:mc="http://schemas.openxmlformats.org/markup-compatibility/2006">
      <mc:Choice Requires="x14">
        <oleObject progId="Equation.3" shapeId="11295" r:id="rId33">
          <objectPr defaultSize="0" autoPict="0" r:id="rId23">
            <anchor moveWithCells="1" sizeWithCells="1">
              <from>
                <xdr:col>1</xdr:col>
                <xdr:colOff>19050</xdr:colOff>
                <xdr:row>45</xdr:row>
                <xdr:rowOff>0</xdr:rowOff>
              </from>
              <to>
                <xdr:col>1</xdr:col>
                <xdr:colOff>247650</xdr:colOff>
                <xdr:row>45</xdr:row>
                <xdr:rowOff>0</xdr:rowOff>
              </to>
            </anchor>
          </objectPr>
        </oleObject>
      </mc:Choice>
      <mc:Fallback>
        <oleObject progId="Equation.3" shapeId="11295" r:id="rId33"/>
      </mc:Fallback>
    </mc:AlternateContent>
    <mc:AlternateContent xmlns:mc="http://schemas.openxmlformats.org/markup-compatibility/2006">
      <mc:Choice Requires="x14">
        <oleObject progId="Equation.3" shapeId="11296" r:id="rId34">
          <objectPr defaultSize="0" autoPict="0" r:id="rId23">
            <anchor moveWithCells="1" sizeWithCells="1">
              <from>
                <xdr:col>1</xdr:col>
                <xdr:colOff>12700</xdr:colOff>
                <xdr:row>39</xdr:row>
                <xdr:rowOff>19050</xdr:rowOff>
              </from>
              <to>
                <xdr:col>1</xdr:col>
                <xdr:colOff>336550</xdr:colOff>
                <xdr:row>39</xdr:row>
                <xdr:rowOff>317500</xdr:rowOff>
              </to>
            </anchor>
          </objectPr>
        </oleObject>
      </mc:Choice>
      <mc:Fallback>
        <oleObject progId="Equation.3" shapeId="11296" r:id="rId34"/>
      </mc:Fallback>
    </mc:AlternateContent>
    <mc:AlternateContent xmlns:mc="http://schemas.openxmlformats.org/markup-compatibility/2006">
      <mc:Choice Requires="x14">
        <oleObject progId="Equation.3" shapeId="11297" r:id="rId35">
          <objectPr defaultSize="0" autoPict="0" r:id="rId9">
            <anchor moveWithCells="1" sizeWithCells="1">
              <from>
                <xdr:col>12</xdr:col>
                <xdr:colOff>0</xdr:colOff>
                <xdr:row>5</xdr:row>
                <xdr:rowOff>12700</xdr:rowOff>
              </from>
              <to>
                <xdr:col>12</xdr:col>
                <xdr:colOff>0</xdr:colOff>
                <xdr:row>5</xdr:row>
                <xdr:rowOff>279400</xdr:rowOff>
              </to>
            </anchor>
          </objectPr>
        </oleObject>
      </mc:Choice>
      <mc:Fallback>
        <oleObject progId="Equation.3" shapeId="11297" r:id="rId35"/>
      </mc:Fallback>
    </mc:AlternateContent>
    <mc:AlternateContent xmlns:mc="http://schemas.openxmlformats.org/markup-compatibility/2006">
      <mc:Choice Requires="x14">
        <oleObject progId="Equation.3" shapeId="11298" r:id="rId36">
          <objectPr defaultSize="0" autoPict="0" r:id="rId17">
            <anchor moveWithCells="1" sizeWithCells="1">
              <from>
                <xdr:col>7</xdr:col>
                <xdr:colOff>190500</xdr:colOff>
                <xdr:row>5</xdr:row>
                <xdr:rowOff>0</xdr:rowOff>
              </from>
              <to>
                <xdr:col>7</xdr:col>
                <xdr:colOff>381000</xdr:colOff>
                <xdr:row>6</xdr:row>
                <xdr:rowOff>0</xdr:rowOff>
              </to>
            </anchor>
          </objectPr>
        </oleObject>
      </mc:Choice>
      <mc:Fallback>
        <oleObject progId="Equation.3" shapeId="11298" r:id="rId36"/>
      </mc:Fallback>
    </mc:AlternateContent>
    <mc:AlternateContent xmlns:mc="http://schemas.openxmlformats.org/markup-compatibility/2006">
      <mc:Choice Requires="x14">
        <oleObject progId="Equation.3" shapeId="11299" r:id="rId37">
          <objectPr defaultSize="0" autoPict="0" r:id="rId13">
            <anchor moveWithCells="1" sizeWithCells="1">
              <from>
                <xdr:col>3</xdr:col>
                <xdr:colOff>260350</xdr:colOff>
                <xdr:row>33</xdr:row>
                <xdr:rowOff>38100</xdr:rowOff>
              </from>
              <to>
                <xdr:col>3</xdr:col>
                <xdr:colOff>647700</xdr:colOff>
                <xdr:row>33</xdr:row>
                <xdr:rowOff>374650</xdr:rowOff>
              </to>
            </anchor>
          </objectPr>
        </oleObject>
      </mc:Choice>
      <mc:Fallback>
        <oleObject progId="Equation.3" shapeId="11299" r:id="rId37"/>
      </mc:Fallback>
    </mc:AlternateContent>
    <mc:AlternateContent xmlns:mc="http://schemas.openxmlformats.org/markup-compatibility/2006">
      <mc:Choice Requires="x14">
        <oleObject progId="Equation.3" shapeId="11300" r:id="rId38">
          <objectPr defaultSize="0" autoPict="0" r:id="rId15">
            <anchor moveWithCells="1" sizeWithCells="1">
              <from>
                <xdr:col>4</xdr:col>
                <xdr:colOff>95250</xdr:colOff>
                <xdr:row>33</xdr:row>
                <xdr:rowOff>31750</xdr:rowOff>
              </from>
              <to>
                <xdr:col>4</xdr:col>
                <xdr:colOff>374650</xdr:colOff>
                <xdr:row>34</xdr:row>
                <xdr:rowOff>0</xdr:rowOff>
              </to>
            </anchor>
          </objectPr>
        </oleObject>
      </mc:Choice>
      <mc:Fallback>
        <oleObject progId="Equation.3" shapeId="11300" r:id="rId38"/>
      </mc:Fallback>
    </mc:AlternateContent>
    <mc:AlternateContent xmlns:mc="http://schemas.openxmlformats.org/markup-compatibility/2006">
      <mc:Choice Requires="x14">
        <oleObject progId="Equation.3" shapeId="11301" r:id="rId39">
          <objectPr defaultSize="0" autoPict="0" r:id="rId9">
            <anchor moveWithCells="1" sizeWithCells="1">
              <from>
                <xdr:col>5</xdr:col>
                <xdr:colOff>88900</xdr:colOff>
                <xdr:row>33</xdr:row>
                <xdr:rowOff>76200</xdr:rowOff>
              </from>
              <to>
                <xdr:col>5</xdr:col>
                <xdr:colOff>323850</xdr:colOff>
                <xdr:row>33</xdr:row>
                <xdr:rowOff>342900</xdr:rowOff>
              </to>
            </anchor>
          </objectPr>
        </oleObject>
      </mc:Choice>
      <mc:Fallback>
        <oleObject progId="Equation.3" shapeId="11301" r:id="rId39"/>
      </mc:Fallback>
    </mc:AlternateContent>
    <mc:AlternateContent xmlns:mc="http://schemas.openxmlformats.org/markup-compatibility/2006">
      <mc:Choice Requires="x14">
        <oleObject progId="Equation.3" shapeId="11302" r:id="rId40">
          <objectPr defaultSize="0" autoPict="0" r:id="rId11">
            <anchor moveWithCells="1" sizeWithCells="1">
              <from>
                <xdr:col>6</xdr:col>
                <xdr:colOff>69850</xdr:colOff>
                <xdr:row>33</xdr:row>
                <xdr:rowOff>88900</xdr:rowOff>
              </from>
              <to>
                <xdr:col>6</xdr:col>
                <xdr:colOff>323850</xdr:colOff>
                <xdr:row>33</xdr:row>
                <xdr:rowOff>342900</xdr:rowOff>
              </to>
            </anchor>
          </objectPr>
        </oleObject>
      </mc:Choice>
      <mc:Fallback>
        <oleObject progId="Equation.3" shapeId="11302" r:id="rId40"/>
      </mc:Fallback>
    </mc:AlternateContent>
    <mc:AlternateContent xmlns:mc="http://schemas.openxmlformats.org/markup-compatibility/2006">
      <mc:Choice Requires="x14">
        <oleObject progId="Equation.3" shapeId="11303" r:id="rId41">
          <objectPr defaultSize="0" autoPict="0" r:id="rId17">
            <anchor moveWithCells="1" sizeWithCells="1">
              <from>
                <xdr:col>7</xdr:col>
                <xdr:colOff>95250</xdr:colOff>
                <xdr:row>33</xdr:row>
                <xdr:rowOff>50800</xdr:rowOff>
              </from>
              <to>
                <xdr:col>7</xdr:col>
                <xdr:colOff>285750</xdr:colOff>
                <xdr:row>34</xdr:row>
                <xdr:rowOff>19050</xdr:rowOff>
              </to>
            </anchor>
          </objectPr>
        </oleObject>
      </mc:Choice>
      <mc:Fallback>
        <oleObject progId="Equation.3" shapeId="11303" r:id="rId41"/>
      </mc:Fallback>
    </mc:AlternateContent>
    <mc:AlternateContent xmlns:mc="http://schemas.openxmlformats.org/markup-compatibility/2006">
      <mc:Choice Requires="x14">
        <oleObject progId="Equation.3" shapeId="11304" r:id="rId42">
          <objectPr defaultSize="0" autoPict="0" r:id="rId5">
            <anchor moveWithCells="1" sizeWithCells="1">
              <from>
                <xdr:col>3</xdr:col>
                <xdr:colOff>165100</xdr:colOff>
                <xdr:row>46</xdr:row>
                <xdr:rowOff>12700</xdr:rowOff>
              </from>
              <to>
                <xdr:col>3</xdr:col>
                <xdr:colOff>527050</xdr:colOff>
                <xdr:row>47</xdr:row>
                <xdr:rowOff>0</xdr:rowOff>
              </to>
            </anchor>
          </objectPr>
        </oleObject>
      </mc:Choice>
      <mc:Fallback>
        <oleObject progId="Equation.3" shapeId="11304" r:id="rId42"/>
      </mc:Fallback>
    </mc:AlternateContent>
    <mc:AlternateContent xmlns:mc="http://schemas.openxmlformats.org/markup-compatibility/2006">
      <mc:Choice Requires="x14">
        <oleObject progId="Equation.3" shapeId="11305" r:id="rId43">
          <objectPr defaultSize="0" autoPict="0" r:id="rId7">
            <anchor moveWithCells="1" sizeWithCells="1">
              <from>
                <xdr:col>4</xdr:col>
                <xdr:colOff>146050</xdr:colOff>
                <xdr:row>46</xdr:row>
                <xdr:rowOff>12700</xdr:rowOff>
              </from>
              <to>
                <xdr:col>4</xdr:col>
                <xdr:colOff>495300</xdr:colOff>
                <xdr:row>47</xdr:row>
                <xdr:rowOff>0</xdr:rowOff>
              </to>
            </anchor>
          </objectPr>
        </oleObject>
      </mc:Choice>
      <mc:Fallback>
        <oleObject progId="Equation.3" shapeId="11305" r:id="rId43"/>
      </mc:Fallback>
    </mc:AlternateContent>
    <mc:AlternateContent xmlns:mc="http://schemas.openxmlformats.org/markup-compatibility/2006">
      <mc:Choice Requires="x14">
        <oleObject progId="Equation.3" shapeId="11306" r:id="rId44">
          <objectPr defaultSize="0" autoPict="0" r:id="rId9">
            <anchor moveWithCells="1" sizeWithCells="1">
              <from>
                <xdr:col>5</xdr:col>
                <xdr:colOff>190500</xdr:colOff>
                <xdr:row>46</xdr:row>
                <xdr:rowOff>38100</xdr:rowOff>
              </from>
              <to>
                <xdr:col>5</xdr:col>
                <xdr:colOff>431800</xdr:colOff>
                <xdr:row>46</xdr:row>
                <xdr:rowOff>304800</xdr:rowOff>
              </to>
            </anchor>
          </objectPr>
        </oleObject>
      </mc:Choice>
      <mc:Fallback>
        <oleObject progId="Equation.3" shapeId="11306" r:id="rId44"/>
      </mc:Fallback>
    </mc:AlternateContent>
    <mc:AlternateContent xmlns:mc="http://schemas.openxmlformats.org/markup-compatibility/2006">
      <mc:Choice Requires="x14">
        <oleObject progId="Equation.3" shapeId="11307" r:id="rId45">
          <objectPr defaultSize="0" autoPict="0" r:id="rId11">
            <anchor moveWithCells="1" sizeWithCells="1">
              <from>
                <xdr:col>6</xdr:col>
                <xdr:colOff>69850</xdr:colOff>
                <xdr:row>46</xdr:row>
                <xdr:rowOff>50800</xdr:rowOff>
              </from>
              <to>
                <xdr:col>6</xdr:col>
                <xdr:colOff>323850</xdr:colOff>
                <xdr:row>46</xdr:row>
                <xdr:rowOff>304800</xdr:rowOff>
              </to>
            </anchor>
          </objectPr>
        </oleObject>
      </mc:Choice>
      <mc:Fallback>
        <oleObject progId="Equation.3" shapeId="11307" r:id="rId45"/>
      </mc:Fallback>
    </mc:AlternateContent>
    <mc:AlternateContent xmlns:mc="http://schemas.openxmlformats.org/markup-compatibility/2006">
      <mc:Choice Requires="x14">
        <oleObject progId="Equation.3" shapeId="11308" r:id="rId46">
          <objectPr defaultSize="0" autoPict="0" r:id="rId23">
            <anchor moveWithCells="1" sizeWithCells="1">
              <from>
                <xdr:col>1</xdr:col>
                <xdr:colOff>12700</xdr:colOff>
                <xdr:row>75</xdr:row>
                <xdr:rowOff>19050</xdr:rowOff>
              </from>
              <to>
                <xdr:col>1</xdr:col>
                <xdr:colOff>336550</xdr:colOff>
                <xdr:row>75</xdr:row>
                <xdr:rowOff>317500</xdr:rowOff>
              </to>
            </anchor>
          </objectPr>
        </oleObject>
      </mc:Choice>
      <mc:Fallback>
        <oleObject progId="Equation.3" shapeId="11308" r:id="rId46"/>
      </mc:Fallback>
    </mc:AlternateContent>
    <mc:AlternateContent xmlns:mc="http://schemas.openxmlformats.org/markup-compatibility/2006">
      <mc:Choice Requires="x14">
        <oleObject progId="Equation.3" shapeId="11309" r:id="rId47">
          <objectPr defaultSize="0" autoPict="0" r:id="rId17">
            <anchor moveWithCells="1" sizeWithCells="1">
              <from>
                <xdr:col>7</xdr:col>
                <xdr:colOff>190500</xdr:colOff>
                <xdr:row>46</xdr:row>
                <xdr:rowOff>0</xdr:rowOff>
              </from>
              <to>
                <xdr:col>7</xdr:col>
                <xdr:colOff>381000</xdr:colOff>
                <xdr:row>47</xdr:row>
                <xdr:rowOff>0</xdr:rowOff>
              </to>
            </anchor>
          </objectPr>
        </oleObject>
      </mc:Choice>
      <mc:Fallback>
        <oleObject progId="Equation.3" shapeId="11309" r:id="rId47"/>
      </mc:Fallback>
    </mc:AlternateContent>
    <mc:AlternateContent xmlns:mc="http://schemas.openxmlformats.org/markup-compatibility/2006">
      <mc:Choice Requires="x14">
        <oleObject progId="Equation.3" shapeId="11310" r:id="rId48">
          <objectPr defaultSize="0" autoPict="0" r:id="rId13">
            <anchor moveWithCells="1" sizeWithCells="1">
              <from>
                <xdr:col>3</xdr:col>
                <xdr:colOff>260350</xdr:colOff>
                <xdr:row>69</xdr:row>
                <xdr:rowOff>38100</xdr:rowOff>
              </from>
              <to>
                <xdr:col>3</xdr:col>
                <xdr:colOff>647700</xdr:colOff>
                <xdr:row>69</xdr:row>
                <xdr:rowOff>374650</xdr:rowOff>
              </to>
            </anchor>
          </objectPr>
        </oleObject>
      </mc:Choice>
      <mc:Fallback>
        <oleObject progId="Equation.3" shapeId="11310" r:id="rId48"/>
      </mc:Fallback>
    </mc:AlternateContent>
    <mc:AlternateContent xmlns:mc="http://schemas.openxmlformats.org/markup-compatibility/2006">
      <mc:Choice Requires="x14">
        <oleObject progId="Equation.3" shapeId="11311" r:id="rId49">
          <objectPr defaultSize="0" autoPict="0" r:id="rId15">
            <anchor moveWithCells="1" sizeWithCells="1">
              <from>
                <xdr:col>4</xdr:col>
                <xdr:colOff>95250</xdr:colOff>
                <xdr:row>69</xdr:row>
                <xdr:rowOff>31750</xdr:rowOff>
              </from>
              <to>
                <xdr:col>4</xdr:col>
                <xdr:colOff>374650</xdr:colOff>
                <xdr:row>69</xdr:row>
                <xdr:rowOff>400050</xdr:rowOff>
              </to>
            </anchor>
          </objectPr>
        </oleObject>
      </mc:Choice>
      <mc:Fallback>
        <oleObject progId="Equation.3" shapeId="11311" r:id="rId49"/>
      </mc:Fallback>
    </mc:AlternateContent>
    <mc:AlternateContent xmlns:mc="http://schemas.openxmlformats.org/markup-compatibility/2006">
      <mc:Choice Requires="x14">
        <oleObject progId="Equation.3" shapeId="11312" r:id="rId50">
          <objectPr defaultSize="0" autoPict="0" r:id="rId9">
            <anchor moveWithCells="1" sizeWithCells="1">
              <from>
                <xdr:col>5</xdr:col>
                <xdr:colOff>88900</xdr:colOff>
                <xdr:row>69</xdr:row>
                <xdr:rowOff>76200</xdr:rowOff>
              </from>
              <to>
                <xdr:col>5</xdr:col>
                <xdr:colOff>323850</xdr:colOff>
                <xdr:row>69</xdr:row>
                <xdr:rowOff>342900</xdr:rowOff>
              </to>
            </anchor>
          </objectPr>
        </oleObject>
      </mc:Choice>
      <mc:Fallback>
        <oleObject progId="Equation.3" shapeId="11312" r:id="rId50"/>
      </mc:Fallback>
    </mc:AlternateContent>
    <mc:AlternateContent xmlns:mc="http://schemas.openxmlformats.org/markup-compatibility/2006">
      <mc:Choice Requires="x14">
        <oleObject progId="Equation.3" shapeId="11313" r:id="rId51">
          <objectPr defaultSize="0" autoPict="0" r:id="rId11">
            <anchor moveWithCells="1" sizeWithCells="1">
              <from>
                <xdr:col>6</xdr:col>
                <xdr:colOff>69850</xdr:colOff>
                <xdr:row>69</xdr:row>
                <xdr:rowOff>88900</xdr:rowOff>
              </from>
              <to>
                <xdr:col>6</xdr:col>
                <xdr:colOff>323850</xdr:colOff>
                <xdr:row>69</xdr:row>
                <xdr:rowOff>342900</xdr:rowOff>
              </to>
            </anchor>
          </objectPr>
        </oleObject>
      </mc:Choice>
      <mc:Fallback>
        <oleObject progId="Equation.3" shapeId="11313" r:id="rId51"/>
      </mc:Fallback>
    </mc:AlternateContent>
    <mc:AlternateContent xmlns:mc="http://schemas.openxmlformats.org/markup-compatibility/2006">
      <mc:Choice Requires="x14">
        <oleObject progId="Equation.3" shapeId="11314" r:id="rId52">
          <objectPr defaultSize="0" autoPict="0" r:id="rId17">
            <anchor moveWithCells="1" sizeWithCells="1">
              <from>
                <xdr:col>7</xdr:col>
                <xdr:colOff>69850</xdr:colOff>
                <xdr:row>69</xdr:row>
                <xdr:rowOff>31750</xdr:rowOff>
              </from>
              <to>
                <xdr:col>7</xdr:col>
                <xdr:colOff>260350</xdr:colOff>
                <xdr:row>69</xdr:row>
                <xdr:rowOff>393700</xdr:rowOff>
              </to>
            </anchor>
          </objectPr>
        </oleObject>
      </mc:Choice>
      <mc:Fallback>
        <oleObject progId="Equation.3" shapeId="11314" r:id="rId52"/>
      </mc:Fallback>
    </mc:AlternateContent>
    <mc:AlternateContent xmlns:mc="http://schemas.openxmlformats.org/markup-compatibility/2006">
      <mc:Choice Requires="x14">
        <oleObject progId="Equation.3" shapeId="11315" r:id="rId53">
          <objectPr defaultSize="0" autoPict="0" r:id="rId5">
            <anchor moveWithCells="1" sizeWithCells="1">
              <from>
                <xdr:col>3</xdr:col>
                <xdr:colOff>0</xdr:colOff>
                <xdr:row>81</xdr:row>
                <xdr:rowOff>0</xdr:rowOff>
              </from>
              <to>
                <xdr:col>3</xdr:col>
                <xdr:colOff>241300</xdr:colOff>
                <xdr:row>81</xdr:row>
                <xdr:rowOff>0</xdr:rowOff>
              </to>
            </anchor>
          </objectPr>
        </oleObject>
      </mc:Choice>
      <mc:Fallback>
        <oleObject progId="Equation.3" shapeId="11315" r:id="rId53"/>
      </mc:Fallback>
    </mc:AlternateContent>
    <mc:AlternateContent xmlns:mc="http://schemas.openxmlformats.org/markup-compatibility/2006">
      <mc:Choice Requires="x14">
        <oleObject progId="Equation.3" shapeId="11316" r:id="rId54">
          <objectPr defaultSize="0" autoPict="0" r:id="rId7">
            <anchor moveWithCells="1" sizeWithCells="1">
              <from>
                <xdr:col>4</xdr:col>
                <xdr:colOff>0</xdr:colOff>
                <xdr:row>81</xdr:row>
                <xdr:rowOff>0</xdr:rowOff>
              </from>
              <to>
                <xdr:col>4</xdr:col>
                <xdr:colOff>260350</xdr:colOff>
                <xdr:row>81</xdr:row>
                <xdr:rowOff>0</xdr:rowOff>
              </to>
            </anchor>
          </objectPr>
        </oleObject>
      </mc:Choice>
      <mc:Fallback>
        <oleObject progId="Equation.3" shapeId="11316" r:id="rId54"/>
      </mc:Fallback>
    </mc:AlternateContent>
    <mc:AlternateContent xmlns:mc="http://schemas.openxmlformats.org/markup-compatibility/2006">
      <mc:Choice Requires="x14">
        <oleObject progId="Equation.3" shapeId="11317" r:id="rId55">
          <objectPr defaultSize="0" autoPict="0" r:id="rId9">
            <anchor moveWithCells="1" sizeWithCells="1">
              <from>
                <xdr:col>5</xdr:col>
                <xdr:colOff>0</xdr:colOff>
                <xdr:row>81</xdr:row>
                <xdr:rowOff>0</xdr:rowOff>
              </from>
              <to>
                <xdr:col>5</xdr:col>
                <xdr:colOff>146050</xdr:colOff>
                <xdr:row>81</xdr:row>
                <xdr:rowOff>0</xdr:rowOff>
              </to>
            </anchor>
          </objectPr>
        </oleObject>
      </mc:Choice>
      <mc:Fallback>
        <oleObject progId="Equation.3" shapeId="11317" r:id="rId55"/>
      </mc:Fallback>
    </mc:AlternateContent>
    <mc:AlternateContent xmlns:mc="http://schemas.openxmlformats.org/markup-compatibility/2006">
      <mc:Choice Requires="x14">
        <oleObject progId="Equation.3" shapeId="11318" r:id="rId56">
          <objectPr defaultSize="0" autoPict="0" r:id="rId11">
            <anchor moveWithCells="1" sizeWithCells="1">
              <from>
                <xdr:col>6</xdr:col>
                <xdr:colOff>0</xdr:colOff>
                <xdr:row>81</xdr:row>
                <xdr:rowOff>0</xdr:rowOff>
              </from>
              <to>
                <xdr:col>6</xdr:col>
                <xdr:colOff>165100</xdr:colOff>
                <xdr:row>81</xdr:row>
                <xdr:rowOff>0</xdr:rowOff>
              </to>
            </anchor>
          </objectPr>
        </oleObject>
      </mc:Choice>
      <mc:Fallback>
        <oleObject progId="Equation.3" shapeId="11318" r:id="rId56"/>
      </mc:Fallback>
    </mc:AlternateContent>
    <mc:AlternateContent xmlns:mc="http://schemas.openxmlformats.org/markup-compatibility/2006">
      <mc:Choice Requires="x14">
        <oleObject progId="Equation.3" shapeId="11319" r:id="rId57">
          <objectPr defaultSize="0" autoPict="0" r:id="rId23">
            <anchor moveWithCells="1" sizeWithCells="1">
              <from>
                <xdr:col>1</xdr:col>
                <xdr:colOff>19050</xdr:colOff>
                <xdr:row>81</xdr:row>
                <xdr:rowOff>0</xdr:rowOff>
              </from>
              <to>
                <xdr:col>1</xdr:col>
                <xdr:colOff>247650</xdr:colOff>
                <xdr:row>81</xdr:row>
                <xdr:rowOff>0</xdr:rowOff>
              </to>
            </anchor>
          </objectPr>
        </oleObject>
      </mc:Choice>
      <mc:Fallback>
        <oleObject progId="Equation.3" shapeId="11319" r:id="rId57"/>
      </mc:Fallback>
    </mc:AlternateContent>
    <mc:AlternateContent xmlns:mc="http://schemas.openxmlformats.org/markup-compatibility/2006">
      <mc:Choice Requires="x14">
        <oleObject progId="Equation.3" shapeId="11320" r:id="rId58">
          <objectPr defaultSize="0" autoPict="0" r:id="rId5">
            <anchor moveWithCells="1" sizeWithCells="1">
              <from>
                <xdr:col>3</xdr:col>
                <xdr:colOff>0</xdr:colOff>
                <xdr:row>81</xdr:row>
                <xdr:rowOff>0</xdr:rowOff>
              </from>
              <to>
                <xdr:col>3</xdr:col>
                <xdr:colOff>241300</xdr:colOff>
                <xdr:row>81</xdr:row>
                <xdr:rowOff>0</xdr:rowOff>
              </to>
            </anchor>
          </objectPr>
        </oleObject>
      </mc:Choice>
      <mc:Fallback>
        <oleObject progId="Equation.3" shapeId="11320" r:id="rId58"/>
      </mc:Fallback>
    </mc:AlternateContent>
    <mc:AlternateContent xmlns:mc="http://schemas.openxmlformats.org/markup-compatibility/2006">
      <mc:Choice Requires="x14">
        <oleObject progId="Equation.3" shapeId="11321" r:id="rId59">
          <objectPr defaultSize="0" autoPict="0" r:id="rId7">
            <anchor moveWithCells="1" sizeWithCells="1">
              <from>
                <xdr:col>4</xdr:col>
                <xdr:colOff>0</xdr:colOff>
                <xdr:row>81</xdr:row>
                <xdr:rowOff>0</xdr:rowOff>
              </from>
              <to>
                <xdr:col>4</xdr:col>
                <xdr:colOff>260350</xdr:colOff>
                <xdr:row>81</xdr:row>
                <xdr:rowOff>0</xdr:rowOff>
              </to>
            </anchor>
          </objectPr>
        </oleObject>
      </mc:Choice>
      <mc:Fallback>
        <oleObject progId="Equation.3" shapeId="11321" r:id="rId59"/>
      </mc:Fallback>
    </mc:AlternateContent>
    <mc:AlternateContent xmlns:mc="http://schemas.openxmlformats.org/markup-compatibility/2006">
      <mc:Choice Requires="x14">
        <oleObject progId="Equation.3" shapeId="11322" r:id="rId60">
          <objectPr defaultSize="0" autoPict="0" r:id="rId9">
            <anchor moveWithCells="1" sizeWithCells="1">
              <from>
                <xdr:col>5</xdr:col>
                <xdr:colOff>0</xdr:colOff>
                <xdr:row>81</xdr:row>
                <xdr:rowOff>0</xdr:rowOff>
              </from>
              <to>
                <xdr:col>5</xdr:col>
                <xdr:colOff>146050</xdr:colOff>
                <xdr:row>81</xdr:row>
                <xdr:rowOff>0</xdr:rowOff>
              </to>
            </anchor>
          </objectPr>
        </oleObject>
      </mc:Choice>
      <mc:Fallback>
        <oleObject progId="Equation.3" shapeId="11322" r:id="rId60"/>
      </mc:Fallback>
    </mc:AlternateContent>
    <mc:AlternateContent xmlns:mc="http://schemas.openxmlformats.org/markup-compatibility/2006">
      <mc:Choice Requires="x14">
        <oleObject progId="Equation.3" shapeId="11323" r:id="rId61">
          <objectPr defaultSize="0" autoPict="0" r:id="rId11">
            <anchor moveWithCells="1" sizeWithCells="1">
              <from>
                <xdr:col>6</xdr:col>
                <xdr:colOff>0</xdr:colOff>
                <xdr:row>81</xdr:row>
                <xdr:rowOff>0</xdr:rowOff>
              </from>
              <to>
                <xdr:col>6</xdr:col>
                <xdr:colOff>165100</xdr:colOff>
                <xdr:row>81</xdr:row>
                <xdr:rowOff>0</xdr:rowOff>
              </to>
            </anchor>
          </objectPr>
        </oleObject>
      </mc:Choice>
      <mc:Fallback>
        <oleObject progId="Equation.3" shapeId="11323" r:id="rId61"/>
      </mc:Fallback>
    </mc:AlternateContent>
    <mc:AlternateContent xmlns:mc="http://schemas.openxmlformats.org/markup-compatibility/2006">
      <mc:Choice Requires="x14">
        <oleObject progId="Equation.3" shapeId="11324" r:id="rId62">
          <objectPr defaultSize="0" autoPict="0" r:id="rId23">
            <anchor moveWithCells="1" sizeWithCells="1">
              <from>
                <xdr:col>1</xdr:col>
                <xdr:colOff>19050</xdr:colOff>
                <xdr:row>81</xdr:row>
                <xdr:rowOff>0</xdr:rowOff>
              </from>
              <to>
                <xdr:col>1</xdr:col>
                <xdr:colOff>247650</xdr:colOff>
                <xdr:row>81</xdr:row>
                <xdr:rowOff>0</xdr:rowOff>
              </to>
            </anchor>
          </objectPr>
        </oleObject>
      </mc:Choice>
      <mc:Fallback>
        <oleObject progId="Equation.3" shapeId="11324" r:id="rId62"/>
      </mc:Fallback>
    </mc:AlternateContent>
    <mc:AlternateContent xmlns:mc="http://schemas.openxmlformats.org/markup-compatibility/2006">
      <mc:Choice Requires="x14">
        <oleObject progId="Equation.3" shapeId="11325" r:id="rId63">
          <objectPr defaultSize="0" autoPict="0" r:id="rId5">
            <anchor moveWithCells="1" sizeWithCells="1">
              <from>
                <xdr:col>3</xdr:col>
                <xdr:colOff>0</xdr:colOff>
                <xdr:row>81</xdr:row>
                <xdr:rowOff>0</xdr:rowOff>
              </from>
              <to>
                <xdr:col>3</xdr:col>
                <xdr:colOff>241300</xdr:colOff>
                <xdr:row>81</xdr:row>
                <xdr:rowOff>0</xdr:rowOff>
              </to>
            </anchor>
          </objectPr>
        </oleObject>
      </mc:Choice>
      <mc:Fallback>
        <oleObject progId="Equation.3" shapeId="11325" r:id="rId63"/>
      </mc:Fallback>
    </mc:AlternateContent>
    <mc:AlternateContent xmlns:mc="http://schemas.openxmlformats.org/markup-compatibility/2006">
      <mc:Choice Requires="x14">
        <oleObject progId="Equation.3" shapeId="11326" r:id="rId64">
          <objectPr defaultSize="0" autoPict="0" r:id="rId7">
            <anchor moveWithCells="1" sizeWithCells="1">
              <from>
                <xdr:col>4</xdr:col>
                <xdr:colOff>0</xdr:colOff>
                <xdr:row>81</xdr:row>
                <xdr:rowOff>0</xdr:rowOff>
              </from>
              <to>
                <xdr:col>4</xdr:col>
                <xdr:colOff>260350</xdr:colOff>
                <xdr:row>81</xdr:row>
                <xdr:rowOff>0</xdr:rowOff>
              </to>
            </anchor>
          </objectPr>
        </oleObject>
      </mc:Choice>
      <mc:Fallback>
        <oleObject progId="Equation.3" shapeId="11326" r:id="rId64"/>
      </mc:Fallback>
    </mc:AlternateContent>
    <mc:AlternateContent xmlns:mc="http://schemas.openxmlformats.org/markup-compatibility/2006">
      <mc:Choice Requires="x14">
        <oleObject progId="Equation.3" shapeId="11327" r:id="rId65">
          <objectPr defaultSize="0" autoPict="0" r:id="rId9">
            <anchor moveWithCells="1" sizeWithCells="1">
              <from>
                <xdr:col>5</xdr:col>
                <xdr:colOff>0</xdr:colOff>
                <xdr:row>81</xdr:row>
                <xdr:rowOff>0</xdr:rowOff>
              </from>
              <to>
                <xdr:col>5</xdr:col>
                <xdr:colOff>146050</xdr:colOff>
                <xdr:row>81</xdr:row>
                <xdr:rowOff>0</xdr:rowOff>
              </to>
            </anchor>
          </objectPr>
        </oleObject>
      </mc:Choice>
      <mc:Fallback>
        <oleObject progId="Equation.3" shapeId="11327" r:id="rId65"/>
      </mc:Fallback>
    </mc:AlternateContent>
    <mc:AlternateContent xmlns:mc="http://schemas.openxmlformats.org/markup-compatibility/2006">
      <mc:Choice Requires="x14">
        <oleObject progId="Equation.3" shapeId="11328" r:id="rId66">
          <objectPr defaultSize="0" autoPict="0" r:id="rId11">
            <anchor moveWithCells="1" sizeWithCells="1">
              <from>
                <xdr:col>6</xdr:col>
                <xdr:colOff>0</xdr:colOff>
                <xdr:row>81</xdr:row>
                <xdr:rowOff>0</xdr:rowOff>
              </from>
              <to>
                <xdr:col>6</xdr:col>
                <xdr:colOff>165100</xdr:colOff>
                <xdr:row>81</xdr:row>
                <xdr:rowOff>0</xdr:rowOff>
              </to>
            </anchor>
          </objectPr>
        </oleObject>
      </mc:Choice>
      <mc:Fallback>
        <oleObject progId="Equation.3" shapeId="11328" r:id="rId66"/>
      </mc:Fallback>
    </mc:AlternateContent>
    <mc:AlternateContent xmlns:mc="http://schemas.openxmlformats.org/markup-compatibility/2006">
      <mc:Choice Requires="x14">
        <oleObject progId="Equation.3" shapeId="11329" r:id="rId67">
          <objectPr defaultSize="0" autoPict="0" r:id="rId23">
            <anchor moveWithCells="1" sizeWithCells="1">
              <from>
                <xdr:col>1</xdr:col>
                <xdr:colOff>19050</xdr:colOff>
                <xdr:row>81</xdr:row>
                <xdr:rowOff>0</xdr:rowOff>
              </from>
              <to>
                <xdr:col>1</xdr:col>
                <xdr:colOff>247650</xdr:colOff>
                <xdr:row>81</xdr:row>
                <xdr:rowOff>0</xdr:rowOff>
              </to>
            </anchor>
          </objectPr>
        </oleObject>
      </mc:Choice>
      <mc:Fallback>
        <oleObject progId="Equation.3" shapeId="11329" r:id="rId67"/>
      </mc:Fallback>
    </mc:AlternateContent>
    <mc:AlternateContent xmlns:mc="http://schemas.openxmlformats.org/markup-compatibility/2006">
      <mc:Choice Requires="x14">
        <oleObject progId="Equation.3" shapeId="11330" r:id="rId68">
          <objectPr defaultSize="0" autoPict="0" r:id="rId5">
            <anchor moveWithCells="1" sizeWithCells="1">
              <from>
                <xdr:col>3</xdr:col>
                <xdr:colOff>165100</xdr:colOff>
                <xdr:row>82</xdr:row>
                <xdr:rowOff>12700</xdr:rowOff>
              </from>
              <to>
                <xdr:col>3</xdr:col>
                <xdr:colOff>527050</xdr:colOff>
                <xdr:row>83</xdr:row>
                <xdr:rowOff>0</xdr:rowOff>
              </to>
            </anchor>
          </objectPr>
        </oleObject>
      </mc:Choice>
      <mc:Fallback>
        <oleObject progId="Equation.3" shapeId="11330" r:id="rId68"/>
      </mc:Fallback>
    </mc:AlternateContent>
    <mc:AlternateContent xmlns:mc="http://schemas.openxmlformats.org/markup-compatibility/2006">
      <mc:Choice Requires="x14">
        <oleObject progId="Equation.3" shapeId="11331" r:id="rId69">
          <objectPr defaultSize="0" autoPict="0" r:id="rId7">
            <anchor moveWithCells="1" sizeWithCells="1">
              <from>
                <xdr:col>4</xdr:col>
                <xdr:colOff>146050</xdr:colOff>
                <xdr:row>82</xdr:row>
                <xdr:rowOff>12700</xdr:rowOff>
              </from>
              <to>
                <xdr:col>4</xdr:col>
                <xdr:colOff>495300</xdr:colOff>
                <xdr:row>83</xdr:row>
                <xdr:rowOff>0</xdr:rowOff>
              </to>
            </anchor>
          </objectPr>
        </oleObject>
      </mc:Choice>
      <mc:Fallback>
        <oleObject progId="Equation.3" shapeId="11331" r:id="rId69"/>
      </mc:Fallback>
    </mc:AlternateContent>
    <mc:AlternateContent xmlns:mc="http://schemas.openxmlformats.org/markup-compatibility/2006">
      <mc:Choice Requires="x14">
        <oleObject progId="Equation.3" shapeId="11332" r:id="rId70">
          <objectPr defaultSize="0" autoPict="0" r:id="rId9">
            <anchor moveWithCells="1" sizeWithCells="1">
              <from>
                <xdr:col>5</xdr:col>
                <xdr:colOff>190500</xdr:colOff>
                <xdr:row>82</xdr:row>
                <xdr:rowOff>38100</xdr:rowOff>
              </from>
              <to>
                <xdr:col>5</xdr:col>
                <xdr:colOff>431800</xdr:colOff>
                <xdr:row>82</xdr:row>
                <xdr:rowOff>304800</xdr:rowOff>
              </to>
            </anchor>
          </objectPr>
        </oleObject>
      </mc:Choice>
      <mc:Fallback>
        <oleObject progId="Equation.3" shapeId="11332" r:id="rId70"/>
      </mc:Fallback>
    </mc:AlternateContent>
    <mc:AlternateContent xmlns:mc="http://schemas.openxmlformats.org/markup-compatibility/2006">
      <mc:Choice Requires="x14">
        <oleObject progId="Equation.3" shapeId="11333" r:id="rId71">
          <objectPr defaultSize="0" autoPict="0" r:id="rId11">
            <anchor moveWithCells="1" sizeWithCells="1">
              <from>
                <xdr:col>6</xdr:col>
                <xdr:colOff>69850</xdr:colOff>
                <xdr:row>82</xdr:row>
                <xdr:rowOff>50800</xdr:rowOff>
              </from>
              <to>
                <xdr:col>6</xdr:col>
                <xdr:colOff>323850</xdr:colOff>
                <xdr:row>82</xdr:row>
                <xdr:rowOff>304800</xdr:rowOff>
              </to>
            </anchor>
          </objectPr>
        </oleObject>
      </mc:Choice>
      <mc:Fallback>
        <oleObject progId="Equation.3" shapeId="11333" r:id="rId71"/>
      </mc:Fallback>
    </mc:AlternateContent>
    <mc:AlternateContent xmlns:mc="http://schemas.openxmlformats.org/markup-compatibility/2006">
      <mc:Choice Requires="x14">
        <oleObject progId="Equation.3" shapeId="11334" r:id="rId72">
          <objectPr defaultSize="0" autoPict="0" r:id="rId23">
            <anchor moveWithCells="1" sizeWithCells="1">
              <from>
                <xdr:col>1</xdr:col>
                <xdr:colOff>12700</xdr:colOff>
                <xdr:row>103</xdr:row>
                <xdr:rowOff>19050</xdr:rowOff>
              </from>
              <to>
                <xdr:col>1</xdr:col>
                <xdr:colOff>336550</xdr:colOff>
                <xdr:row>103</xdr:row>
                <xdr:rowOff>317500</xdr:rowOff>
              </to>
            </anchor>
          </objectPr>
        </oleObject>
      </mc:Choice>
      <mc:Fallback>
        <oleObject progId="Equation.3" shapeId="11334" r:id="rId72"/>
      </mc:Fallback>
    </mc:AlternateContent>
    <mc:AlternateContent xmlns:mc="http://schemas.openxmlformats.org/markup-compatibility/2006">
      <mc:Choice Requires="x14">
        <oleObject progId="Equation.3" shapeId="11335" r:id="rId73">
          <objectPr defaultSize="0" autoPict="0" r:id="rId17">
            <anchor moveWithCells="1" sizeWithCells="1">
              <from>
                <xdr:col>7</xdr:col>
                <xdr:colOff>190500</xdr:colOff>
                <xdr:row>82</xdr:row>
                <xdr:rowOff>0</xdr:rowOff>
              </from>
              <to>
                <xdr:col>7</xdr:col>
                <xdr:colOff>381000</xdr:colOff>
                <xdr:row>83</xdr:row>
                <xdr:rowOff>0</xdr:rowOff>
              </to>
            </anchor>
          </objectPr>
        </oleObject>
      </mc:Choice>
      <mc:Fallback>
        <oleObject progId="Equation.3" shapeId="11335" r:id="rId73"/>
      </mc:Fallback>
    </mc:AlternateContent>
    <mc:AlternateContent xmlns:mc="http://schemas.openxmlformats.org/markup-compatibility/2006">
      <mc:Choice Requires="x14">
        <oleObject progId="Equation.3" shapeId="11336" r:id="rId74">
          <objectPr defaultSize="0" autoPict="0" r:id="rId13">
            <anchor moveWithCells="1" sizeWithCells="1">
              <from>
                <xdr:col>3</xdr:col>
                <xdr:colOff>260350</xdr:colOff>
                <xdr:row>97</xdr:row>
                <xdr:rowOff>38100</xdr:rowOff>
              </from>
              <to>
                <xdr:col>3</xdr:col>
                <xdr:colOff>647700</xdr:colOff>
                <xdr:row>97</xdr:row>
                <xdr:rowOff>374650</xdr:rowOff>
              </to>
            </anchor>
          </objectPr>
        </oleObject>
      </mc:Choice>
      <mc:Fallback>
        <oleObject progId="Equation.3" shapeId="11336" r:id="rId74"/>
      </mc:Fallback>
    </mc:AlternateContent>
    <mc:AlternateContent xmlns:mc="http://schemas.openxmlformats.org/markup-compatibility/2006">
      <mc:Choice Requires="x14">
        <oleObject progId="Equation.3" shapeId="11337" r:id="rId75">
          <objectPr defaultSize="0" autoPict="0" r:id="rId15">
            <anchor moveWithCells="1" sizeWithCells="1">
              <from>
                <xdr:col>4</xdr:col>
                <xdr:colOff>95250</xdr:colOff>
                <xdr:row>97</xdr:row>
                <xdr:rowOff>31750</xdr:rowOff>
              </from>
              <to>
                <xdr:col>4</xdr:col>
                <xdr:colOff>374650</xdr:colOff>
                <xdr:row>97</xdr:row>
                <xdr:rowOff>400050</xdr:rowOff>
              </to>
            </anchor>
          </objectPr>
        </oleObject>
      </mc:Choice>
      <mc:Fallback>
        <oleObject progId="Equation.3" shapeId="11337" r:id="rId75"/>
      </mc:Fallback>
    </mc:AlternateContent>
    <mc:AlternateContent xmlns:mc="http://schemas.openxmlformats.org/markup-compatibility/2006">
      <mc:Choice Requires="x14">
        <oleObject progId="Equation.3" shapeId="11338" r:id="rId76">
          <objectPr defaultSize="0" autoPict="0" r:id="rId9">
            <anchor moveWithCells="1" sizeWithCells="1">
              <from>
                <xdr:col>5</xdr:col>
                <xdr:colOff>88900</xdr:colOff>
                <xdr:row>97</xdr:row>
                <xdr:rowOff>76200</xdr:rowOff>
              </from>
              <to>
                <xdr:col>5</xdr:col>
                <xdr:colOff>323850</xdr:colOff>
                <xdr:row>97</xdr:row>
                <xdr:rowOff>342900</xdr:rowOff>
              </to>
            </anchor>
          </objectPr>
        </oleObject>
      </mc:Choice>
      <mc:Fallback>
        <oleObject progId="Equation.3" shapeId="11338" r:id="rId76"/>
      </mc:Fallback>
    </mc:AlternateContent>
    <mc:AlternateContent xmlns:mc="http://schemas.openxmlformats.org/markup-compatibility/2006">
      <mc:Choice Requires="x14">
        <oleObject progId="Equation.3" shapeId="11339" r:id="rId77">
          <objectPr defaultSize="0" autoPict="0" r:id="rId11">
            <anchor moveWithCells="1" sizeWithCells="1">
              <from>
                <xdr:col>6</xdr:col>
                <xdr:colOff>69850</xdr:colOff>
                <xdr:row>97</xdr:row>
                <xdr:rowOff>88900</xdr:rowOff>
              </from>
              <to>
                <xdr:col>6</xdr:col>
                <xdr:colOff>323850</xdr:colOff>
                <xdr:row>97</xdr:row>
                <xdr:rowOff>342900</xdr:rowOff>
              </to>
            </anchor>
          </objectPr>
        </oleObject>
      </mc:Choice>
      <mc:Fallback>
        <oleObject progId="Equation.3" shapeId="11339" r:id="rId77"/>
      </mc:Fallback>
    </mc:AlternateContent>
    <mc:AlternateContent xmlns:mc="http://schemas.openxmlformats.org/markup-compatibility/2006">
      <mc:Choice Requires="x14">
        <oleObject progId="Equation.3" shapeId="11340" r:id="rId78">
          <objectPr defaultSize="0" autoPict="0" r:id="rId17">
            <anchor moveWithCells="1" sizeWithCells="1">
              <from>
                <xdr:col>7</xdr:col>
                <xdr:colOff>69850</xdr:colOff>
                <xdr:row>97</xdr:row>
                <xdr:rowOff>31750</xdr:rowOff>
              </from>
              <to>
                <xdr:col>7</xdr:col>
                <xdr:colOff>260350</xdr:colOff>
                <xdr:row>97</xdr:row>
                <xdr:rowOff>393700</xdr:rowOff>
              </to>
            </anchor>
          </objectPr>
        </oleObject>
      </mc:Choice>
      <mc:Fallback>
        <oleObject progId="Equation.3" shapeId="11340" r:id="rId78"/>
      </mc:Fallback>
    </mc:AlternateContent>
    <mc:AlternateContent xmlns:mc="http://schemas.openxmlformats.org/markup-compatibility/2006">
      <mc:Choice Requires="x14">
        <oleObject progId="Equation.3" shapeId="11341" r:id="rId79">
          <objectPr defaultSize="0" autoPict="0" r:id="rId5">
            <anchor moveWithCells="1" sizeWithCells="1">
              <from>
                <xdr:col>3</xdr:col>
                <xdr:colOff>0</xdr:colOff>
                <xdr:row>109</xdr:row>
                <xdr:rowOff>0</xdr:rowOff>
              </from>
              <to>
                <xdr:col>3</xdr:col>
                <xdr:colOff>241300</xdr:colOff>
                <xdr:row>109</xdr:row>
                <xdr:rowOff>0</xdr:rowOff>
              </to>
            </anchor>
          </objectPr>
        </oleObject>
      </mc:Choice>
      <mc:Fallback>
        <oleObject progId="Equation.3" shapeId="11341" r:id="rId79"/>
      </mc:Fallback>
    </mc:AlternateContent>
    <mc:AlternateContent xmlns:mc="http://schemas.openxmlformats.org/markup-compatibility/2006">
      <mc:Choice Requires="x14">
        <oleObject progId="Equation.3" shapeId="11342" r:id="rId80">
          <objectPr defaultSize="0" autoPict="0" r:id="rId7">
            <anchor moveWithCells="1" sizeWithCells="1">
              <from>
                <xdr:col>4</xdr:col>
                <xdr:colOff>0</xdr:colOff>
                <xdr:row>109</xdr:row>
                <xdr:rowOff>0</xdr:rowOff>
              </from>
              <to>
                <xdr:col>4</xdr:col>
                <xdr:colOff>260350</xdr:colOff>
                <xdr:row>109</xdr:row>
                <xdr:rowOff>0</xdr:rowOff>
              </to>
            </anchor>
          </objectPr>
        </oleObject>
      </mc:Choice>
      <mc:Fallback>
        <oleObject progId="Equation.3" shapeId="11342" r:id="rId80"/>
      </mc:Fallback>
    </mc:AlternateContent>
    <mc:AlternateContent xmlns:mc="http://schemas.openxmlformats.org/markup-compatibility/2006">
      <mc:Choice Requires="x14">
        <oleObject progId="Equation.3" shapeId="11343" r:id="rId81">
          <objectPr defaultSize="0" autoPict="0" r:id="rId9">
            <anchor moveWithCells="1" sizeWithCells="1">
              <from>
                <xdr:col>5</xdr:col>
                <xdr:colOff>0</xdr:colOff>
                <xdr:row>109</xdr:row>
                <xdr:rowOff>0</xdr:rowOff>
              </from>
              <to>
                <xdr:col>5</xdr:col>
                <xdr:colOff>146050</xdr:colOff>
                <xdr:row>109</xdr:row>
                <xdr:rowOff>0</xdr:rowOff>
              </to>
            </anchor>
          </objectPr>
        </oleObject>
      </mc:Choice>
      <mc:Fallback>
        <oleObject progId="Equation.3" shapeId="11343" r:id="rId81"/>
      </mc:Fallback>
    </mc:AlternateContent>
    <mc:AlternateContent xmlns:mc="http://schemas.openxmlformats.org/markup-compatibility/2006">
      <mc:Choice Requires="x14">
        <oleObject progId="Equation.3" shapeId="11344" r:id="rId82">
          <objectPr defaultSize="0" autoPict="0" r:id="rId11">
            <anchor moveWithCells="1" sizeWithCells="1">
              <from>
                <xdr:col>6</xdr:col>
                <xdr:colOff>0</xdr:colOff>
                <xdr:row>109</xdr:row>
                <xdr:rowOff>0</xdr:rowOff>
              </from>
              <to>
                <xdr:col>6</xdr:col>
                <xdr:colOff>165100</xdr:colOff>
                <xdr:row>109</xdr:row>
                <xdr:rowOff>0</xdr:rowOff>
              </to>
            </anchor>
          </objectPr>
        </oleObject>
      </mc:Choice>
      <mc:Fallback>
        <oleObject progId="Equation.3" shapeId="11344" r:id="rId82"/>
      </mc:Fallback>
    </mc:AlternateContent>
    <mc:AlternateContent xmlns:mc="http://schemas.openxmlformats.org/markup-compatibility/2006">
      <mc:Choice Requires="x14">
        <oleObject progId="Equation.3" shapeId="11345" r:id="rId83">
          <objectPr defaultSize="0" autoPict="0" r:id="rId23">
            <anchor moveWithCells="1" sizeWithCells="1">
              <from>
                <xdr:col>1</xdr:col>
                <xdr:colOff>19050</xdr:colOff>
                <xdr:row>109</xdr:row>
                <xdr:rowOff>0</xdr:rowOff>
              </from>
              <to>
                <xdr:col>1</xdr:col>
                <xdr:colOff>247650</xdr:colOff>
                <xdr:row>109</xdr:row>
                <xdr:rowOff>0</xdr:rowOff>
              </to>
            </anchor>
          </objectPr>
        </oleObject>
      </mc:Choice>
      <mc:Fallback>
        <oleObject progId="Equation.3" shapeId="11345" r:id="rId83"/>
      </mc:Fallback>
    </mc:AlternateContent>
    <mc:AlternateContent xmlns:mc="http://schemas.openxmlformats.org/markup-compatibility/2006">
      <mc:Choice Requires="x14">
        <oleObject progId="Equation.3" shapeId="11346" r:id="rId84">
          <objectPr defaultSize="0" autoPict="0" r:id="rId5">
            <anchor moveWithCells="1" sizeWithCells="1">
              <from>
                <xdr:col>3</xdr:col>
                <xdr:colOff>0</xdr:colOff>
                <xdr:row>109</xdr:row>
                <xdr:rowOff>0</xdr:rowOff>
              </from>
              <to>
                <xdr:col>3</xdr:col>
                <xdr:colOff>241300</xdr:colOff>
                <xdr:row>109</xdr:row>
                <xdr:rowOff>0</xdr:rowOff>
              </to>
            </anchor>
          </objectPr>
        </oleObject>
      </mc:Choice>
      <mc:Fallback>
        <oleObject progId="Equation.3" shapeId="11346" r:id="rId84"/>
      </mc:Fallback>
    </mc:AlternateContent>
    <mc:AlternateContent xmlns:mc="http://schemas.openxmlformats.org/markup-compatibility/2006">
      <mc:Choice Requires="x14">
        <oleObject progId="Equation.3" shapeId="11347" r:id="rId85">
          <objectPr defaultSize="0" autoPict="0" r:id="rId7">
            <anchor moveWithCells="1" sizeWithCells="1">
              <from>
                <xdr:col>4</xdr:col>
                <xdr:colOff>0</xdr:colOff>
                <xdr:row>109</xdr:row>
                <xdr:rowOff>0</xdr:rowOff>
              </from>
              <to>
                <xdr:col>4</xdr:col>
                <xdr:colOff>260350</xdr:colOff>
                <xdr:row>109</xdr:row>
                <xdr:rowOff>0</xdr:rowOff>
              </to>
            </anchor>
          </objectPr>
        </oleObject>
      </mc:Choice>
      <mc:Fallback>
        <oleObject progId="Equation.3" shapeId="11347" r:id="rId85"/>
      </mc:Fallback>
    </mc:AlternateContent>
    <mc:AlternateContent xmlns:mc="http://schemas.openxmlformats.org/markup-compatibility/2006">
      <mc:Choice Requires="x14">
        <oleObject progId="Equation.3" shapeId="11348" r:id="rId86">
          <objectPr defaultSize="0" autoPict="0" r:id="rId9">
            <anchor moveWithCells="1" sizeWithCells="1">
              <from>
                <xdr:col>5</xdr:col>
                <xdr:colOff>0</xdr:colOff>
                <xdr:row>109</xdr:row>
                <xdr:rowOff>0</xdr:rowOff>
              </from>
              <to>
                <xdr:col>5</xdr:col>
                <xdr:colOff>146050</xdr:colOff>
                <xdr:row>109</xdr:row>
                <xdr:rowOff>0</xdr:rowOff>
              </to>
            </anchor>
          </objectPr>
        </oleObject>
      </mc:Choice>
      <mc:Fallback>
        <oleObject progId="Equation.3" shapeId="11348" r:id="rId86"/>
      </mc:Fallback>
    </mc:AlternateContent>
    <mc:AlternateContent xmlns:mc="http://schemas.openxmlformats.org/markup-compatibility/2006">
      <mc:Choice Requires="x14">
        <oleObject progId="Equation.3" shapeId="11349" r:id="rId87">
          <objectPr defaultSize="0" autoPict="0" r:id="rId11">
            <anchor moveWithCells="1" sizeWithCells="1">
              <from>
                <xdr:col>6</xdr:col>
                <xdr:colOff>0</xdr:colOff>
                <xdr:row>109</xdr:row>
                <xdr:rowOff>0</xdr:rowOff>
              </from>
              <to>
                <xdr:col>6</xdr:col>
                <xdr:colOff>165100</xdr:colOff>
                <xdr:row>109</xdr:row>
                <xdr:rowOff>0</xdr:rowOff>
              </to>
            </anchor>
          </objectPr>
        </oleObject>
      </mc:Choice>
      <mc:Fallback>
        <oleObject progId="Equation.3" shapeId="11349" r:id="rId87"/>
      </mc:Fallback>
    </mc:AlternateContent>
    <mc:AlternateContent xmlns:mc="http://schemas.openxmlformats.org/markup-compatibility/2006">
      <mc:Choice Requires="x14">
        <oleObject progId="Equation.3" shapeId="11350" r:id="rId88">
          <objectPr defaultSize="0" autoPict="0" r:id="rId23">
            <anchor moveWithCells="1" sizeWithCells="1">
              <from>
                <xdr:col>1</xdr:col>
                <xdr:colOff>19050</xdr:colOff>
                <xdr:row>109</xdr:row>
                <xdr:rowOff>0</xdr:rowOff>
              </from>
              <to>
                <xdr:col>1</xdr:col>
                <xdr:colOff>247650</xdr:colOff>
                <xdr:row>109</xdr:row>
                <xdr:rowOff>0</xdr:rowOff>
              </to>
            </anchor>
          </objectPr>
        </oleObject>
      </mc:Choice>
      <mc:Fallback>
        <oleObject progId="Equation.3" shapeId="11350" r:id="rId88"/>
      </mc:Fallback>
    </mc:AlternateContent>
    <mc:AlternateContent xmlns:mc="http://schemas.openxmlformats.org/markup-compatibility/2006">
      <mc:Choice Requires="x14">
        <oleObject progId="Equation.3" shapeId="11351" r:id="rId89">
          <objectPr defaultSize="0" autoPict="0" r:id="rId5">
            <anchor moveWithCells="1" sizeWithCells="1">
              <from>
                <xdr:col>3</xdr:col>
                <xdr:colOff>0</xdr:colOff>
                <xdr:row>109</xdr:row>
                <xdr:rowOff>0</xdr:rowOff>
              </from>
              <to>
                <xdr:col>3</xdr:col>
                <xdr:colOff>241300</xdr:colOff>
                <xdr:row>109</xdr:row>
                <xdr:rowOff>0</xdr:rowOff>
              </to>
            </anchor>
          </objectPr>
        </oleObject>
      </mc:Choice>
      <mc:Fallback>
        <oleObject progId="Equation.3" shapeId="11351" r:id="rId89"/>
      </mc:Fallback>
    </mc:AlternateContent>
    <mc:AlternateContent xmlns:mc="http://schemas.openxmlformats.org/markup-compatibility/2006">
      <mc:Choice Requires="x14">
        <oleObject progId="Equation.3" shapeId="11352" r:id="rId90">
          <objectPr defaultSize="0" autoPict="0" r:id="rId7">
            <anchor moveWithCells="1" sizeWithCells="1">
              <from>
                <xdr:col>4</xdr:col>
                <xdr:colOff>0</xdr:colOff>
                <xdr:row>109</xdr:row>
                <xdr:rowOff>0</xdr:rowOff>
              </from>
              <to>
                <xdr:col>4</xdr:col>
                <xdr:colOff>260350</xdr:colOff>
                <xdr:row>109</xdr:row>
                <xdr:rowOff>0</xdr:rowOff>
              </to>
            </anchor>
          </objectPr>
        </oleObject>
      </mc:Choice>
      <mc:Fallback>
        <oleObject progId="Equation.3" shapeId="11352" r:id="rId90"/>
      </mc:Fallback>
    </mc:AlternateContent>
    <mc:AlternateContent xmlns:mc="http://schemas.openxmlformats.org/markup-compatibility/2006">
      <mc:Choice Requires="x14">
        <oleObject progId="Equation.3" shapeId="11353" r:id="rId91">
          <objectPr defaultSize="0" autoPict="0" r:id="rId9">
            <anchor moveWithCells="1" sizeWithCells="1">
              <from>
                <xdr:col>5</xdr:col>
                <xdr:colOff>0</xdr:colOff>
                <xdr:row>109</xdr:row>
                <xdr:rowOff>0</xdr:rowOff>
              </from>
              <to>
                <xdr:col>5</xdr:col>
                <xdr:colOff>146050</xdr:colOff>
                <xdr:row>109</xdr:row>
                <xdr:rowOff>0</xdr:rowOff>
              </to>
            </anchor>
          </objectPr>
        </oleObject>
      </mc:Choice>
      <mc:Fallback>
        <oleObject progId="Equation.3" shapeId="11353" r:id="rId91"/>
      </mc:Fallback>
    </mc:AlternateContent>
    <mc:AlternateContent xmlns:mc="http://schemas.openxmlformats.org/markup-compatibility/2006">
      <mc:Choice Requires="x14">
        <oleObject progId="Equation.3" shapeId="11354" r:id="rId92">
          <objectPr defaultSize="0" autoPict="0" r:id="rId11">
            <anchor moveWithCells="1" sizeWithCells="1">
              <from>
                <xdr:col>6</xdr:col>
                <xdr:colOff>0</xdr:colOff>
                <xdr:row>109</xdr:row>
                <xdr:rowOff>0</xdr:rowOff>
              </from>
              <to>
                <xdr:col>6</xdr:col>
                <xdr:colOff>165100</xdr:colOff>
                <xdr:row>109</xdr:row>
                <xdr:rowOff>0</xdr:rowOff>
              </to>
            </anchor>
          </objectPr>
        </oleObject>
      </mc:Choice>
      <mc:Fallback>
        <oleObject progId="Equation.3" shapeId="11354" r:id="rId92"/>
      </mc:Fallback>
    </mc:AlternateContent>
    <mc:AlternateContent xmlns:mc="http://schemas.openxmlformats.org/markup-compatibility/2006">
      <mc:Choice Requires="x14">
        <oleObject progId="Equation.3" shapeId="11355" r:id="rId93">
          <objectPr defaultSize="0" autoPict="0" r:id="rId23">
            <anchor moveWithCells="1" sizeWithCells="1">
              <from>
                <xdr:col>1</xdr:col>
                <xdr:colOff>19050</xdr:colOff>
                <xdr:row>109</xdr:row>
                <xdr:rowOff>0</xdr:rowOff>
              </from>
              <to>
                <xdr:col>1</xdr:col>
                <xdr:colOff>247650</xdr:colOff>
                <xdr:row>109</xdr:row>
                <xdr:rowOff>0</xdr:rowOff>
              </to>
            </anchor>
          </objectPr>
        </oleObject>
      </mc:Choice>
      <mc:Fallback>
        <oleObject progId="Equation.3" shapeId="11355" r:id="rId93"/>
      </mc:Fallback>
    </mc:AlternateContent>
    <mc:AlternateContent xmlns:mc="http://schemas.openxmlformats.org/markup-compatibility/2006">
      <mc:Choice Requires="x14">
        <oleObject progId="Equation.3" shapeId="11356" r:id="rId94">
          <objectPr defaultSize="0" autoPict="0" r:id="rId5">
            <anchor moveWithCells="1" sizeWithCells="1">
              <from>
                <xdr:col>3</xdr:col>
                <xdr:colOff>165100</xdr:colOff>
                <xdr:row>110</xdr:row>
                <xdr:rowOff>12700</xdr:rowOff>
              </from>
              <to>
                <xdr:col>3</xdr:col>
                <xdr:colOff>527050</xdr:colOff>
                <xdr:row>111</xdr:row>
                <xdr:rowOff>0</xdr:rowOff>
              </to>
            </anchor>
          </objectPr>
        </oleObject>
      </mc:Choice>
      <mc:Fallback>
        <oleObject progId="Equation.3" shapeId="11356" r:id="rId94"/>
      </mc:Fallback>
    </mc:AlternateContent>
    <mc:AlternateContent xmlns:mc="http://schemas.openxmlformats.org/markup-compatibility/2006">
      <mc:Choice Requires="x14">
        <oleObject progId="Equation.3" shapeId="11357" r:id="rId95">
          <objectPr defaultSize="0" autoPict="0" r:id="rId7">
            <anchor moveWithCells="1" sizeWithCells="1">
              <from>
                <xdr:col>4</xdr:col>
                <xdr:colOff>146050</xdr:colOff>
                <xdr:row>110</xdr:row>
                <xdr:rowOff>12700</xdr:rowOff>
              </from>
              <to>
                <xdr:col>4</xdr:col>
                <xdr:colOff>495300</xdr:colOff>
                <xdr:row>111</xdr:row>
                <xdr:rowOff>0</xdr:rowOff>
              </to>
            </anchor>
          </objectPr>
        </oleObject>
      </mc:Choice>
      <mc:Fallback>
        <oleObject progId="Equation.3" shapeId="11357" r:id="rId95"/>
      </mc:Fallback>
    </mc:AlternateContent>
    <mc:AlternateContent xmlns:mc="http://schemas.openxmlformats.org/markup-compatibility/2006">
      <mc:Choice Requires="x14">
        <oleObject progId="Equation.3" shapeId="11358" r:id="rId96">
          <objectPr defaultSize="0" autoPict="0" r:id="rId9">
            <anchor moveWithCells="1" sizeWithCells="1">
              <from>
                <xdr:col>5</xdr:col>
                <xdr:colOff>190500</xdr:colOff>
                <xdr:row>110</xdr:row>
                <xdr:rowOff>38100</xdr:rowOff>
              </from>
              <to>
                <xdr:col>5</xdr:col>
                <xdr:colOff>431800</xdr:colOff>
                <xdr:row>110</xdr:row>
                <xdr:rowOff>304800</xdr:rowOff>
              </to>
            </anchor>
          </objectPr>
        </oleObject>
      </mc:Choice>
      <mc:Fallback>
        <oleObject progId="Equation.3" shapeId="11358" r:id="rId96"/>
      </mc:Fallback>
    </mc:AlternateContent>
    <mc:AlternateContent xmlns:mc="http://schemas.openxmlformats.org/markup-compatibility/2006">
      <mc:Choice Requires="x14">
        <oleObject progId="Equation.3" shapeId="11359" r:id="rId97">
          <objectPr defaultSize="0" autoPict="0" r:id="rId11">
            <anchor moveWithCells="1" sizeWithCells="1">
              <from>
                <xdr:col>6</xdr:col>
                <xdr:colOff>69850</xdr:colOff>
                <xdr:row>110</xdr:row>
                <xdr:rowOff>50800</xdr:rowOff>
              </from>
              <to>
                <xdr:col>6</xdr:col>
                <xdr:colOff>323850</xdr:colOff>
                <xdr:row>110</xdr:row>
                <xdr:rowOff>304800</xdr:rowOff>
              </to>
            </anchor>
          </objectPr>
        </oleObject>
      </mc:Choice>
      <mc:Fallback>
        <oleObject progId="Equation.3" shapeId="11359" r:id="rId97"/>
      </mc:Fallback>
    </mc:AlternateContent>
    <mc:AlternateContent xmlns:mc="http://schemas.openxmlformats.org/markup-compatibility/2006">
      <mc:Choice Requires="x14">
        <oleObject progId="Equation.3" shapeId="11360" r:id="rId98">
          <objectPr defaultSize="0" autoPict="0" r:id="rId23">
            <anchor moveWithCells="1" sizeWithCells="1">
              <from>
                <xdr:col>1</xdr:col>
                <xdr:colOff>12700</xdr:colOff>
                <xdr:row>125</xdr:row>
                <xdr:rowOff>19050</xdr:rowOff>
              </from>
              <to>
                <xdr:col>1</xdr:col>
                <xdr:colOff>336550</xdr:colOff>
                <xdr:row>125</xdr:row>
                <xdr:rowOff>317500</xdr:rowOff>
              </to>
            </anchor>
          </objectPr>
        </oleObject>
      </mc:Choice>
      <mc:Fallback>
        <oleObject progId="Equation.3" shapeId="11360" r:id="rId98"/>
      </mc:Fallback>
    </mc:AlternateContent>
    <mc:AlternateContent xmlns:mc="http://schemas.openxmlformats.org/markup-compatibility/2006">
      <mc:Choice Requires="x14">
        <oleObject progId="Equation.3" shapeId="11361" r:id="rId99">
          <objectPr defaultSize="0" autoPict="0" r:id="rId17">
            <anchor moveWithCells="1" sizeWithCells="1">
              <from>
                <xdr:col>7</xdr:col>
                <xdr:colOff>190500</xdr:colOff>
                <xdr:row>110</xdr:row>
                <xdr:rowOff>0</xdr:rowOff>
              </from>
              <to>
                <xdr:col>7</xdr:col>
                <xdr:colOff>381000</xdr:colOff>
                <xdr:row>111</xdr:row>
                <xdr:rowOff>0</xdr:rowOff>
              </to>
            </anchor>
          </objectPr>
        </oleObject>
      </mc:Choice>
      <mc:Fallback>
        <oleObject progId="Equation.3" shapeId="11361" r:id="rId99"/>
      </mc:Fallback>
    </mc:AlternateContent>
    <mc:AlternateContent xmlns:mc="http://schemas.openxmlformats.org/markup-compatibility/2006">
      <mc:Choice Requires="x14">
        <oleObject progId="Equation.3" shapeId="11362" r:id="rId100">
          <objectPr defaultSize="0" autoPict="0" r:id="rId13">
            <anchor moveWithCells="1" sizeWithCells="1">
              <from>
                <xdr:col>3</xdr:col>
                <xdr:colOff>260350</xdr:colOff>
                <xdr:row>118</xdr:row>
                <xdr:rowOff>38100</xdr:rowOff>
              </from>
              <to>
                <xdr:col>3</xdr:col>
                <xdr:colOff>647700</xdr:colOff>
                <xdr:row>118</xdr:row>
                <xdr:rowOff>374650</xdr:rowOff>
              </to>
            </anchor>
          </objectPr>
        </oleObject>
      </mc:Choice>
      <mc:Fallback>
        <oleObject progId="Equation.3" shapeId="11362" r:id="rId100"/>
      </mc:Fallback>
    </mc:AlternateContent>
    <mc:AlternateContent xmlns:mc="http://schemas.openxmlformats.org/markup-compatibility/2006">
      <mc:Choice Requires="x14">
        <oleObject progId="Equation.3" shapeId="11363" r:id="rId101">
          <objectPr defaultSize="0" autoPict="0" r:id="rId15">
            <anchor moveWithCells="1" sizeWithCells="1">
              <from>
                <xdr:col>4</xdr:col>
                <xdr:colOff>95250</xdr:colOff>
                <xdr:row>118</xdr:row>
                <xdr:rowOff>31750</xdr:rowOff>
              </from>
              <to>
                <xdr:col>4</xdr:col>
                <xdr:colOff>374650</xdr:colOff>
                <xdr:row>118</xdr:row>
                <xdr:rowOff>400050</xdr:rowOff>
              </to>
            </anchor>
          </objectPr>
        </oleObject>
      </mc:Choice>
      <mc:Fallback>
        <oleObject progId="Equation.3" shapeId="11363" r:id="rId101"/>
      </mc:Fallback>
    </mc:AlternateContent>
    <mc:AlternateContent xmlns:mc="http://schemas.openxmlformats.org/markup-compatibility/2006">
      <mc:Choice Requires="x14">
        <oleObject progId="Equation.3" shapeId="11364" r:id="rId102">
          <objectPr defaultSize="0" autoPict="0" r:id="rId9">
            <anchor moveWithCells="1" sizeWithCells="1">
              <from>
                <xdr:col>5</xdr:col>
                <xdr:colOff>88900</xdr:colOff>
                <xdr:row>118</xdr:row>
                <xdr:rowOff>76200</xdr:rowOff>
              </from>
              <to>
                <xdr:col>5</xdr:col>
                <xdr:colOff>323850</xdr:colOff>
                <xdr:row>118</xdr:row>
                <xdr:rowOff>342900</xdr:rowOff>
              </to>
            </anchor>
          </objectPr>
        </oleObject>
      </mc:Choice>
      <mc:Fallback>
        <oleObject progId="Equation.3" shapeId="11364" r:id="rId102"/>
      </mc:Fallback>
    </mc:AlternateContent>
    <mc:AlternateContent xmlns:mc="http://schemas.openxmlformats.org/markup-compatibility/2006">
      <mc:Choice Requires="x14">
        <oleObject progId="Equation.3" shapeId="11365" r:id="rId103">
          <objectPr defaultSize="0" autoPict="0" r:id="rId11">
            <anchor moveWithCells="1" sizeWithCells="1">
              <from>
                <xdr:col>6</xdr:col>
                <xdr:colOff>69850</xdr:colOff>
                <xdr:row>118</xdr:row>
                <xdr:rowOff>88900</xdr:rowOff>
              </from>
              <to>
                <xdr:col>6</xdr:col>
                <xdr:colOff>323850</xdr:colOff>
                <xdr:row>118</xdr:row>
                <xdr:rowOff>342900</xdr:rowOff>
              </to>
            </anchor>
          </objectPr>
        </oleObject>
      </mc:Choice>
      <mc:Fallback>
        <oleObject progId="Equation.3" shapeId="11365" r:id="rId103"/>
      </mc:Fallback>
    </mc:AlternateContent>
    <mc:AlternateContent xmlns:mc="http://schemas.openxmlformats.org/markup-compatibility/2006">
      <mc:Choice Requires="x14">
        <oleObject progId="Equation.3" shapeId="11366" r:id="rId104">
          <objectPr defaultSize="0" autoPict="0" r:id="rId17">
            <anchor moveWithCells="1" sizeWithCells="1">
              <from>
                <xdr:col>7</xdr:col>
                <xdr:colOff>69850</xdr:colOff>
                <xdr:row>118</xdr:row>
                <xdr:rowOff>31750</xdr:rowOff>
              </from>
              <to>
                <xdr:col>7</xdr:col>
                <xdr:colOff>260350</xdr:colOff>
                <xdr:row>118</xdr:row>
                <xdr:rowOff>393700</xdr:rowOff>
              </to>
            </anchor>
          </objectPr>
        </oleObject>
      </mc:Choice>
      <mc:Fallback>
        <oleObject progId="Equation.3" shapeId="11366" r:id="rId10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3:N11"/>
  <sheetViews>
    <sheetView workbookViewId="0">
      <selection activeCell="G17" sqref="G17"/>
    </sheetView>
  </sheetViews>
  <sheetFormatPr defaultRowHeight="14.5"/>
  <cols>
    <col min="2" max="2" width="12.7265625" bestFit="1" customWidth="1"/>
    <col min="3" max="3" width="10.81640625" bestFit="1" customWidth="1"/>
    <col min="4" max="4" width="10.7265625" bestFit="1" customWidth="1"/>
    <col min="5" max="5" width="17.7265625" bestFit="1" customWidth="1"/>
    <col min="7" max="7" width="12.1796875" bestFit="1" customWidth="1"/>
    <col min="8" max="8" width="10.54296875" bestFit="1" customWidth="1"/>
    <col min="9" max="9" width="14.26953125" bestFit="1" customWidth="1"/>
    <col min="10" max="10" width="11.26953125" bestFit="1" customWidth="1"/>
    <col min="11" max="11" width="15.7265625" bestFit="1" customWidth="1"/>
    <col min="12" max="12" width="15.26953125" bestFit="1" customWidth="1"/>
    <col min="13" max="13" width="14.453125" bestFit="1" customWidth="1"/>
    <col min="14" max="14" width="12.54296875" bestFit="1" customWidth="1"/>
  </cols>
  <sheetData>
    <row r="3" spans="2:14" ht="30.5">
      <c r="B3" s="4"/>
      <c r="C3" s="4"/>
      <c r="D3" s="4"/>
      <c r="E3" s="25" t="s">
        <v>2</v>
      </c>
      <c r="F3" s="4"/>
      <c r="G3" s="4"/>
      <c r="H3" s="4"/>
      <c r="I3" s="4"/>
      <c r="J3" s="4"/>
      <c r="K3" s="4"/>
      <c r="L3" s="4"/>
      <c r="M3" s="4"/>
      <c r="N3" s="4"/>
    </row>
    <row r="4" spans="2:14" ht="18">
      <c r="B4" s="4"/>
      <c r="C4" s="4"/>
      <c r="D4" s="4"/>
      <c r="E4" s="4"/>
      <c r="F4" s="4"/>
      <c r="G4" s="26">
        <f>'PMS Import'!C5</f>
        <v>44986</v>
      </c>
      <c r="H4" s="16"/>
      <c r="I4" s="4"/>
      <c r="J4" s="4"/>
      <c r="K4" s="4"/>
      <c r="L4" s="4"/>
      <c r="M4" s="17"/>
      <c r="N4" s="4"/>
    </row>
    <row r="5" spans="2:14" ht="15" thickBot="1">
      <c r="B5" s="4"/>
      <c r="C5" s="4"/>
      <c r="D5" s="4"/>
      <c r="E5" s="4"/>
      <c r="F5" s="4"/>
      <c r="G5" s="4"/>
      <c r="H5" s="16"/>
      <c r="I5" s="4"/>
      <c r="J5" s="4"/>
      <c r="K5" s="4"/>
      <c r="L5" s="4"/>
      <c r="M5" s="17"/>
      <c r="N5" s="4"/>
    </row>
    <row r="6" spans="2:14">
      <c r="B6" s="18" t="s">
        <v>45</v>
      </c>
      <c r="C6" s="6" t="s">
        <v>46</v>
      </c>
      <c r="D6" s="7" t="s">
        <v>47</v>
      </c>
      <c r="E6" s="8" t="s">
        <v>48</v>
      </c>
      <c r="F6" s="7" t="s">
        <v>49</v>
      </c>
      <c r="G6" s="6" t="s">
        <v>50</v>
      </c>
      <c r="H6" s="19" t="s">
        <v>51</v>
      </c>
      <c r="I6" s="1197" t="s">
        <v>52</v>
      </c>
      <c r="J6" s="1198"/>
      <c r="K6" s="1198"/>
      <c r="L6" s="1198"/>
      <c r="M6" s="1199"/>
      <c r="N6" s="20" t="s">
        <v>53</v>
      </c>
    </row>
    <row r="7" spans="2:14">
      <c r="B7" s="9"/>
      <c r="C7" s="10"/>
      <c r="D7" s="11"/>
      <c r="E7" s="12"/>
      <c r="F7" s="11"/>
      <c r="G7" s="10"/>
      <c r="H7" s="21"/>
      <c r="I7" s="1195" t="s">
        <v>54</v>
      </c>
      <c r="J7" s="1196"/>
      <c r="K7" s="1196"/>
      <c r="L7" s="22" t="s">
        <v>55</v>
      </c>
      <c r="M7" s="23" t="s">
        <v>56</v>
      </c>
      <c r="N7" s="24" t="s">
        <v>57</v>
      </c>
    </row>
    <row r="8" spans="2:14" ht="15" thickBot="1">
      <c r="B8" s="27"/>
      <c r="C8" s="28"/>
      <c r="D8" s="29"/>
      <c r="E8" s="30"/>
      <c r="F8" s="29"/>
      <c r="G8" s="28"/>
      <c r="H8" s="31"/>
      <c r="I8" s="32" t="s">
        <v>58</v>
      </c>
      <c r="J8" s="33" t="s">
        <v>59</v>
      </c>
      <c r="K8" s="34" t="s">
        <v>60</v>
      </c>
      <c r="L8" s="29"/>
      <c r="M8" s="35"/>
      <c r="N8" s="36"/>
    </row>
    <row r="9" spans="2:14">
      <c r="B9" s="37"/>
      <c r="C9" s="38"/>
      <c r="D9" s="39"/>
      <c r="E9" s="40"/>
      <c r="F9" s="40"/>
      <c r="G9" s="41"/>
      <c r="H9" s="42"/>
      <c r="I9" s="41"/>
      <c r="J9" s="43"/>
      <c r="K9" s="43">
        <f>I9*J9</f>
        <v>0</v>
      </c>
      <c r="L9" s="43"/>
      <c r="M9" s="44">
        <f>K9+L9</f>
        <v>0</v>
      </c>
      <c r="N9" s="45"/>
    </row>
    <row r="10" spans="2:14">
      <c r="B10" s="46"/>
      <c r="C10" s="47"/>
      <c r="D10" s="14"/>
      <c r="E10" s="48"/>
      <c r="F10" s="48"/>
      <c r="G10" s="49"/>
      <c r="H10" s="50"/>
      <c r="I10" s="49"/>
      <c r="J10" s="3"/>
      <c r="K10" s="43">
        <f>I10*J10</f>
        <v>0</v>
      </c>
      <c r="L10" s="3"/>
      <c r="M10" s="44">
        <f>K10+L10</f>
        <v>0</v>
      </c>
      <c r="N10" s="45"/>
    </row>
    <row r="11" spans="2:14">
      <c r="B11" s="46"/>
      <c r="C11" s="47"/>
      <c r="D11" s="13"/>
      <c r="E11" s="48"/>
      <c r="F11" s="48"/>
      <c r="G11" s="49"/>
      <c r="H11" s="50"/>
      <c r="I11" s="49"/>
      <c r="J11" s="3"/>
      <c r="K11" s="43">
        <f>I11*J11</f>
        <v>0</v>
      </c>
      <c r="L11" s="3"/>
      <c r="M11" s="44">
        <f>K11+L11</f>
        <v>0</v>
      </c>
      <c r="N11" s="45"/>
    </row>
  </sheetData>
  <mergeCells count="2">
    <mergeCell ref="I7:K7"/>
    <mergeCell ref="I6:M6"/>
  </mergeCells>
  <pageMargins left="0.7" right="0.7" top="0.75" bottom="0.75" header="0.3" footer="0.3"/>
  <pageSetup scale="6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FF0000"/>
  </sheetPr>
  <dimension ref="A1:P75"/>
  <sheetViews>
    <sheetView topLeftCell="B1" zoomScale="82" zoomScaleNormal="82" workbookViewId="0">
      <pane ySplit="3" topLeftCell="A16" activePane="bottomLeft" state="frozen"/>
      <selection activeCell="B1" sqref="B1"/>
      <selection pane="bottomLeft" activeCell="B20" sqref="B20"/>
    </sheetView>
  </sheetViews>
  <sheetFormatPr defaultColWidth="9.1796875" defaultRowHeight="14.5"/>
  <cols>
    <col min="1" max="1" width="3" style="159" customWidth="1"/>
    <col min="2" max="2" width="33" style="159" customWidth="1"/>
    <col min="3" max="3" width="25.7265625" style="159" customWidth="1"/>
    <col min="4" max="4" width="21.81640625" style="414" bestFit="1" customWidth="1"/>
    <col min="5" max="8" width="18.81640625" style="414" customWidth="1"/>
    <col min="9" max="9" width="27.1796875" style="414" bestFit="1" customWidth="1"/>
    <col min="10" max="10" width="21.26953125" style="163" customWidth="1"/>
    <col min="11" max="11" width="15.6328125" style="163" bestFit="1" customWidth="1"/>
    <col min="12" max="12" width="17.453125" style="163" bestFit="1" customWidth="1"/>
    <col min="13" max="15" width="9.1796875" style="163"/>
    <col min="16" max="16" width="9.1796875" style="163" customWidth="1"/>
    <col min="17" max="16384" width="9.1796875" style="163"/>
  </cols>
  <sheetData>
    <row r="1" spans="1:12">
      <c r="D1" s="418"/>
      <c r="E1" s="418"/>
      <c r="F1" s="418"/>
      <c r="G1" s="418"/>
      <c r="H1" s="418"/>
      <c r="I1" s="418"/>
    </row>
    <row r="2" spans="1:12" ht="16.5" customHeight="1">
      <c r="B2" s="196"/>
      <c r="C2" s="196"/>
      <c r="D2" s="1063"/>
      <c r="E2" s="964"/>
      <c r="F2" s="964"/>
      <c r="G2" s="964"/>
      <c r="H2" s="964"/>
      <c r="I2" s="964"/>
    </row>
    <row r="3" spans="1:12" s="859" customFormat="1">
      <c r="A3" s="414"/>
      <c r="B3" s="965" t="s">
        <v>305</v>
      </c>
      <c r="C3" s="966"/>
      <c r="D3" s="967" t="str">
        <f>'PMS Import'!E10</f>
        <v>MT SANMAR SANGEET</v>
      </c>
      <c r="E3" s="967" t="str">
        <f>'PMS Import'!E11</f>
        <v>MT PIS POLARIS</v>
      </c>
      <c r="F3" s="967" t="str">
        <f>'PMS Import'!E12</f>
        <v>MT PHILOXENIA-SOT</v>
      </c>
      <c r="G3" s="967" t="str">
        <f>'PMS Import'!E13</f>
        <v>MT PHILOXENIA-KOSF</v>
      </c>
      <c r="H3" s="967" t="str">
        <f>'PMS Import'!E14</f>
        <v>MT FRONT VEGA</v>
      </c>
      <c r="I3" s="967" t="str">
        <f>'PMS Import'!E15</f>
        <v>MT CLEAROCEAN MESQUITE</v>
      </c>
    </row>
    <row r="4" spans="1:12">
      <c r="B4" s="1202"/>
      <c r="C4" s="1202"/>
      <c r="D4" s="968" t="str">
        <f>'PMS Import'!C10</f>
        <v>E3 ENERGY</v>
      </c>
      <c r="E4" s="968" t="str">
        <f>'PMS Import'!C11</f>
        <v>E3 ENERGY</v>
      </c>
      <c r="F4" s="968" t="str">
        <f>'PMS Import'!C12</f>
        <v>E3 ENERGY</v>
      </c>
      <c r="G4" s="968" t="str">
        <f>'PMS Import'!C13</f>
        <v>E3 ENERGY</v>
      </c>
      <c r="H4" s="968" t="str">
        <f>'PMS Import'!C14</f>
        <v>GULF ENERGY</v>
      </c>
      <c r="I4" s="968" t="str">
        <f>'PMS Import'!C15</f>
        <v>GULF ENERGY</v>
      </c>
    </row>
    <row r="5" spans="1:12">
      <c r="B5" s="1200" t="s">
        <v>304</v>
      </c>
      <c r="C5" s="1200"/>
      <c r="D5" s="969" t="s">
        <v>354</v>
      </c>
      <c r="E5" s="969" t="s">
        <v>354</v>
      </c>
      <c r="F5" s="969" t="s">
        <v>354</v>
      </c>
      <c r="G5" s="969" t="s">
        <v>354</v>
      </c>
      <c r="H5" s="969" t="s">
        <v>354</v>
      </c>
      <c r="I5" s="969" t="s">
        <v>354</v>
      </c>
    </row>
    <row r="6" spans="1:12">
      <c r="B6" s="196" t="s">
        <v>303</v>
      </c>
      <c r="C6" s="966" t="s">
        <v>302</v>
      </c>
      <c r="D6" s="250">
        <v>830.88750000000005</v>
      </c>
      <c r="E6" s="250">
        <v>837.11900000000003</v>
      </c>
      <c r="F6" s="250">
        <v>830.88750000000005</v>
      </c>
      <c r="G6" s="250">
        <v>830.88750000000005</v>
      </c>
      <c r="H6" s="250">
        <v>830.88800000000003</v>
      </c>
      <c r="I6" s="250">
        <v>830.88800000000003</v>
      </c>
      <c r="J6" s="1008">
        <f>AVERAGE(D6:G6)</f>
        <v>832.44537500000001</v>
      </c>
    </row>
    <row r="7" spans="1:12">
      <c r="B7" s="196" t="s">
        <v>301</v>
      </c>
      <c r="C7" s="196" t="s">
        <v>300</v>
      </c>
      <c r="D7" s="250">
        <v>4.8600000000000003</v>
      </c>
      <c r="E7" s="250">
        <v>86.94</v>
      </c>
      <c r="F7" s="250">
        <v>45.96</v>
      </c>
      <c r="G7" s="250">
        <v>45.96</v>
      </c>
      <c r="H7" s="250">
        <v>44.23</v>
      </c>
      <c r="I7" s="250">
        <v>44.23</v>
      </c>
      <c r="J7" s="1008">
        <f>AVERAGE(D7:G7)</f>
        <v>45.93</v>
      </c>
      <c r="K7" s="163">
        <v>932.70175000000006</v>
      </c>
    </row>
    <row r="8" spans="1:12">
      <c r="B8" s="196" t="s">
        <v>299</v>
      </c>
      <c r="C8" s="196" t="s">
        <v>298</v>
      </c>
      <c r="D8" s="250">
        <v>10.028970000000001</v>
      </c>
      <c r="E8" s="250">
        <v>11.088707999999999</v>
      </c>
      <c r="F8" s="250">
        <v>10.522170000000001</v>
      </c>
      <c r="G8" s="250">
        <v>10.522170000000001</v>
      </c>
      <c r="H8" s="250">
        <v>10.501416000000001</v>
      </c>
      <c r="I8" s="250">
        <v>10.501416000000001</v>
      </c>
      <c r="J8" s="1008">
        <f>AVERAGE(D8:G8)</f>
        <v>10.540504500000001</v>
      </c>
      <c r="K8" s="420">
        <f>J6+J7</f>
        <v>878.37537499999996</v>
      </c>
    </row>
    <row r="9" spans="1:12">
      <c r="B9" s="196" t="s">
        <v>664</v>
      </c>
      <c r="C9" s="196"/>
      <c r="D9" s="250">
        <v>3.1654006607644919E-2</v>
      </c>
      <c r="E9" s="250">
        <v>0.16468638405913877</v>
      </c>
      <c r="F9" s="250">
        <v>0.11263009244969993</v>
      </c>
      <c r="G9" s="250">
        <v>0.11263009244969993</v>
      </c>
      <c r="H9" s="250">
        <v>3.0290489496441819E-2</v>
      </c>
      <c r="I9" s="250">
        <v>7.757933399176159E-2</v>
      </c>
      <c r="J9" s="420"/>
      <c r="K9" s="420">
        <f>K7-K8</f>
        <v>54.326375000000098</v>
      </c>
      <c r="L9" s="420"/>
    </row>
    <row r="10" spans="1:12">
      <c r="B10" s="1175" t="s">
        <v>297</v>
      </c>
      <c r="C10" s="1175"/>
      <c r="D10" s="970">
        <f t="shared" ref="D10:I10" si="0">SUM(D6:D9)</f>
        <v>845.80812400660761</v>
      </c>
      <c r="E10" s="970">
        <f t="shared" si="0"/>
        <v>935.31239438405908</v>
      </c>
      <c r="F10" s="970">
        <f t="shared" si="0"/>
        <v>887.48230009244969</v>
      </c>
      <c r="G10" s="970">
        <f t="shared" si="0"/>
        <v>887.48230009244969</v>
      </c>
      <c r="H10" s="970">
        <f t="shared" si="0"/>
        <v>885.64970648949645</v>
      </c>
      <c r="I10" s="970">
        <f t="shared" si="0"/>
        <v>885.69699533399171</v>
      </c>
    </row>
    <row r="11" spans="1:12">
      <c r="B11" s="1200" t="s">
        <v>296</v>
      </c>
      <c r="C11" s="1200"/>
      <c r="D11" s="969" t="s">
        <v>355</v>
      </c>
      <c r="E11" s="969" t="s">
        <v>355</v>
      </c>
      <c r="F11" s="969" t="s">
        <v>355</v>
      </c>
      <c r="G11" s="969" t="s">
        <v>355</v>
      </c>
      <c r="H11" s="969" t="s">
        <v>355</v>
      </c>
      <c r="I11" s="969" t="s">
        <v>355</v>
      </c>
      <c r="K11" s="420">
        <f>K9*J22/(J23*1000)</f>
        <v>5.4723563129867214</v>
      </c>
    </row>
    <row r="12" spans="1:12">
      <c r="B12" s="196" t="s">
        <v>295</v>
      </c>
      <c r="C12" s="227" t="s">
        <v>294</v>
      </c>
      <c r="D12" s="250">
        <v>282.90052875000003</v>
      </c>
      <c r="E12" s="250">
        <v>310.48382399999997</v>
      </c>
      <c r="F12" s="250">
        <v>292.20942937500001</v>
      </c>
      <c r="G12" s="250">
        <v>292.20942937500001</v>
      </c>
      <c r="H12" s="250">
        <v>290.97673500000008</v>
      </c>
      <c r="I12" s="250">
        <v>290.97673500000008</v>
      </c>
    </row>
    <row r="13" spans="1:12">
      <c r="B13" s="196" t="s">
        <v>293</v>
      </c>
      <c r="C13" s="263" t="s">
        <v>292</v>
      </c>
      <c r="D13" s="250">
        <v>31.212415336987505</v>
      </c>
      <c r="E13" s="250">
        <v>34.255680301920002</v>
      </c>
      <c r="F13" s="250">
        <v>32.239466342943757</v>
      </c>
      <c r="G13" s="250">
        <v>32.239466342943757</v>
      </c>
      <c r="H13" s="250">
        <v>32.103463172550001</v>
      </c>
      <c r="I13" s="250">
        <v>32.103463172550001</v>
      </c>
    </row>
    <row r="14" spans="1:12">
      <c r="B14" s="971" t="s">
        <v>290</v>
      </c>
      <c r="C14" s="971" t="s">
        <v>289</v>
      </c>
      <c r="D14" s="972">
        <v>345.54080000000005</v>
      </c>
      <c r="E14" s="972">
        <v>342.98880000000003</v>
      </c>
      <c r="F14" s="972">
        <v>340.18160000000006</v>
      </c>
      <c r="G14" s="972">
        <v>340.18160000000006</v>
      </c>
      <c r="H14" s="972">
        <v>339.416</v>
      </c>
      <c r="I14" s="972">
        <v>339.416</v>
      </c>
    </row>
    <row r="15" spans="1:12">
      <c r="B15" s="196" t="s">
        <v>288</v>
      </c>
      <c r="C15" s="196" t="s">
        <v>287</v>
      </c>
      <c r="D15" s="250">
        <v>223.41</v>
      </c>
      <c r="E15" s="250">
        <v>221.76</v>
      </c>
      <c r="F15" s="250">
        <v>219.94499999999999</v>
      </c>
      <c r="G15" s="250">
        <v>219.94499999999999</v>
      </c>
      <c r="H15" s="250">
        <v>219.45</v>
      </c>
      <c r="I15" s="250">
        <v>219.45</v>
      </c>
    </row>
    <row r="16" spans="1:12">
      <c r="B16" s="196" t="s">
        <v>286</v>
      </c>
      <c r="C16" s="196" t="s">
        <v>285</v>
      </c>
      <c r="D16" s="250">
        <v>577.00598891043489</v>
      </c>
      <c r="E16" s="250">
        <v>632.96670129750964</v>
      </c>
      <c r="F16" s="250">
        <v>595.85476253358968</v>
      </c>
      <c r="G16" s="250">
        <v>595.85476253358968</v>
      </c>
      <c r="H16" s="250">
        <v>593.34664263086279</v>
      </c>
      <c r="I16" s="250">
        <v>593.34664263086279</v>
      </c>
    </row>
    <row r="17" spans="1:11">
      <c r="B17" s="196" t="s">
        <v>284</v>
      </c>
      <c r="C17" s="196" t="s">
        <v>283</v>
      </c>
      <c r="D17" s="250">
        <v>567.37162222043503</v>
      </c>
      <c r="E17" s="250">
        <v>622.69134552150956</v>
      </c>
      <c r="F17" s="250">
        <v>586.0411032285898</v>
      </c>
      <c r="G17" s="250">
        <v>586.0411032285898</v>
      </c>
      <c r="H17" s="250">
        <v>583.56887099086282</v>
      </c>
      <c r="I17" s="250">
        <v>583.56887099086282</v>
      </c>
    </row>
    <row r="18" spans="1:11">
      <c r="B18" s="971" t="s">
        <v>282</v>
      </c>
      <c r="C18" s="971"/>
      <c r="D18" s="972">
        <v>10.048047546633358</v>
      </c>
      <c r="E18" s="972">
        <v>10.41929580158499</v>
      </c>
      <c r="F18" s="972">
        <v>10.434291589458416</v>
      </c>
      <c r="G18" s="972">
        <v>11.251999999999999</v>
      </c>
      <c r="H18" s="972">
        <v>10.052395863112995</v>
      </c>
      <c r="I18" s="972">
        <v>10.314622709527832</v>
      </c>
    </row>
    <row r="19" spans="1:11">
      <c r="B19" s="971" t="s">
        <v>280</v>
      </c>
      <c r="C19" s="971" t="s">
        <v>279</v>
      </c>
      <c r="D19" s="972">
        <v>40.619999999999997</v>
      </c>
      <c r="E19" s="972">
        <v>40.32</v>
      </c>
      <c r="F19" s="972">
        <v>39.99</v>
      </c>
      <c r="G19" s="972">
        <v>39.99</v>
      </c>
      <c r="H19" s="972">
        <v>39.9</v>
      </c>
      <c r="I19" s="972">
        <v>39.9</v>
      </c>
    </row>
    <row r="20" spans="1:11">
      <c r="B20" s="971" t="s">
        <v>281</v>
      </c>
      <c r="C20" s="971" t="str">
        <f>'[14]DPK CRYSTAL'!B37</f>
        <v>[0.50%*CIF]</v>
      </c>
      <c r="D20" s="972">
        <v>0.70799901307460011</v>
      </c>
      <c r="E20" s="972">
        <v>2.1057486929674978</v>
      </c>
      <c r="F20" s="972">
        <v>2.1622078343109354</v>
      </c>
      <c r="G20" s="972">
        <v>6.6593138500635325</v>
      </c>
      <c r="H20" s="972">
        <v>0.72437042462043433</v>
      </c>
      <c r="I20" s="972">
        <v>1.7116545013722941</v>
      </c>
    </row>
    <row r="21" spans="1:11">
      <c r="B21" s="1175" t="s">
        <v>353</v>
      </c>
      <c r="C21" s="1175"/>
      <c r="D21" s="973">
        <f>SUM(D12:D20)</f>
        <v>2078.8174017775655</v>
      </c>
      <c r="E21" s="973">
        <f>SUM(E12:E20)</f>
        <v>2217.9913956154919</v>
      </c>
      <c r="F21" s="973">
        <f>SUM(F12:F20)</f>
        <v>2119.0578609038921</v>
      </c>
      <c r="G21" s="973">
        <f>SUM(G12:G20)</f>
        <v>2124.3726753301862</v>
      </c>
      <c r="H21" s="973">
        <f t="shared" ref="H21:I21" si="1">SUM(H12:H20)</f>
        <v>2109.5384780820091</v>
      </c>
      <c r="I21" s="973">
        <f t="shared" si="1"/>
        <v>2110.7879890051759</v>
      </c>
    </row>
    <row r="22" spans="1:11">
      <c r="B22" s="974" t="s">
        <v>357</v>
      </c>
      <c r="C22" s="974"/>
      <c r="D22" s="250">
        <f>'PMS Import'!M10</f>
        <v>138.12640000000002</v>
      </c>
      <c r="E22" s="250">
        <f>'PMS Import'!M11</f>
        <v>132.88386666666668</v>
      </c>
      <c r="F22" s="250">
        <f>'PMS Import'!M12</f>
        <v>137.24719999999999</v>
      </c>
      <c r="G22" s="250">
        <f>'PMS Import'!M13</f>
        <v>137.24719999999999</v>
      </c>
      <c r="H22" s="250">
        <f>'PMS Import'!M14</f>
        <v>134.21306666666666</v>
      </c>
      <c r="I22" s="250">
        <f>'PMS Import'!M15</f>
        <v>134.74599999999998</v>
      </c>
      <c r="J22" s="1127">
        <f>AVERAGE(D22:G22)</f>
        <v>136.37616666666668</v>
      </c>
    </row>
    <row r="23" spans="1:11">
      <c r="B23" s="974" t="s">
        <v>356</v>
      </c>
      <c r="C23" s="974"/>
      <c r="D23" s="250">
        <f>'PMS Import'!H10/'PMS Import'!G10</f>
        <v>1.3776363774193301</v>
      </c>
      <c r="E23" s="250">
        <f>'PMS Import'!H11/'PMS Import'!G11</f>
        <v>1.3413549422944946</v>
      </c>
      <c r="F23" s="250">
        <f>'PMS Import'!H12/'PMS Import'!G12</f>
        <v>1.3505752416468977</v>
      </c>
      <c r="G23" s="250">
        <f>'PMS Import'!H13/'PMS Import'!G13</f>
        <v>1.3458869271583647</v>
      </c>
      <c r="H23" s="250">
        <f>'PMS Import'!H14/'PMS Import'!G14</f>
        <v>1.371930306215581</v>
      </c>
      <c r="I23" s="250">
        <f>'PMS Import'!H15/'PMS Import'!G15</f>
        <v>1.3406885079453856</v>
      </c>
      <c r="J23" s="1127">
        <f>AVERAGE(D23:G23)</f>
        <v>1.3538633721297717</v>
      </c>
      <c r="K23" s="1127">
        <f>J8*J22/(J23*1000)</f>
        <v>1.0617567681009425</v>
      </c>
    </row>
    <row r="24" spans="1:11">
      <c r="B24" s="196" t="s">
        <v>351</v>
      </c>
      <c r="C24" s="196"/>
      <c r="D24" s="250">
        <f>(D10*D22)/(D23*1000)</f>
        <v>84.803532466699394</v>
      </c>
      <c r="E24" s="250">
        <f>(E10*E22)/(E23*1000)</f>
        <v>92.658492982034758</v>
      </c>
      <c r="F24" s="250">
        <f>(F10*F22)/(F23*1000)</f>
        <v>90.187097305826171</v>
      </c>
      <c r="G24" s="250">
        <f>(G10*G22)/(G23*1000)</f>
        <v>90.501258522824074</v>
      </c>
      <c r="H24" s="250">
        <f t="shared" ref="H24:I24" si="2">(H10*H22)/(H23*1000)</f>
        <v>86.641254706498444</v>
      </c>
      <c r="I24" s="250">
        <f t="shared" si="2"/>
        <v>89.01704357574431</v>
      </c>
      <c r="K24" s="420"/>
    </row>
    <row r="25" spans="1:11">
      <c r="B25" s="196" t="s">
        <v>352</v>
      </c>
      <c r="C25" s="196"/>
      <c r="D25" s="250">
        <f t="shared" ref="D25:I25" si="3">D21/(D23*1000)</f>
        <v>1.5089739468637793</v>
      </c>
      <c r="E25" s="250">
        <f t="shared" si="3"/>
        <v>1.6535454753097945</v>
      </c>
      <c r="F25" s="250">
        <f t="shared" si="3"/>
        <v>1.5690039292589899</v>
      </c>
      <c r="G25" s="250">
        <f t="shared" si="3"/>
        <v>1.5784183889916188</v>
      </c>
      <c r="H25" s="250">
        <f t="shared" si="3"/>
        <v>1.5376425963656224</v>
      </c>
      <c r="I25" s="250">
        <f t="shared" si="3"/>
        <v>1.5744059686466418</v>
      </c>
    </row>
    <row r="26" spans="1:11">
      <c r="A26" s="419"/>
      <c r="B26" s="975" t="s">
        <v>278</v>
      </c>
      <c r="C26" s="975" t="s">
        <v>807</v>
      </c>
      <c r="D26" s="976">
        <f>(0.19*1.16*D22)/1000</f>
        <v>3.044305856E-2</v>
      </c>
      <c r="E26" s="976">
        <f>(0.19*1.16*E22)/1000</f>
        <v>2.9287604213333335E-2</v>
      </c>
      <c r="F26" s="976">
        <f>(0*1.16*F22)/1000</f>
        <v>0</v>
      </c>
      <c r="G26" s="976">
        <f t="shared" ref="G26:I26" si="4">(0.19*1.16*G22)/1000</f>
        <v>3.0249282879999995E-2</v>
      </c>
      <c r="H26" s="976">
        <f t="shared" si="4"/>
        <v>2.958055989333333E-2</v>
      </c>
      <c r="I26" s="976">
        <f t="shared" si="4"/>
        <v>2.9698018399999995E-2</v>
      </c>
    </row>
    <row r="27" spans="1:11">
      <c r="A27" s="419"/>
      <c r="B27" s="977" t="s">
        <v>534</v>
      </c>
      <c r="C27" s="977" t="s">
        <v>808</v>
      </c>
      <c r="D27" s="976">
        <f>(3.28*1.16*D22)/1000</f>
        <v>0.52554332672000004</v>
      </c>
      <c r="E27" s="976">
        <f>(3.28*1.16*E22)/1000</f>
        <v>0.50559653589333331</v>
      </c>
      <c r="F27" s="976">
        <f>(0*1.16*F22)/1000</f>
        <v>0</v>
      </c>
      <c r="G27" s="976">
        <f t="shared" ref="G27:I27" si="5">(3.28*1.16*G22)/1000</f>
        <v>0.52219814655999985</v>
      </c>
      <c r="H27" s="976">
        <f t="shared" si="5"/>
        <v>0.51065387605333323</v>
      </c>
      <c r="I27" s="976">
        <f t="shared" si="5"/>
        <v>0.51268158079999981</v>
      </c>
    </row>
    <row r="28" spans="1:11">
      <c r="B28" s="1152" t="s">
        <v>277</v>
      </c>
      <c r="C28" s="1153" t="s">
        <v>809</v>
      </c>
      <c r="D28" s="1105">
        <f>(195*D22)/D34</f>
        <v>5.2669354328242638E-4</v>
      </c>
      <c r="E28" s="1105">
        <f>(0*E22)/E34</f>
        <v>0</v>
      </c>
      <c r="F28" s="1105">
        <f>(455*F22)/F34</f>
        <v>3.8034138434998523E-3</v>
      </c>
      <c r="G28" s="1154">
        <f>(0*G22)/G34</f>
        <v>0</v>
      </c>
      <c r="H28" s="1142">
        <f>(130*H22)/H34</f>
        <v>3.4936302852891658E-4</v>
      </c>
      <c r="I28" s="1154">
        <f t="shared" ref="I28" si="6">(0*I22)/I34</f>
        <v>0</v>
      </c>
    </row>
    <row r="29" spans="1:11" hidden="1">
      <c r="B29" s="978" t="s">
        <v>380</v>
      </c>
      <c r="C29" s="695" t="s">
        <v>383</v>
      </c>
      <c r="D29" s="979">
        <v>0</v>
      </c>
      <c r="E29" s="1054">
        <v>0</v>
      </c>
      <c r="F29" s="1054"/>
      <c r="G29" s="1054"/>
      <c r="H29" s="1054"/>
      <c r="I29" s="1054"/>
    </row>
    <row r="30" spans="1:11" hidden="1">
      <c r="B30" s="978" t="s">
        <v>381</v>
      </c>
      <c r="C30" s="695" t="s">
        <v>384</v>
      </c>
      <c r="D30" s="980">
        <v>0</v>
      </c>
      <c r="E30" s="980">
        <v>0</v>
      </c>
      <c r="F30" s="980"/>
      <c r="G30" s="980"/>
      <c r="H30" s="980"/>
      <c r="I30" s="980"/>
    </row>
    <row r="31" spans="1:11">
      <c r="B31" s="978" t="s">
        <v>797</v>
      </c>
      <c r="C31" s="695" t="s">
        <v>385</v>
      </c>
      <c r="D31" s="980">
        <v>0</v>
      </c>
      <c r="E31" s="980">
        <v>0</v>
      </c>
      <c r="F31" s="980">
        <v>0</v>
      </c>
      <c r="G31" s="980">
        <v>0</v>
      </c>
      <c r="H31" s="980">
        <v>0</v>
      </c>
      <c r="I31" s="980">
        <v>0</v>
      </c>
    </row>
    <row r="32" spans="1:11">
      <c r="B32" s="1152" t="s">
        <v>291</v>
      </c>
      <c r="C32" s="1152"/>
      <c r="D32" s="250">
        <f>'PMS Import'!$S10</f>
        <v>2.9409597223629818</v>
      </c>
      <c r="E32" s="250">
        <f>'PMS Import'!$S11</f>
        <v>3.2129217164620218</v>
      </c>
      <c r="F32" s="250">
        <f>'PMS Import'!$S12</f>
        <v>3.1273801612215975</v>
      </c>
      <c r="G32" s="250">
        <f>'PMS Import'!$S13</f>
        <v>3.1382741980274709</v>
      </c>
      <c r="H32" s="250">
        <f>'PMS Import'!$S14</f>
        <v>3.0047010341270632</v>
      </c>
      <c r="I32" s="250">
        <f>'PMS Import'!$S15</f>
        <v>3.0869280822787353</v>
      </c>
    </row>
    <row r="33" spans="2:16" ht="15" thickBot="1">
      <c r="B33" s="1203" t="s">
        <v>347</v>
      </c>
      <c r="C33" s="1203"/>
      <c r="D33" s="250">
        <f t="shared" ref="D33:G33" si="7">SUM(D24:D32)</f>
        <v>89.809979214749418</v>
      </c>
      <c r="E33" s="250">
        <f t="shared" si="7"/>
        <v>98.059844313913246</v>
      </c>
      <c r="F33" s="250">
        <f t="shared" si="7"/>
        <v>94.887284810150248</v>
      </c>
      <c r="G33" s="250">
        <f t="shared" si="7"/>
        <v>95.770398539283178</v>
      </c>
      <c r="H33" s="250">
        <f>SUM(H24:H32)</f>
        <v>91.724182135966345</v>
      </c>
      <c r="I33" s="250">
        <f>SUM(I24:I32)</f>
        <v>94.22075722586969</v>
      </c>
      <c r="J33" s="1076"/>
      <c r="K33" s="1077"/>
      <c r="L33" s="420"/>
    </row>
    <row r="34" spans="2:16" ht="15" thickBot="1">
      <c r="B34" s="1201" t="s">
        <v>275</v>
      </c>
      <c r="C34" s="1201"/>
      <c r="D34" s="981">
        <f t="shared" ref="D34:I34" si="8">D36*1000</f>
        <v>51139127.000000007</v>
      </c>
      <c r="E34" s="981">
        <f t="shared" si="8"/>
        <v>16692115.999999998</v>
      </c>
      <c r="F34" s="981">
        <f t="shared" si="8"/>
        <v>16418795.999999998</v>
      </c>
      <c r="G34" s="981">
        <f t="shared" si="8"/>
        <v>5309352.9999999991</v>
      </c>
      <c r="H34" s="981">
        <f t="shared" si="8"/>
        <v>49941457.000000015</v>
      </c>
      <c r="I34" s="981">
        <f t="shared" si="8"/>
        <v>20556675</v>
      </c>
      <c r="J34" s="962">
        <f>SUM(D34:I34)</f>
        <v>160057524</v>
      </c>
    </row>
    <row r="35" spans="2:16" ht="15" thickBot="1">
      <c r="B35" s="1200" t="s">
        <v>349</v>
      </c>
      <c r="C35" s="1200"/>
      <c r="D35" s="1200"/>
      <c r="E35" s="1151"/>
      <c r="F35" s="1151"/>
      <c r="G35" s="1151"/>
      <c r="H35" s="1151"/>
      <c r="I35" s="1151"/>
      <c r="J35" s="1158">
        <f>((D33*D34)+(E33*E34)+(F33*F34)+(G33*G34)+(H33*H34)+(I33*I34))/J34</f>
        <v>92.552655236609453</v>
      </c>
    </row>
    <row r="36" spans="2:16" ht="15" thickBot="1">
      <c r="B36" s="196"/>
      <c r="C36" s="196"/>
      <c r="D36" s="982">
        <f>'PMS Import'!H10</f>
        <v>51139.127000000008</v>
      </c>
      <c r="E36" s="982">
        <f>'PMS Import'!H11</f>
        <v>16692.115999999998</v>
      </c>
      <c r="F36" s="982">
        <f>'PMS Import'!H12</f>
        <v>16418.795999999998</v>
      </c>
      <c r="G36" s="982">
        <f>'PMS Import'!H13</f>
        <v>5309.3529999999992</v>
      </c>
      <c r="H36" s="982">
        <f>'PMS Import'!$H14</f>
        <v>49941.457000000017</v>
      </c>
      <c r="I36" s="982">
        <f>'PMS Import'!$H15</f>
        <v>20556.674999999999</v>
      </c>
      <c r="J36" s="1121">
        <f>'WEIGHTED AVERAGE COST'!M31</f>
        <v>1.0004701611638354</v>
      </c>
    </row>
    <row r="37" spans="2:16" ht="15" thickBot="1">
      <c r="B37" s="383" t="s">
        <v>348</v>
      </c>
      <c r="C37" s="353"/>
      <c r="D37" s="983"/>
      <c r="E37" s="983"/>
      <c r="F37" s="983"/>
      <c r="G37" s="983"/>
      <c r="H37" s="983"/>
      <c r="I37" s="983"/>
      <c r="J37" s="963">
        <f>SUM(J35:J36)</f>
        <v>93.553125397773286</v>
      </c>
      <c r="L37" s="420"/>
    </row>
    <row r="38" spans="2:16">
      <c r="B38" s="196"/>
      <c r="C38" s="196"/>
      <c r="D38" s="966"/>
      <c r="E38" s="966"/>
      <c r="F38" s="966"/>
      <c r="G38" s="966"/>
      <c r="H38" s="966"/>
      <c r="I38" s="966"/>
    </row>
    <row r="39" spans="2:16">
      <c r="B39" s="196"/>
      <c r="C39" s="196" t="s">
        <v>405</v>
      </c>
      <c r="D39" s="1044">
        <v>1.1599999999999999</v>
      </c>
      <c r="E39" s="1044">
        <v>1.1599999999999999</v>
      </c>
      <c r="F39" s="1044">
        <v>1.1599999999999999</v>
      </c>
      <c r="G39" s="1044">
        <v>1.1599999999999999</v>
      </c>
      <c r="H39" s="1044">
        <v>1.1599999999999999</v>
      </c>
      <c r="I39" s="1044">
        <v>1.1599999999999999</v>
      </c>
    </row>
    <row r="40" spans="2:16">
      <c r="B40" s="196"/>
      <c r="C40" s="196" t="s">
        <v>406</v>
      </c>
      <c r="D40" s="1044">
        <f t="shared" ref="D40:I40" si="9">D$22</f>
        <v>138.12640000000002</v>
      </c>
      <c r="E40" s="1044">
        <f t="shared" si="9"/>
        <v>132.88386666666668</v>
      </c>
      <c r="F40" s="1044">
        <f t="shared" si="9"/>
        <v>137.24719999999999</v>
      </c>
      <c r="G40" s="1044">
        <f t="shared" si="9"/>
        <v>137.24719999999999</v>
      </c>
      <c r="H40" s="1044">
        <f t="shared" si="9"/>
        <v>134.21306666666666</v>
      </c>
      <c r="I40" s="1044">
        <f t="shared" si="9"/>
        <v>134.74599999999998</v>
      </c>
    </row>
    <row r="41" spans="2:16">
      <c r="B41" s="196"/>
      <c r="C41" s="196" t="s">
        <v>407</v>
      </c>
      <c r="D41" s="1044">
        <f t="shared" ref="D41:I41" si="10">D$23</f>
        <v>1.3776363774193301</v>
      </c>
      <c r="E41" s="1044">
        <f t="shared" si="10"/>
        <v>1.3413549422944946</v>
      </c>
      <c r="F41" s="1044">
        <f t="shared" si="10"/>
        <v>1.3505752416468977</v>
      </c>
      <c r="G41" s="1044">
        <f t="shared" si="10"/>
        <v>1.3458869271583647</v>
      </c>
      <c r="H41" s="1044">
        <f t="shared" si="10"/>
        <v>1.371930306215581</v>
      </c>
      <c r="I41" s="1044">
        <f t="shared" si="10"/>
        <v>1.3406885079453856</v>
      </c>
    </row>
    <row r="42" spans="2:16">
      <c r="B42" s="196"/>
      <c r="C42" s="196" t="s">
        <v>412</v>
      </c>
      <c r="D42" s="1044">
        <f t="shared" ref="D42:I42" si="11">D$34</f>
        <v>51139127.000000007</v>
      </c>
      <c r="E42" s="1044">
        <f t="shared" si="11"/>
        <v>16692115.999999998</v>
      </c>
      <c r="F42" s="1044">
        <f t="shared" si="11"/>
        <v>16418795.999999998</v>
      </c>
      <c r="G42" s="1044">
        <f t="shared" si="11"/>
        <v>5309352.9999999991</v>
      </c>
      <c r="H42" s="1044">
        <f t="shared" si="11"/>
        <v>49941457.000000015</v>
      </c>
      <c r="I42" s="1044">
        <f t="shared" si="11"/>
        <v>20556675</v>
      </c>
    </row>
    <row r="43" spans="2:16">
      <c r="B43" s="196"/>
      <c r="C43" s="196"/>
      <c r="D43" s="982"/>
      <c r="E43" s="982"/>
      <c r="F43" s="982"/>
      <c r="G43" s="982"/>
      <c r="H43" s="982"/>
      <c r="I43" s="982"/>
    </row>
    <row r="44" spans="2:16">
      <c r="B44" s="196" t="s">
        <v>536</v>
      </c>
      <c r="C44" s="196"/>
      <c r="D44" s="1155">
        <f>((D$42*D$50)+(E42*E50)+(F42*F50)+(G42*G50)+(H42*H50)+(I42*I50))/J34</f>
        <v>0.64584380006463771</v>
      </c>
      <c r="E44" s="1044"/>
      <c r="F44" s="1044"/>
      <c r="G44" s="1044"/>
      <c r="H44" s="1044"/>
      <c r="I44" s="1044"/>
      <c r="J44" s="159"/>
      <c r="K44" s="1056"/>
      <c r="L44" s="159"/>
      <c r="M44" s="159"/>
      <c r="N44" s="159"/>
      <c r="O44" s="159"/>
      <c r="P44" s="159"/>
    </row>
    <row r="45" spans="2:16">
      <c r="B45" s="196" t="s">
        <v>537</v>
      </c>
      <c r="C45" s="196"/>
      <c r="D45" s="1155">
        <f>J36+((D$42*D$60)+(E42*E60)+(F42*F60)+(G42*G60)+(H42*H60)+(I42*I60))/J34</f>
        <v>89.740844909393786</v>
      </c>
      <c r="E45" s="1044"/>
      <c r="F45" s="1044"/>
      <c r="G45" s="1044"/>
      <c r="H45" s="1044"/>
      <c r="I45" s="1044"/>
      <c r="J45" s="159"/>
      <c r="K45" s="159"/>
      <c r="L45" s="159"/>
      <c r="M45" s="159"/>
      <c r="N45" s="159"/>
      <c r="O45" s="159"/>
      <c r="P45" s="159"/>
    </row>
    <row r="46" spans="2:16">
      <c r="B46" s="196" t="s">
        <v>280</v>
      </c>
      <c r="C46" s="196"/>
      <c r="D46" s="1156">
        <f>((D$42*D$74)+(E42*E74)+(F42*F74)+(G74*G42)+(H42*H74)+(I42*I74))/J34</f>
        <v>2.9475332485588122E-2</v>
      </c>
      <c r="E46" s="1156"/>
      <c r="F46" s="1156"/>
      <c r="G46" s="1156"/>
      <c r="H46" s="1156"/>
      <c r="I46" s="1156"/>
    </row>
    <row r="47" spans="2:16">
      <c r="B47" s="196" t="s">
        <v>433</v>
      </c>
      <c r="C47" s="196"/>
      <c r="D47" s="1044">
        <f>((D42*D75)+(E42*E75)+(F42*F75)+(G75*G42)+(H42*H75)+(I42*I75))/J34</f>
        <v>3.0336263478189398</v>
      </c>
      <c r="E47" s="1044"/>
      <c r="F47" s="1044"/>
      <c r="G47" s="1044"/>
      <c r="H47" s="1044"/>
      <c r="I47" s="1044"/>
    </row>
    <row r="48" spans="2:16">
      <c r="B48" s="196"/>
      <c r="C48" s="196"/>
      <c r="D48" s="1042"/>
      <c r="E48" s="1042"/>
      <c r="F48" s="1042"/>
      <c r="G48" s="1042"/>
      <c r="H48" s="1042"/>
      <c r="I48" s="1042"/>
      <c r="J48" s="1008"/>
      <c r="K48" s="1008"/>
      <c r="L48" s="1008"/>
      <c r="N48" s="420"/>
    </row>
    <row r="49" spans="2:9">
      <c r="B49" s="196"/>
      <c r="C49" s="196"/>
      <c r="D49" s="196"/>
      <c r="E49" s="196"/>
      <c r="F49" s="196"/>
      <c r="G49" s="196"/>
      <c r="H49" s="196"/>
      <c r="I49" s="196"/>
    </row>
    <row r="50" spans="2:9">
      <c r="B50" s="312" t="s">
        <v>397</v>
      </c>
      <c r="C50" s="196"/>
      <c r="D50" s="1157">
        <f>D55+D56</f>
        <v>0.70225472251997156</v>
      </c>
      <c r="E50" s="1157">
        <f t="shared" ref="E50:G50" si="12">E55+E56</f>
        <v>0.6895905025667215</v>
      </c>
      <c r="F50" s="1157">
        <f t="shared" si="12"/>
        <v>0.22517742207131183</v>
      </c>
      <c r="G50" s="1157">
        <f t="shared" si="12"/>
        <v>0.70561384854269793</v>
      </c>
      <c r="H50" s="1157">
        <f t="shared" ref="H50:I50" si="13">H55+H56</f>
        <v>0.68576719245052353</v>
      </c>
      <c r="I50" s="1157">
        <f t="shared" si="13"/>
        <v>0.69354764388118761</v>
      </c>
    </row>
    <row r="51" spans="2:9">
      <c r="B51" s="1045" t="s">
        <v>290</v>
      </c>
      <c r="C51" s="196"/>
      <c r="D51" s="1027">
        <f>D$14/$D$39</f>
        <v>297.88000000000005</v>
      </c>
      <c r="E51" s="1027">
        <f>E$14/$D$39</f>
        <v>295.68000000000006</v>
      </c>
      <c r="F51" s="1027">
        <f>F$14/$D$39</f>
        <v>293.26000000000005</v>
      </c>
      <c r="G51" s="1027">
        <f>G$14/$D$39</f>
        <v>293.26000000000005</v>
      </c>
      <c r="H51" s="1027">
        <f t="shared" ref="H51:I51" si="14">H$14/$D$39</f>
        <v>292.60000000000002</v>
      </c>
      <c r="I51" s="1027">
        <f t="shared" si="14"/>
        <v>292.60000000000002</v>
      </c>
    </row>
    <row r="52" spans="2:9">
      <c r="B52" s="1045" t="s">
        <v>282</v>
      </c>
      <c r="C52" s="196"/>
      <c r="D52" s="1027">
        <f>D$18/$D$39</f>
        <v>8.6621099539942747</v>
      </c>
      <c r="E52" s="1027">
        <f>E$18/$D$39</f>
        <v>8.9821515530905103</v>
      </c>
      <c r="F52" s="1027">
        <f>F$18/$D$39</f>
        <v>8.9950789564296691</v>
      </c>
      <c r="G52" s="1027">
        <f>G$18/$D$39</f>
        <v>9.6999999999999993</v>
      </c>
      <c r="H52" s="1027">
        <f t="shared" ref="H52:I52" si="15">H$18/$D$39</f>
        <v>8.6658585026836175</v>
      </c>
      <c r="I52" s="1027">
        <f t="shared" si="15"/>
        <v>8.8919161289033042</v>
      </c>
    </row>
    <row r="53" spans="2:9">
      <c r="B53" s="1045" t="s">
        <v>281</v>
      </c>
      <c r="C53" s="196"/>
      <c r="D53" s="1027">
        <f>D$20/$D$39</f>
        <v>0.61034397678844843</v>
      </c>
      <c r="E53" s="1027">
        <f>E$20/$D$39</f>
        <v>1.8153005973857741</v>
      </c>
      <c r="F53" s="1027">
        <f>F$20/$D$39</f>
        <v>1.8639722709577031</v>
      </c>
      <c r="G53" s="1027">
        <f>G$20/$D$39</f>
        <v>5.7407878017789074</v>
      </c>
      <c r="H53" s="1027">
        <f t="shared" ref="H53:I53" si="16">H$20/$D$39</f>
        <v>0.62445726260382273</v>
      </c>
      <c r="I53" s="1027">
        <f t="shared" si="16"/>
        <v>1.4755642253209433</v>
      </c>
    </row>
    <row r="54" spans="2:9">
      <c r="B54" s="1046" t="s">
        <v>408</v>
      </c>
      <c r="C54" s="196"/>
      <c r="D54" s="1028">
        <f t="shared" ref="D54:I54" si="17">SUM(D$51:D$53)</f>
        <v>307.15245393078277</v>
      </c>
      <c r="E54" s="1028">
        <f t="shared" si="17"/>
        <v>306.47745215047632</v>
      </c>
      <c r="F54" s="1028">
        <f t="shared" si="17"/>
        <v>304.11905122738744</v>
      </c>
      <c r="G54" s="1028">
        <f t="shared" si="17"/>
        <v>308.70078780177892</v>
      </c>
      <c r="H54" s="1028">
        <f t="shared" si="17"/>
        <v>301.89031576528743</v>
      </c>
      <c r="I54" s="1028">
        <f t="shared" si="17"/>
        <v>302.96748035422428</v>
      </c>
    </row>
    <row r="55" spans="2:9">
      <c r="B55" s="1046" t="s">
        <v>409</v>
      </c>
      <c r="C55" s="196"/>
      <c r="D55" s="1028">
        <f t="shared" ref="D55:I55" si="18">D$54/(D$41*1000)</f>
        <v>0.22295611451997147</v>
      </c>
      <c r="E55" s="1028">
        <f t="shared" si="18"/>
        <v>0.22848348523338813</v>
      </c>
      <c r="F55" s="1028">
        <f t="shared" si="18"/>
        <v>0.22517742207131183</v>
      </c>
      <c r="G55" s="1028">
        <f t="shared" si="18"/>
        <v>0.22936606454269798</v>
      </c>
      <c r="H55" s="1028">
        <f t="shared" si="18"/>
        <v>0.22004785111719027</v>
      </c>
      <c r="I55" s="1028">
        <f t="shared" si="18"/>
        <v>0.22597902388118773</v>
      </c>
    </row>
    <row r="56" spans="2:9">
      <c r="B56" s="1045" t="s">
        <v>410</v>
      </c>
      <c r="C56" s="196"/>
      <c r="D56" s="1027">
        <f>D$57+D$58</f>
        <v>0.47929860800000007</v>
      </c>
      <c r="E56" s="1027">
        <f t="shared" ref="E56:I56" si="19">E$57+E$58</f>
        <v>0.46110701733333337</v>
      </c>
      <c r="F56" s="1027">
        <f t="shared" si="19"/>
        <v>0</v>
      </c>
      <c r="G56" s="1027">
        <f t="shared" si="19"/>
        <v>0.4762477839999999</v>
      </c>
      <c r="H56" s="1027">
        <f t="shared" si="19"/>
        <v>0.46571934133333326</v>
      </c>
      <c r="I56" s="1027">
        <f t="shared" si="19"/>
        <v>0.46756861999999988</v>
      </c>
    </row>
    <row r="57" spans="2:9">
      <c r="B57" s="1047" t="s">
        <v>413</v>
      </c>
      <c r="C57" s="196"/>
      <c r="D57" s="1029">
        <f>D$26/$D$39</f>
        <v>2.6244016000000002E-2</v>
      </c>
      <c r="E57" s="1029">
        <f t="shared" ref="E57:I57" si="20">E$26/$D$39</f>
        <v>2.5247934666666669E-2</v>
      </c>
      <c r="F57" s="1029">
        <f t="shared" si="20"/>
        <v>0</v>
      </c>
      <c r="G57" s="1029">
        <f t="shared" si="20"/>
        <v>2.6076967999999999E-2</v>
      </c>
      <c r="H57" s="1029">
        <f t="shared" si="20"/>
        <v>2.5500482666666664E-2</v>
      </c>
      <c r="I57" s="1029">
        <f t="shared" si="20"/>
        <v>2.5601739999999998E-2</v>
      </c>
    </row>
    <row r="58" spans="2:9">
      <c r="B58" s="1047" t="s">
        <v>276</v>
      </c>
      <c r="C58" s="196"/>
      <c r="D58" s="1029">
        <f t="shared" ref="D58:I58" si="21">D$27/$D$39</f>
        <v>0.45305459200000009</v>
      </c>
      <c r="E58" s="1029">
        <f t="shared" si="21"/>
        <v>0.43585908266666668</v>
      </c>
      <c r="F58" s="1029">
        <f t="shared" si="21"/>
        <v>0</v>
      </c>
      <c r="G58" s="1029">
        <f t="shared" si="21"/>
        <v>0.45017081599999992</v>
      </c>
      <c r="H58" s="1029">
        <f t="shared" si="21"/>
        <v>0.4402188586666666</v>
      </c>
      <c r="I58" s="1029">
        <f t="shared" si="21"/>
        <v>0.4419668799999999</v>
      </c>
    </row>
    <row r="59" spans="2:9">
      <c r="B59" s="1049"/>
      <c r="C59" s="196"/>
      <c r="D59" s="966"/>
      <c r="E59" s="966"/>
      <c r="F59" s="966"/>
      <c r="G59" s="966"/>
      <c r="H59" s="966"/>
      <c r="I59" s="966"/>
    </row>
    <row r="60" spans="2:9">
      <c r="B60" s="312" t="s">
        <v>411</v>
      </c>
      <c r="C60" s="196"/>
      <c r="D60" s="1026">
        <f t="shared" ref="D60:I60" si="22">SUM(D$61,D$62,D$68)</f>
        <v>86.024918730144918</v>
      </c>
      <c r="E60" s="1026">
        <f t="shared" si="22"/>
        <v>94.016938456581556</v>
      </c>
      <c r="F60" s="1026">
        <f t="shared" si="22"/>
        <v>91.46908923390238</v>
      </c>
      <c r="G60" s="1026">
        <f t="shared" si="22"/>
        <v>91.783899528279804</v>
      </c>
      <c r="H60" s="1026">
        <f t="shared" si="22"/>
        <v>87.894908048602488</v>
      </c>
      <c r="I60" s="1026">
        <f t="shared" si="22"/>
        <v>90.299553048753324</v>
      </c>
    </row>
    <row r="61" spans="2:9">
      <c r="B61" s="1045" t="s">
        <v>414</v>
      </c>
      <c r="C61" s="196"/>
      <c r="D61" s="1027">
        <f t="shared" ref="D61:I61" si="23">D$24</f>
        <v>84.803532466699394</v>
      </c>
      <c r="E61" s="1027">
        <f t="shared" si="23"/>
        <v>92.658492982034758</v>
      </c>
      <c r="F61" s="1027">
        <f t="shared" si="23"/>
        <v>90.187097305826171</v>
      </c>
      <c r="G61" s="1027">
        <f t="shared" si="23"/>
        <v>90.501258522824074</v>
      </c>
      <c r="H61" s="1027">
        <f t="shared" si="23"/>
        <v>86.641254706498444</v>
      </c>
      <c r="I61" s="1027">
        <f t="shared" si="23"/>
        <v>89.01704357574431</v>
      </c>
    </row>
    <row r="62" spans="2:9">
      <c r="B62" s="1045" t="s">
        <v>415</v>
      </c>
      <c r="C62" s="196"/>
      <c r="D62" s="1027">
        <f t="shared" ref="D62:I62" si="24">SUM(D$63:D$67)/(D$41*1000)</f>
        <v>1.2208595699022504</v>
      </c>
      <c r="E62" s="1027">
        <f t="shared" si="24"/>
        <v>1.3584454745467991</v>
      </c>
      <c r="F62" s="1027">
        <f t="shared" si="24"/>
        <v>1.2781885142327039</v>
      </c>
      <c r="G62" s="1027">
        <f t="shared" si="24"/>
        <v>1.2826410054557267</v>
      </c>
      <c r="H62" s="1027">
        <f t="shared" si="24"/>
        <v>1.2533039790755138</v>
      </c>
      <c r="I62" s="1027">
        <f t="shared" si="24"/>
        <v>1.2825094730090123</v>
      </c>
    </row>
    <row r="63" spans="2:9">
      <c r="B63" s="1047" t="s">
        <v>295</v>
      </c>
      <c r="C63" s="196"/>
      <c r="D63" s="1029">
        <f t="shared" ref="D63:I63" si="25">D$12</f>
        <v>282.90052875000003</v>
      </c>
      <c r="E63" s="1029">
        <f t="shared" si="25"/>
        <v>310.48382399999997</v>
      </c>
      <c r="F63" s="1029">
        <f t="shared" si="25"/>
        <v>292.20942937500001</v>
      </c>
      <c r="G63" s="1029">
        <f t="shared" si="25"/>
        <v>292.20942937500001</v>
      </c>
      <c r="H63" s="1029">
        <f t="shared" si="25"/>
        <v>290.97673500000008</v>
      </c>
      <c r="I63" s="1029">
        <f t="shared" si="25"/>
        <v>290.97673500000008</v>
      </c>
    </row>
    <row r="64" spans="2:9">
      <c r="B64" s="1047" t="s">
        <v>293</v>
      </c>
      <c r="C64" s="196"/>
      <c r="D64" s="1029">
        <f t="shared" ref="D64:I64" si="26">D$13</f>
        <v>31.212415336987505</v>
      </c>
      <c r="E64" s="1029">
        <f t="shared" si="26"/>
        <v>34.255680301920002</v>
      </c>
      <c r="F64" s="1029">
        <f t="shared" si="26"/>
        <v>32.239466342943757</v>
      </c>
      <c r="G64" s="1029">
        <f t="shared" si="26"/>
        <v>32.239466342943757</v>
      </c>
      <c r="H64" s="1029">
        <f t="shared" si="26"/>
        <v>32.103463172550001</v>
      </c>
      <c r="I64" s="1029">
        <f t="shared" si="26"/>
        <v>32.103463172550001</v>
      </c>
    </row>
    <row r="65" spans="1:9">
      <c r="B65" s="1047" t="s">
        <v>288</v>
      </c>
      <c r="C65" s="196"/>
      <c r="D65" s="1029">
        <f t="shared" ref="D65:I65" si="27">D$15</f>
        <v>223.41</v>
      </c>
      <c r="E65" s="1029">
        <f t="shared" si="27"/>
        <v>221.76</v>
      </c>
      <c r="F65" s="1029">
        <f t="shared" si="27"/>
        <v>219.94499999999999</v>
      </c>
      <c r="G65" s="1029">
        <f t="shared" si="27"/>
        <v>219.94499999999999</v>
      </c>
      <c r="H65" s="1029">
        <f t="shared" si="27"/>
        <v>219.45</v>
      </c>
      <c r="I65" s="1029">
        <f t="shared" si="27"/>
        <v>219.45</v>
      </c>
    </row>
    <row r="66" spans="1:9">
      <c r="B66" s="1047" t="s">
        <v>286</v>
      </c>
      <c r="C66" s="196"/>
      <c r="D66" s="1029">
        <f t="shared" ref="D66:I66" si="28">D$16</f>
        <v>577.00598891043489</v>
      </c>
      <c r="E66" s="1029">
        <f t="shared" si="28"/>
        <v>632.96670129750964</v>
      </c>
      <c r="F66" s="1029">
        <f t="shared" si="28"/>
        <v>595.85476253358968</v>
      </c>
      <c r="G66" s="1029">
        <f t="shared" si="28"/>
        <v>595.85476253358968</v>
      </c>
      <c r="H66" s="1029">
        <f t="shared" si="28"/>
        <v>593.34664263086279</v>
      </c>
      <c r="I66" s="1029">
        <f t="shared" si="28"/>
        <v>593.34664263086279</v>
      </c>
    </row>
    <row r="67" spans="1:9">
      <c r="B67" s="1047" t="s">
        <v>284</v>
      </c>
      <c r="C67" s="196"/>
      <c r="D67" s="1029">
        <f t="shared" ref="D67:I67" si="29">D$17</f>
        <v>567.37162222043503</v>
      </c>
      <c r="E67" s="1029">
        <f t="shared" si="29"/>
        <v>622.69134552150956</v>
      </c>
      <c r="F67" s="1029">
        <f t="shared" si="29"/>
        <v>586.0411032285898</v>
      </c>
      <c r="G67" s="1029">
        <f t="shared" si="29"/>
        <v>586.0411032285898</v>
      </c>
      <c r="H67" s="1029">
        <f t="shared" si="29"/>
        <v>583.56887099086282</v>
      </c>
      <c r="I67" s="1029">
        <f t="shared" si="29"/>
        <v>583.56887099086282</v>
      </c>
    </row>
    <row r="68" spans="1:9">
      <c r="B68" s="1045" t="s">
        <v>416</v>
      </c>
      <c r="C68" s="196"/>
      <c r="D68" s="1027">
        <f t="shared" ref="D68:I68" si="30">SUM(D$69:D$72)</f>
        <v>5.2669354328242638E-4</v>
      </c>
      <c r="E68" s="1027">
        <f t="shared" si="30"/>
        <v>0</v>
      </c>
      <c r="F68" s="1027">
        <f t="shared" si="30"/>
        <v>3.8034138434998523E-3</v>
      </c>
      <c r="G68" s="1027">
        <f t="shared" si="30"/>
        <v>0</v>
      </c>
      <c r="H68" s="1027">
        <f t="shared" si="30"/>
        <v>3.4936302852891658E-4</v>
      </c>
      <c r="I68" s="1027">
        <f t="shared" si="30"/>
        <v>0</v>
      </c>
    </row>
    <row r="69" spans="1:9">
      <c r="B69" s="1047" t="s">
        <v>380</v>
      </c>
      <c r="C69" s="196"/>
      <c r="D69" s="1029">
        <f t="shared" ref="D69:I69" si="31">D$29</f>
        <v>0</v>
      </c>
      <c r="E69" s="1029">
        <f t="shared" si="31"/>
        <v>0</v>
      </c>
      <c r="F69" s="1029">
        <f t="shared" si="31"/>
        <v>0</v>
      </c>
      <c r="G69" s="1029">
        <f t="shared" si="31"/>
        <v>0</v>
      </c>
      <c r="H69" s="1029">
        <f t="shared" si="31"/>
        <v>0</v>
      </c>
      <c r="I69" s="1029">
        <f t="shared" si="31"/>
        <v>0</v>
      </c>
    </row>
    <row r="70" spans="1:9">
      <c r="B70" s="1047" t="s">
        <v>381</v>
      </c>
      <c r="C70" s="196"/>
      <c r="D70" s="1029">
        <f t="shared" ref="D70:I70" si="32">D$30</f>
        <v>0</v>
      </c>
      <c r="E70" s="1029">
        <f t="shared" si="32"/>
        <v>0</v>
      </c>
      <c r="F70" s="1029">
        <f t="shared" si="32"/>
        <v>0</v>
      </c>
      <c r="G70" s="1029">
        <f t="shared" si="32"/>
        <v>0</v>
      </c>
      <c r="H70" s="1029">
        <f t="shared" si="32"/>
        <v>0</v>
      </c>
      <c r="I70" s="1029">
        <f t="shared" si="32"/>
        <v>0</v>
      </c>
    </row>
    <row r="71" spans="1:9">
      <c r="B71" s="1047" t="s">
        <v>382</v>
      </c>
      <c r="C71" s="196"/>
      <c r="D71" s="1029">
        <f t="shared" ref="D71:I71" si="33">D$31</f>
        <v>0</v>
      </c>
      <c r="E71" s="1029">
        <f t="shared" si="33"/>
        <v>0</v>
      </c>
      <c r="F71" s="1029">
        <f t="shared" si="33"/>
        <v>0</v>
      </c>
      <c r="G71" s="1029">
        <f t="shared" si="33"/>
        <v>0</v>
      </c>
      <c r="H71" s="1029">
        <f t="shared" si="33"/>
        <v>0</v>
      </c>
      <c r="I71" s="1029">
        <f t="shared" si="33"/>
        <v>0</v>
      </c>
    </row>
    <row r="72" spans="1:9">
      <c r="B72" s="1047" t="s">
        <v>419</v>
      </c>
      <c r="C72" s="196"/>
      <c r="D72" s="1029">
        <f t="shared" ref="D72:I72" si="34">D$28</f>
        <v>5.2669354328242638E-4</v>
      </c>
      <c r="E72" s="1029">
        <f t="shared" si="34"/>
        <v>0</v>
      </c>
      <c r="F72" s="1029">
        <f t="shared" si="34"/>
        <v>3.8034138434998523E-3</v>
      </c>
      <c r="G72" s="1029">
        <f t="shared" si="34"/>
        <v>0</v>
      </c>
      <c r="H72" s="1029">
        <f t="shared" si="34"/>
        <v>3.4936302852891658E-4</v>
      </c>
      <c r="I72" s="1029">
        <f t="shared" si="34"/>
        <v>0</v>
      </c>
    </row>
    <row r="73" spans="1:9">
      <c r="A73" s="176"/>
      <c r="B73" s="1047"/>
      <c r="C73" s="196"/>
      <c r="D73" s="1029"/>
      <c r="E73" s="1029"/>
      <c r="F73" s="1029"/>
      <c r="G73" s="1029"/>
      <c r="H73" s="1029"/>
      <c r="I73" s="1029"/>
    </row>
    <row r="74" spans="1:9">
      <c r="B74" s="312" t="s">
        <v>280</v>
      </c>
      <c r="C74" s="196"/>
      <c r="D74" s="1026">
        <f>D$19/(D$41*1000)</f>
        <v>2.9485284118362046E-2</v>
      </c>
      <c r="E74" s="1026">
        <f>E19/(E$41*1000)</f>
        <v>3.0059157892264838E-2</v>
      </c>
      <c r="F74" s="1026">
        <f>F19/(F$41*1000)</f>
        <v>2.9609605423564563E-2</v>
      </c>
      <c r="G74" s="1026">
        <f>G19/(G$41*1000)</f>
        <v>2.9712748666362931E-2</v>
      </c>
      <c r="H74" s="1026">
        <f t="shared" ref="H74:I74" si="35">H19/(H$41*1000)</f>
        <v>2.9083109994167761E-2</v>
      </c>
      <c r="I74" s="1026">
        <f t="shared" si="35"/>
        <v>2.9760827935451629E-2</v>
      </c>
    </row>
    <row r="75" spans="1:9">
      <c r="B75" s="312" t="s">
        <v>434</v>
      </c>
      <c r="C75" s="196"/>
      <c r="D75" s="1026">
        <f t="shared" ref="D75:I75" si="36">D$32</f>
        <v>2.9409597223629818</v>
      </c>
      <c r="E75" s="1026">
        <f t="shared" si="36"/>
        <v>3.2129217164620218</v>
      </c>
      <c r="F75" s="1026">
        <f t="shared" si="36"/>
        <v>3.1273801612215975</v>
      </c>
      <c r="G75" s="1026">
        <f t="shared" si="36"/>
        <v>3.1382741980274709</v>
      </c>
      <c r="H75" s="1026">
        <f t="shared" si="36"/>
        <v>3.0047010341270632</v>
      </c>
      <c r="I75" s="1026">
        <f t="shared" si="36"/>
        <v>3.0869280822787353</v>
      </c>
    </row>
  </sheetData>
  <mergeCells count="8">
    <mergeCell ref="B35:D35"/>
    <mergeCell ref="B34:C34"/>
    <mergeCell ref="B4:C4"/>
    <mergeCell ref="B5:C5"/>
    <mergeCell ref="B10:C10"/>
    <mergeCell ref="B11:C11"/>
    <mergeCell ref="B21:C21"/>
    <mergeCell ref="B33:C3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FF0000"/>
  </sheetPr>
  <dimension ref="A2:R77"/>
  <sheetViews>
    <sheetView topLeftCell="B1" zoomScale="80" zoomScaleNormal="80" workbookViewId="0">
      <pane ySplit="3" topLeftCell="A35" activePane="bottomLeft" state="frozen"/>
      <selection activeCell="F47" sqref="F47"/>
      <selection pane="bottomLeft" activeCell="E46" sqref="E46"/>
    </sheetView>
  </sheetViews>
  <sheetFormatPr defaultColWidth="9.1796875" defaultRowHeight="14.5"/>
  <cols>
    <col min="1" max="1" width="3" style="159" hidden="1" customWidth="1"/>
    <col min="2" max="2" width="3" style="159" customWidth="1"/>
    <col min="3" max="3" width="33.7265625" style="159" customWidth="1"/>
    <col min="4" max="4" width="27.26953125" style="159" customWidth="1"/>
    <col min="5" max="10" width="16.54296875" style="159" customWidth="1"/>
    <col min="11" max="11" width="17.36328125" style="159" bestFit="1" customWidth="1"/>
    <col min="12" max="12" width="15" style="159" customWidth="1"/>
    <col min="13" max="13" width="12.54296875" style="159" bestFit="1" customWidth="1"/>
    <col min="14" max="14" width="13.54296875" style="159" bestFit="1" customWidth="1"/>
    <col min="15" max="15" width="15.1796875" style="159" bestFit="1" customWidth="1"/>
    <col min="16" max="16" width="9.1796875" style="159"/>
    <col min="17" max="17" width="14.1796875" style="159" bestFit="1" customWidth="1"/>
    <col min="18" max="18" width="12.81640625" style="159" bestFit="1" customWidth="1"/>
    <col min="19" max="16384" width="9.1796875" style="159"/>
  </cols>
  <sheetData>
    <row r="2" spans="3:15">
      <c r="C2" s="392"/>
      <c r="E2" s="1159"/>
      <c r="F2" s="1159"/>
      <c r="G2" s="188"/>
      <c r="H2" s="188"/>
      <c r="I2" s="188"/>
      <c r="J2" s="188"/>
    </row>
    <row r="3" spans="3:15" s="414" customFormat="1" ht="29">
      <c r="C3" s="1174" t="s">
        <v>309</v>
      </c>
      <c r="D3" s="1174"/>
      <c r="E3" s="988" t="str">
        <f>'AGO Import'!E10</f>
        <v>MT SEALEGEND</v>
      </c>
      <c r="F3" s="988" t="str">
        <f>'AGO Import'!E11</f>
        <v>MT STI LOTUS</v>
      </c>
      <c r="G3" s="988" t="str">
        <f>'AGO Import'!E12</f>
        <v>MT SERENGETI-VTTI</v>
      </c>
      <c r="H3" s="988" t="str">
        <f>'AGO Import'!$E13</f>
        <v>MT SERENGETI-KOSF</v>
      </c>
      <c r="I3" s="988" t="str">
        <f>'AGO Import'!$E14</f>
        <v>MT PIS POLARIS</v>
      </c>
      <c r="J3" s="988" t="str">
        <f>'AGO Import'!$E15</f>
        <v>MT PHILOXENIA</v>
      </c>
    </row>
    <row r="4" spans="3:15">
      <c r="C4" s="1148"/>
      <c r="D4" s="1148"/>
      <c r="E4" s="989" t="str">
        <f>'AGO Import'!C10</f>
        <v>TEXAS</v>
      </c>
      <c r="F4" s="989" t="str">
        <f>'AGO Import'!C11</f>
        <v>ORYX ENERGIES</v>
      </c>
      <c r="G4" s="989" t="str">
        <f>'AGO Import'!C12</f>
        <v>E3 ENERGY</v>
      </c>
      <c r="H4" s="989" t="str">
        <f>'AGO Import'!$C13</f>
        <v>E3 ENERGY</v>
      </c>
      <c r="I4" s="989" t="str">
        <f>'AGO Import'!$C14</f>
        <v>E3 ENERGY</v>
      </c>
      <c r="J4" s="989" t="str">
        <f>'AGO Import'!$C15</f>
        <v>E3 ENERGY</v>
      </c>
    </row>
    <row r="5" spans="3:15">
      <c r="C5" s="1200" t="s">
        <v>304</v>
      </c>
      <c r="D5" s="1200"/>
      <c r="E5" s="990" t="s">
        <v>354</v>
      </c>
      <c r="F5" s="990" t="s">
        <v>354</v>
      </c>
      <c r="G5" s="990" t="s">
        <v>354</v>
      </c>
      <c r="H5" s="990" t="s">
        <v>354</v>
      </c>
      <c r="I5" s="990" t="s">
        <v>354</v>
      </c>
      <c r="J5" s="990" t="s">
        <v>354</v>
      </c>
    </row>
    <row r="6" spans="3:15">
      <c r="C6" s="196" t="s">
        <v>303</v>
      </c>
      <c r="D6" s="966" t="s">
        <v>302</v>
      </c>
      <c r="E6" s="250">
        <v>847.33459374048709</v>
      </c>
      <c r="F6" s="250">
        <v>774.93790079999997</v>
      </c>
      <c r="G6" s="250">
        <v>777.15867880000008</v>
      </c>
      <c r="H6" s="250">
        <v>777.15867880000008</v>
      </c>
      <c r="I6" s="250">
        <v>849.05424460950678</v>
      </c>
      <c r="J6" s="250">
        <v>791.73079569695119</v>
      </c>
      <c r="K6" s="905">
        <f>AVERAGE(E6:H6)</f>
        <v>794.14746303512175</v>
      </c>
    </row>
    <row r="7" spans="3:15">
      <c r="C7" s="196" t="s">
        <v>301</v>
      </c>
      <c r="D7" s="196" t="s">
        <v>300</v>
      </c>
      <c r="E7" s="250">
        <v>76.72</v>
      </c>
      <c r="F7" s="250">
        <v>78.709999999999994</v>
      </c>
      <c r="G7" s="250">
        <v>78.98</v>
      </c>
      <c r="H7" s="250">
        <v>78.98</v>
      </c>
      <c r="I7" s="250">
        <v>102.3</v>
      </c>
      <c r="J7" s="250">
        <v>104.94</v>
      </c>
      <c r="K7" s="905">
        <f t="shared" ref="K7:K8" si="0">AVERAGE(E7:H7)</f>
        <v>78.347500000000011</v>
      </c>
    </row>
    <row r="8" spans="3:15">
      <c r="C8" s="196" t="s">
        <v>308</v>
      </c>
      <c r="D8" s="196" t="s">
        <v>298</v>
      </c>
      <c r="E8" s="250">
        <v>11.088655124885845</v>
      </c>
      <c r="F8" s="250">
        <v>10.2437748096</v>
      </c>
      <c r="G8" s="250">
        <v>10.273664145600002</v>
      </c>
      <c r="H8" s="250">
        <v>10.273664145600002</v>
      </c>
      <c r="I8" s="250">
        <v>11.41625093531408</v>
      </c>
      <c r="J8" s="250">
        <v>10.760049548363416</v>
      </c>
      <c r="K8" s="905">
        <f t="shared" si="0"/>
        <v>10.469939556421462</v>
      </c>
      <c r="L8" s="1056"/>
      <c r="M8" s="1056"/>
      <c r="N8" s="1056"/>
    </row>
    <row r="9" spans="3:15">
      <c r="C9" s="196" t="s">
        <v>665</v>
      </c>
      <c r="D9" s="196"/>
      <c r="E9" s="250">
        <v>3.0257274919101573E-2</v>
      </c>
      <c r="F9" s="250">
        <v>3.008796718673161E-2</v>
      </c>
      <c r="G9" s="250">
        <v>3.9932570157828307E-2</v>
      </c>
      <c r="H9" s="250">
        <v>3.9932570157828307E-2</v>
      </c>
      <c r="I9" s="250">
        <v>0.16308379619937441</v>
      </c>
      <c r="J9" s="250">
        <v>0.16786829277573206</v>
      </c>
      <c r="K9" s="171"/>
      <c r="L9" s="171"/>
      <c r="M9" s="171"/>
      <c r="N9" s="171"/>
    </row>
    <row r="10" spans="3:15">
      <c r="C10" s="1175" t="s">
        <v>297</v>
      </c>
      <c r="D10" s="1175"/>
      <c r="E10" s="991">
        <f t="shared" ref="E10" si="1">SUM(E6:E9)</f>
        <v>935.17350614029203</v>
      </c>
      <c r="F10" s="991">
        <f t="shared" ref="F10:J10" si="2">SUM(F6:F9)</f>
        <v>863.92176357678682</v>
      </c>
      <c r="G10" s="991">
        <f t="shared" si="2"/>
        <v>866.45227551575795</v>
      </c>
      <c r="H10" s="991">
        <f t="shared" si="2"/>
        <v>866.45227551575795</v>
      </c>
      <c r="I10" s="991">
        <f t="shared" si="2"/>
        <v>962.93357934102028</v>
      </c>
      <c r="J10" s="991">
        <f t="shared" si="2"/>
        <v>907.59871353809046</v>
      </c>
      <c r="N10" s="210"/>
      <c r="O10" s="1056"/>
    </row>
    <row r="11" spans="3:15">
      <c r="C11" s="1200" t="s">
        <v>296</v>
      </c>
      <c r="D11" s="1200"/>
      <c r="E11" s="990" t="s">
        <v>355</v>
      </c>
      <c r="F11" s="990" t="s">
        <v>355</v>
      </c>
      <c r="G11" s="990" t="s">
        <v>355</v>
      </c>
      <c r="H11" s="990" t="s">
        <v>355</v>
      </c>
      <c r="I11" s="990" t="s">
        <v>355</v>
      </c>
      <c r="J11" s="990" t="s">
        <v>355</v>
      </c>
    </row>
    <row r="12" spans="3:15">
      <c r="C12" s="196" t="s">
        <v>295</v>
      </c>
      <c r="D12" s="227" t="s">
        <v>294</v>
      </c>
      <c r="E12" s="250">
        <v>304.93801593436075</v>
      </c>
      <c r="F12" s="250">
        <v>283.83792701600004</v>
      </c>
      <c r="G12" s="250">
        <v>285.20119737525005</v>
      </c>
      <c r="H12" s="250">
        <v>285.20119737525005</v>
      </c>
      <c r="I12" s="250">
        <v>319.89286474994663</v>
      </c>
      <c r="J12" s="250">
        <v>298.81554266600904</v>
      </c>
    </row>
    <row r="13" spans="3:15">
      <c r="C13" s="196" t="s">
        <v>293</v>
      </c>
      <c r="D13" s="263" t="s">
        <v>292</v>
      </c>
      <c r="E13" s="250">
        <v>33.643811298038024</v>
      </c>
      <c r="F13" s="250">
        <v>31.315838487675279</v>
      </c>
      <c r="G13" s="250">
        <v>31.466248106411332</v>
      </c>
      <c r="H13" s="250">
        <v>31.466248106411332</v>
      </c>
      <c r="I13" s="250">
        <v>35.293779767861615</v>
      </c>
      <c r="J13" s="250">
        <v>32.968318822340777</v>
      </c>
    </row>
    <row r="14" spans="3:15">
      <c r="C14" s="196" t="s">
        <v>290</v>
      </c>
      <c r="D14" s="196" t="s">
        <v>289</v>
      </c>
      <c r="E14" s="250">
        <v>336.86400000000003</v>
      </c>
      <c r="F14" s="250">
        <v>339.416</v>
      </c>
      <c r="G14" s="250">
        <v>340.05400000000003</v>
      </c>
      <c r="H14" s="250">
        <v>340.05400000000003</v>
      </c>
      <c r="I14" s="250">
        <v>343.24400000000003</v>
      </c>
      <c r="J14" s="250">
        <v>340.18160000000006</v>
      </c>
    </row>
    <row r="15" spans="3:15">
      <c r="C15" s="196" t="s">
        <v>288</v>
      </c>
      <c r="D15" s="196" t="s">
        <v>287</v>
      </c>
      <c r="E15" s="250">
        <v>217.79999999999998</v>
      </c>
      <c r="F15" s="250">
        <v>219.45</v>
      </c>
      <c r="G15" s="250">
        <v>219.86249999999998</v>
      </c>
      <c r="H15" s="250">
        <v>219.86249999999998</v>
      </c>
      <c r="I15" s="250">
        <v>221.92499999999998</v>
      </c>
      <c r="J15" s="250">
        <v>219.94499999999999</v>
      </c>
    </row>
    <row r="16" spans="3:15">
      <c r="C16" s="196" t="s">
        <v>286</v>
      </c>
      <c r="D16" s="196" t="s">
        <v>285</v>
      </c>
      <c r="E16" s="250">
        <v>621.66077338730815</v>
      </c>
      <c r="F16" s="250">
        <v>578.85806310790235</v>
      </c>
      <c r="G16" s="250">
        <v>581.63014321491448</v>
      </c>
      <c r="H16" s="250">
        <v>581.63014321491448</v>
      </c>
      <c r="I16" s="250">
        <v>652.06493647648108</v>
      </c>
      <c r="J16" s="250">
        <v>609.26221066344397</v>
      </c>
    </row>
    <row r="17" spans="3:12">
      <c r="C17" s="196" t="s">
        <v>284</v>
      </c>
      <c r="D17" s="196" t="s">
        <v>307</v>
      </c>
      <c r="E17" s="250">
        <v>611.56894100488341</v>
      </c>
      <c r="F17" s="250">
        <v>569.25162285951831</v>
      </c>
      <c r="G17" s="250">
        <v>571.98573197790847</v>
      </c>
      <c r="H17" s="250">
        <v>571.98573197790847</v>
      </c>
      <c r="I17" s="250">
        <v>641.56166272248231</v>
      </c>
      <c r="J17" s="250">
        <v>599.29000463945988</v>
      </c>
    </row>
    <row r="18" spans="3:12">
      <c r="C18" s="196" t="s">
        <v>282</v>
      </c>
      <c r="D18" s="196"/>
      <c r="E18" s="250">
        <v>9.9978594710466773</v>
      </c>
      <c r="F18" s="250">
        <v>9.9957328509148571</v>
      </c>
      <c r="G18" s="250">
        <v>10.147616795250519</v>
      </c>
      <c r="H18" s="250">
        <v>10.291544541938098</v>
      </c>
      <c r="I18" s="250">
        <v>10.338156426676566</v>
      </c>
      <c r="J18" s="250">
        <v>10.292727262327348</v>
      </c>
    </row>
    <row r="19" spans="3:12">
      <c r="C19" s="971" t="s">
        <v>281</v>
      </c>
      <c r="E19" s="250">
        <v>0.68585086845722587</v>
      </c>
      <c r="F19" s="250">
        <v>0.67527093330142318</v>
      </c>
      <c r="G19" s="250">
        <v>1.4308935563713421</v>
      </c>
      <c r="H19" s="250">
        <v>2.1469340961420471</v>
      </c>
      <c r="I19" s="250">
        <v>2.3788282227159208</v>
      </c>
      <c r="J19" s="250">
        <v>2.1528181300785612</v>
      </c>
    </row>
    <row r="20" spans="3:12">
      <c r="C20" s="263" t="s">
        <v>280</v>
      </c>
      <c r="D20" s="196" t="s">
        <v>306</v>
      </c>
      <c r="E20" s="250">
        <v>39.6</v>
      </c>
      <c r="F20" s="250">
        <v>39.9</v>
      </c>
      <c r="G20" s="250">
        <v>39.975000000000001</v>
      </c>
      <c r="H20" s="250">
        <v>39.975000000000001</v>
      </c>
      <c r="I20" s="250">
        <v>40.35</v>
      </c>
      <c r="J20" s="250">
        <v>39.99</v>
      </c>
    </row>
    <row r="21" spans="3:12">
      <c r="C21" s="1175" t="s">
        <v>855</v>
      </c>
      <c r="D21" s="1175"/>
      <c r="E21" s="992">
        <f t="shared" ref="E21:J21" si="3">SUM(E12:E20)</f>
        <v>2176.7592519640939</v>
      </c>
      <c r="F21" s="992">
        <f t="shared" si="3"/>
        <v>2072.7004552553126</v>
      </c>
      <c r="G21" s="992">
        <f t="shared" si="3"/>
        <v>2081.753331026106</v>
      </c>
      <c r="H21" s="992">
        <f t="shared" si="3"/>
        <v>2082.6132993125643</v>
      </c>
      <c r="I21" s="992">
        <f t="shared" si="3"/>
        <v>2267.0492283661642</v>
      </c>
      <c r="J21" s="992">
        <f t="shared" si="3"/>
        <v>2152.8982221836595</v>
      </c>
    </row>
    <row r="22" spans="3:12">
      <c r="C22" s="974" t="s">
        <v>357</v>
      </c>
      <c r="D22" s="974"/>
      <c r="E22" s="956">
        <f>'AGO Import'!$M10</f>
        <v>133.11960000000002</v>
      </c>
      <c r="F22" s="956">
        <f>'AGO Import'!$M11</f>
        <v>137.24719999999999</v>
      </c>
      <c r="G22" s="956">
        <f>'AGO Import'!$M12</f>
        <v>135.62893333333332</v>
      </c>
      <c r="H22" s="956">
        <f>'AGO Import'!$M13</f>
        <v>135.62893333333332</v>
      </c>
      <c r="I22" s="956">
        <f>'AGO Import'!$M14</f>
        <v>133.18866666666668</v>
      </c>
      <c r="J22" s="956">
        <f>'AGO Import'!$M15</f>
        <v>137.24719999999999</v>
      </c>
      <c r="K22" s="162">
        <f>AVERAGE(E22:H22)</f>
        <v>135.40616666666665</v>
      </c>
    </row>
    <row r="23" spans="3:12">
      <c r="C23" s="974" t="s">
        <v>356</v>
      </c>
      <c r="D23" s="974"/>
      <c r="E23" s="993">
        <f>'AGO Import'!H10/'AGO Import'!G10</f>
        <v>1.2186205874402154</v>
      </c>
      <c r="F23" s="993">
        <f>'AGO Import'!H11/'AGO Import'!G11</f>
        <v>1.1936394866321554</v>
      </c>
      <c r="G23" s="993">
        <f>'AGO Import'!H12/'AGO Import'!G12</f>
        <v>1.1963367290160096</v>
      </c>
      <c r="H23" s="993">
        <f>'AGO Import'!$H13/'AGO Import'!$G13</f>
        <v>1.1966612788292748</v>
      </c>
      <c r="I23" s="993">
        <f>'AGO Import'!$H14/'AGO Import'!$G14</f>
        <v>1.2215234540396693</v>
      </c>
      <c r="J23" s="993">
        <f>'AGO Import'!$H15/'AGO Import'!$G15</f>
        <v>1.2219094475202164</v>
      </c>
      <c r="K23" s="162">
        <f>AVERAGE(E23:H23)</f>
        <v>1.2013145204794138</v>
      </c>
      <c r="L23" s="320">
        <f>K8*K22/(K23*1000)</f>
        <v>1.1801192413798218</v>
      </c>
    </row>
    <row r="24" spans="3:12">
      <c r="C24" s="196" t="s">
        <v>351</v>
      </c>
      <c r="D24" s="196"/>
      <c r="E24" s="993">
        <f t="shared" ref="E24:J24" si="4">(E10*E22)/(E23*1000)</f>
        <v>102.15642534768897</v>
      </c>
      <c r="F24" s="993">
        <f t="shared" si="4"/>
        <v>99.335556839295492</v>
      </c>
      <c r="G24" s="993">
        <f t="shared" si="4"/>
        <v>98.229867111995233</v>
      </c>
      <c r="H24" s="993">
        <f t="shared" si="4"/>
        <v>98.203225918206925</v>
      </c>
      <c r="I24" s="993">
        <f t="shared" si="4"/>
        <v>104.99334998182225</v>
      </c>
      <c r="J24" s="993">
        <f t="shared" si="4"/>
        <v>101.94321879538792</v>
      </c>
    </row>
    <row r="25" spans="3:12">
      <c r="C25" s="196" t="s">
        <v>352</v>
      </c>
      <c r="D25" s="196"/>
      <c r="E25" s="993">
        <f t="shared" ref="E25" si="5">E21/(E23*1000)</f>
        <v>1.7862485456088557</v>
      </c>
      <c r="F25" s="993">
        <f>F21/(F23*1000)</f>
        <v>1.7364543301959796</v>
      </c>
      <c r="G25" s="993">
        <f>G21/(G23*1000)</f>
        <v>1.7401065105961879</v>
      </c>
      <c r="H25" s="993">
        <f>H21/(H23*1000)</f>
        <v>1.7403532111860758</v>
      </c>
      <c r="I25" s="993">
        <f t="shared" ref="I25:J25" si="6">I21/(I23*1000)</f>
        <v>1.8559195248104841</v>
      </c>
      <c r="J25" s="993">
        <f t="shared" si="6"/>
        <v>1.761913066923922</v>
      </c>
    </row>
    <row r="26" spans="3:12" s="160" customFormat="1">
      <c r="C26" s="1039" t="s">
        <v>278</v>
      </c>
      <c r="D26" s="1160" t="s">
        <v>807</v>
      </c>
      <c r="E26" s="994">
        <f>(0.19*1.16*E22)/1000</f>
        <v>2.9339559840000005E-2</v>
      </c>
      <c r="F26" s="994">
        <f>(0.19*1.16*F22)/1000</f>
        <v>3.0249282879999995E-2</v>
      </c>
      <c r="G26" s="994">
        <f>(0.19*1.16*G22)/1000</f>
        <v>2.9892616906666662E-2</v>
      </c>
      <c r="H26" s="994">
        <f>(0.19*1.16*H22)/1000</f>
        <v>2.9892616906666662E-2</v>
      </c>
      <c r="I26" s="994">
        <f>(0*1.16*I22)/1000</f>
        <v>0</v>
      </c>
      <c r="J26" s="994">
        <f>(0*1.16*J22)/1000</f>
        <v>0</v>
      </c>
    </row>
    <row r="27" spans="3:12" s="160" customFormat="1">
      <c r="C27" s="1039" t="s">
        <v>375</v>
      </c>
      <c r="D27" s="1161" t="s">
        <v>808</v>
      </c>
      <c r="E27" s="994">
        <f>(3.28*1.16*E22)/1000</f>
        <v>0.50649345408000002</v>
      </c>
      <c r="F27" s="994">
        <f>(3.28*1.16*F22)/1000</f>
        <v>0.52219814655999985</v>
      </c>
      <c r="G27" s="994">
        <f>(0*1.16*G22)/1000</f>
        <v>0</v>
      </c>
      <c r="H27" s="994">
        <f>(3.28*1.16*H22)/1000</f>
        <v>0.51604096554666645</v>
      </c>
      <c r="I27" s="994">
        <f>(0*1.16*I22)/1000</f>
        <v>0</v>
      </c>
      <c r="J27" s="994">
        <f>(0*1.16*J22)/1000</f>
        <v>0</v>
      </c>
    </row>
    <row r="28" spans="3:12" s="160" customFormat="1">
      <c r="C28" s="1040" t="s">
        <v>277</v>
      </c>
      <c r="D28" s="1145"/>
      <c r="E28" s="243">
        <f>(65*E22)/E35</f>
        <v>1.4048485344415261E-4</v>
      </c>
      <c r="F28" s="243">
        <f>(195*F22)/F35</f>
        <v>4.372765883804359E-4</v>
      </c>
      <c r="G28" s="243">
        <f>(0*G22)/G35</f>
        <v>0</v>
      </c>
      <c r="H28" s="243">
        <f>(0*H22)/H35</f>
        <v>0</v>
      </c>
      <c r="I28" s="243">
        <f>(260*I22)/I35</f>
        <v>1.943561611062616E-3</v>
      </c>
      <c r="J28" s="243">
        <f>(260*J22)/J35</f>
        <v>1.814176539730184E-3</v>
      </c>
    </row>
    <row r="29" spans="3:12" hidden="1">
      <c r="C29" s="978" t="s">
        <v>391</v>
      </c>
      <c r="D29" s="978" t="s">
        <v>388</v>
      </c>
      <c r="E29" s="995">
        <v>0</v>
      </c>
      <c r="F29" s="995">
        <v>0</v>
      </c>
      <c r="G29" s="995"/>
      <c r="H29" s="995"/>
      <c r="I29" s="995"/>
      <c r="J29" s="995"/>
    </row>
    <row r="30" spans="3:12" hidden="1">
      <c r="C30" s="978" t="s">
        <v>381</v>
      </c>
      <c r="D30" s="978" t="s">
        <v>389</v>
      </c>
      <c r="E30" s="995">
        <v>0</v>
      </c>
      <c r="F30" s="995">
        <v>0</v>
      </c>
      <c r="G30" s="995"/>
      <c r="H30" s="995"/>
      <c r="I30" s="995"/>
      <c r="J30" s="995"/>
    </row>
    <row r="31" spans="3:12" hidden="1">
      <c r="C31" s="978" t="s">
        <v>382</v>
      </c>
      <c r="D31" s="978" t="s">
        <v>390</v>
      </c>
      <c r="E31" s="995">
        <v>0</v>
      </c>
      <c r="F31" s="995">
        <v>0</v>
      </c>
      <c r="G31" s="995"/>
      <c r="H31" s="995"/>
      <c r="I31" s="995"/>
      <c r="J31" s="995"/>
    </row>
    <row r="32" spans="3:12" s="851" customFormat="1">
      <c r="C32" s="1041" t="s">
        <v>539</v>
      </c>
      <c r="D32" s="161"/>
      <c r="E32" s="996">
        <v>0</v>
      </c>
      <c r="F32" s="996">
        <v>0</v>
      </c>
      <c r="G32" s="996">
        <v>0</v>
      </c>
      <c r="H32" s="996">
        <v>0</v>
      </c>
      <c r="I32" s="996">
        <v>0</v>
      </c>
      <c r="J32" s="996">
        <v>0</v>
      </c>
    </row>
    <row r="33" spans="3:18">
      <c r="C33" s="1152" t="s">
        <v>291</v>
      </c>
      <c r="D33" s="1152"/>
      <c r="E33" s="997">
        <f>'AGO Import'!$S10</f>
        <v>3.5427705288039393</v>
      </c>
      <c r="F33" s="997">
        <f>'AGO Import'!$S11</f>
        <v>3.4449346860633328</v>
      </c>
      <c r="G33" s="997">
        <f>'AGO Import'!$S12</f>
        <v>3.4065512555324089</v>
      </c>
      <c r="H33" s="997">
        <f>'AGO Import'!$S13</f>
        <v>3.4056273553499419</v>
      </c>
      <c r="I33" s="997">
        <f>'AGO Import'!$S14</f>
        <v>3.6406557992090005</v>
      </c>
      <c r="J33" s="997">
        <f>'AGO Import'!$S15</f>
        <v>3.5348370253657833</v>
      </c>
    </row>
    <row r="34" spans="3:18" ht="15" thickBot="1">
      <c r="C34" s="1203" t="s">
        <v>347</v>
      </c>
      <c r="D34" s="1203"/>
      <c r="E34" s="998">
        <f t="shared" ref="E34" si="7">SUM(E24:E33)</f>
        <v>108.02141792087521</v>
      </c>
      <c r="F34" s="998">
        <f t="shared" ref="F34:J34" si="8">SUM(F24:F33)</f>
        <v>105.0698305615832</v>
      </c>
      <c r="G34" s="998">
        <f t="shared" si="8"/>
        <v>103.4064174950305</v>
      </c>
      <c r="H34" s="998">
        <f t="shared" si="8"/>
        <v>103.89514006719627</v>
      </c>
      <c r="I34" s="998">
        <f t="shared" si="8"/>
        <v>110.49186886745279</v>
      </c>
      <c r="J34" s="998">
        <f t="shared" si="8"/>
        <v>107.24178306421736</v>
      </c>
      <c r="K34" s="1056"/>
    </row>
    <row r="35" spans="3:18" ht="15" thickBot="1">
      <c r="C35" s="1203" t="s">
        <v>275</v>
      </c>
      <c r="D35" s="1203"/>
      <c r="E35" s="999">
        <f t="shared" ref="E35" si="9">E37*1000</f>
        <v>61592219.999999978</v>
      </c>
      <c r="F35" s="999">
        <f t="shared" ref="F35:J35" si="10">F37*1000</f>
        <v>61204291.999999978</v>
      </c>
      <c r="G35" s="999">
        <f t="shared" si="10"/>
        <v>28949991</v>
      </c>
      <c r="H35" s="999">
        <f t="shared" si="10"/>
        <v>19278644</v>
      </c>
      <c r="I35" s="999">
        <f t="shared" si="10"/>
        <v>17817317</v>
      </c>
      <c r="J35" s="999">
        <f t="shared" si="10"/>
        <v>19669679.999999996</v>
      </c>
      <c r="K35" s="860">
        <f>SUM(E35:J35)</f>
        <v>208512143.99999994</v>
      </c>
    </row>
    <row r="36" spans="3:18">
      <c r="C36" s="1200" t="s">
        <v>349</v>
      </c>
      <c r="D36" s="1200"/>
      <c r="E36" s="1151"/>
      <c r="F36" s="1151"/>
      <c r="G36" s="1151"/>
      <c r="H36" s="1151"/>
      <c r="I36" s="1151"/>
      <c r="J36" s="1151"/>
      <c r="K36" s="1107">
        <f>((E34*E35)+(F34*F35)+(G34*G35)+(H34*H35)+(I34*I35)+(J34*J35))/K35</f>
        <v>106.27033795653433</v>
      </c>
    </row>
    <row r="37" spans="3:18">
      <c r="C37" s="196" t="s">
        <v>525</v>
      </c>
      <c r="D37" s="196"/>
      <c r="E37" s="178">
        <f>'AGO Import'!H10</f>
        <v>61592.219999999979</v>
      </c>
      <c r="F37" s="178">
        <f>'AGO Import'!H11</f>
        <v>61204.291999999979</v>
      </c>
      <c r="G37" s="178">
        <f>'AGO Import'!H12</f>
        <v>28949.991000000002</v>
      </c>
      <c r="H37" s="178">
        <f>'AGO Import'!$H13</f>
        <v>19278.644</v>
      </c>
      <c r="I37" s="178">
        <f>'AGO Import'!$H14</f>
        <v>17817.316999999999</v>
      </c>
      <c r="J37" s="178">
        <f>'AGO Import'!$H15</f>
        <v>19669.679999999997</v>
      </c>
      <c r="K37" s="987">
        <f>'WEIGHTED AVERAGE COST'!M66</f>
        <v>0.35637073433299543</v>
      </c>
    </row>
    <row r="38" spans="3:18" ht="15" thickBot="1">
      <c r="C38" s="383" t="s">
        <v>348</v>
      </c>
      <c r="D38" s="383"/>
      <c r="E38" s="383"/>
      <c r="F38" s="383"/>
      <c r="G38" s="383"/>
      <c r="H38" s="383"/>
      <c r="I38" s="383"/>
      <c r="J38" s="383"/>
      <c r="K38" s="861">
        <f>SUM(K36:K37)</f>
        <v>106.62670869086733</v>
      </c>
    </row>
    <row r="39" spans="3:18">
      <c r="C39" s="196"/>
      <c r="D39" s="196"/>
      <c r="E39" s="196"/>
      <c r="F39" s="196"/>
      <c r="G39" s="196"/>
      <c r="H39" s="196"/>
      <c r="I39" s="196"/>
      <c r="J39" s="196"/>
    </row>
    <row r="40" spans="3:18">
      <c r="C40" s="196"/>
      <c r="D40" s="196"/>
      <c r="E40" s="178"/>
      <c r="F40" s="178"/>
      <c r="G40" s="178"/>
      <c r="H40" s="178"/>
      <c r="I40" s="178"/>
      <c r="J40" s="178"/>
    </row>
    <row r="41" spans="3:18">
      <c r="C41" s="196"/>
      <c r="D41" s="196" t="s">
        <v>405</v>
      </c>
      <c r="E41" s="416">
        <v>1.1599999999999999</v>
      </c>
      <c r="F41" s="416">
        <v>1.1599999999999999</v>
      </c>
      <c r="G41" s="416">
        <v>1.1599999999999999</v>
      </c>
      <c r="H41" s="416">
        <v>1.1599999999999999</v>
      </c>
      <c r="I41" s="416">
        <v>1.1599999999999999</v>
      </c>
      <c r="J41" s="416">
        <v>1.1599999999999999</v>
      </c>
      <c r="K41" s="417"/>
      <c r="L41" s="417"/>
    </row>
    <row r="42" spans="3:18">
      <c r="C42" s="196"/>
      <c r="D42" s="196" t="s">
        <v>406</v>
      </c>
      <c r="E42" s="1042">
        <f t="shared" ref="E42:J42" si="11">E$22</f>
        <v>133.11960000000002</v>
      </c>
      <c r="F42" s="1042">
        <f t="shared" si="11"/>
        <v>137.24719999999999</v>
      </c>
      <c r="G42" s="1042">
        <f t="shared" si="11"/>
        <v>135.62893333333332</v>
      </c>
      <c r="H42" s="1042">
        <f t="shared" si="11"/>
        <v>135.62893333333332</v>
      </c>
      <c r="I42" s="1042">
        <f t="shared" si="11"/>
        <v>133.18866666666668</v>
      </c>
      <c r="J42" s="1042">
        <f t="shared" si="11"/>
        <v>137.24719999999999</v>
      </c>
    </row>
    <row r="43" spans="3:18">
      <c r="C43" s="196"/>
      <c r="D43" s="196" t="s">
        <v>407</v>
      </c>
      <c r="E43" s="1043">
        <f t="shared" ref="E43:J43" si="12">E$23</f>
        <v>1.2186205874402154</v>
      </c>
      <c r="F43" s="1043">
        <f t="shared" si="12"/>
        <v>1.1936394866321554</v>
      </c>
      <c r="G43" s="1043">
        <f t="shared" si="12"/>
        <v>1.1963367290160096</v>
      </c>
      <c r="H43" s="1043">
        <f t="shared" si="12"/>
        <v>1.1966612788292748</v>
      </c>
      <c r="I43" s="1043">
        <f t="shared" si="12"/>
        <v>1.2215234540396693</v>
      </c>
      <c r="J43" s="1043">
        <f t="shared" si="12"/>
        <v>1.2219094475202164</v>
      </c>
    </row>
    <row r="44" spans="3:18">
      <c r="C44" s="196"/>
      <c r="D44" s="196" t="s">
        <v>412</v>
      </c>
      <c r="E44" s="982">
        <f t="shared" ref="E44:J44" si="13">E$35</f>
        <v>61592219.999999978</v>
      </c>
      <c r="F44" s="982">
        <f t="shared" si="13"/>
        <v>61204291.999999978</v>
      </c>
      <c r="G44" s="982">
        <f t="shared" si="13"/>
        <v>28949991</v>
      </c>
      <c r="H44" s="982">
        <f t="shared" si="13"/>
        <v>19278644</v>
      </c>
      <c r="I44" s="982">
        <f t="shared" si="13"/>
        <v>17817317</v>
      </c>
      <c r="J44" s="982">
        <f t="shared" si="13"/>
        <v>19669679.999999996</v>
      </c>
    </row>
    <row r="45" spans="3:18">
      <c r="C45" s="196"/>
      <c r="D45" s="196"/>
      <c r="E45" s="982"/>
      <c r="F45" s="982"/>
      <c r="G45" s="982"/>
      <c r="H45" s="982"/>
      <c r="I45" s="982"/>
      <c r="J45" s="982"/>
      <c r="L45" s="215"/>
    </row>
    <row r="46" spans="3:18">
      <c r="C46" s="196" t="s">
        <v>536</v>
      </c>
      <c r="D46" s="196"/>
      <c r="E46" s="1044">
        <f>((E$44*E$51)+(F44*F51)+(G44*G51)+(H44*H51)+(I44*I51)+(J44*J51))/K35</f>
        <v>0.57376440122077432</v>
      </c>
      <c r="F46" s="1044"/>
      <c r="G46" s="1044"/>
      <c r="H46" s="1044"/>
      <c r="I46" s="1044"/>
      <c r="J46" s="1044"/>
    </row>
    <row r="47" spans="3:18">
      <c r="C47" s="196" t="s">
        <v>537</v>
      </c>
      <c r="D47" s="196"/>
      <c r="E47" s="1044">
        <f>K37+((E$44*E$61)+(F44*F61)+(G44*G61)+(H44*H61)+(I44*I61)+(J61*J44))/K35</f>
        <v>102.43801744706063</v>
      </c>
      <c r="F47" s="1044"/>
      <c r="G47" s="1044"/>
      <c r="H47" s="1044"/>
      <c r="I47" s="1044"/>
      <c r="J47" s="1044"/>
      <c r="Q47" s="171"/>
      <c r="R47" s="1056"/>
    </row>
    <row r="48" spans="3:18">
      <c r="C48" s="196" t="s">
        <v>280</v>
      </c>
      <c r="D48" s="196"/>
      <c r="E48" s="1044">
        <f>((E$44*E$75)+(F44*F75)+(G44*G75)+(H44*H75)+(I44*I75)+(J75*J44))/K35</f>
        <v>3.3048548193121079E-2</v>
      </c>
      <c r="F48" s="1044"/>
      <c r="G48" s="1044"/>
      <c r="H48" s="1044"/>
      <c r="I48" s="1044"/>
      <c r="J48" s="1044"/>
      <c r="L48" s="171"/>
      <c r="M48" s="171"/>
      <c r="Q48" s="171"/>
      <c r="R48" s="1056"/>
    </row>
    <row r="49" spans="3:17">
      <c r="C49" s="196" t="s">
        <v>433</v>
      </c>
      <c r="D49" s="196"/>
      <c r="E49" s="1044">
        <f>((E$44*E$76)+(F44*F76)+(G44*G76)+(H44*H76)+(I44*I76)+(J76*J44))/K35</f>
        <v>3.4900759901975014</v>
      </c>
      <c r="F49" s="1044"/>
      <c r="G49" s="1044"/>
      <c r="H49" s="1044"/>
      <c r="I49" s="1044"/>
      <c r="J49" s="1044"/>
      <c r="L49" s="171"/>
      <c r="Q49" s="171"/>
    </row>
    <row r="50" spans="3:17">
      <c r="C50" s="196"/>
      <c r="D50" s="196"/>
      <c r="E50" s="196"/>
      <c r="F50" s="196"/>
      <c r="G50" s="196"/>
      <c r="H50" s="196"/>
      <c r="I50" s="196"/>
      <c r="J50" s="196"/>
      <c r="P50" s="420"/>
    </row>
    <row r="51" spans="3:17">
      <c r="C51" s="312" t="s">
        <v>397</v>
      </c>
      <c r="D51" s="196"/>
      <c r="E51" s="1026">
        <f>E56+E57</f>
        <v>0.70778504276610643</v>
      </c>
      <c r="F51" s="1026">
        <f>F56+F57</f>
        <v>0.72908722553423888</v>
      </c>
      <c r="G51" s="1026">
        <f t="shared" ref="G51:H51" si="14">G56+G57</f>
        <v>0.27915256841097202</v>
      </c>
      <c r="H51" s="1026">
        <f t="shared" si="14"/>
        <v>0.72456626599245211</v>
      </c>
      <c r="I51" s="1026">
        <f t="shared" ref="I51:J51" si="15">I56+I57</f>
        <v>0.25121328353244621</v>
      </c>
      <c r="J51" s="1026">
        <f t="shared" si="15"/>
        <v>0.24878187091412912</v>
      </c>
      <c r="L51" s="207"/>
      <c r="O51" s="1056"/>
    </row>
    <row r="52" spans="3:17">
      <c r="C52" s="1045" t="s">
        <v>290</v>
      </c>
      <c r="D52" s="196"/>
      <c r="E52" s="1027">
        <f t="shared" ref="E52:J52" si="16">E$14/$E$41</f>
        <v>290.40000000000003</v>
      </c>
      <c r="F52" s="1027">
        <f t="shared" si="16"/>
        <v>292.60000000000002</v>
      </c>
      <c r="G52" s="1027">
        <f t="shared" si="16"/>
        <v>293.15000000000003</v>
      </c>
      <c r="H52" s="1027">
        <f t="shared" si="16"/>
        <v>293.15000000000003</v>
      </c>
      <c r="I52" s="1027">
        <f t="shared" si="16"/>
        <v>295.90000000000003</v>
      </c>
      <c r="J52" s="1027">
        <f t="shared" si="16"/>
        <v>293.26000000000005</v>
      </c>
      <c r="L52" s="207"/>
    </row>
    <row r="53" spans="3:17">
      <c r="C53" s="1045" t="s">
        <v>282</v>
      </c>
      <c r="D53" s="196"/>
      <c r="E53" s="1027">
        <f t="shared" ref="E53:J53" si="17">E$18/$E$41</f>
        <v>8.6188443715919636</v>
      </c>
      <c r="F53" s="1027">
        <f t="shared" si="17"/>
        <v>8.6170110783748779</v>
      </c>
      <c r="G53" s="1027">
        <f t="shared" si="17"/>
        <v>8.7479455131470001</v>
      </c>
      <c r="H53" s="1027">
        <f t="shared" si="17"/>
        <v>8.8720211568431893</v>
      </c>
      <c r="I53" s="1027">
        <f t="shared" si="17"/>
        <v>8.9122038161004884</v>
      </c>
      <c r="J53" s="1027">
        <f t="shared" si="17"/>
        <v>8.873040743385646</v>
      </c>
      <c r="L53" s="207"/>
      <c r="M53" s="1056"/>
    </row>
    <row r="54" spans="3:17">
      <c r="C54" s="1045" t="s">
        <v>281</v>
      </c>
      <c r="D54" s="196"/>
      <c r="E54" s="1027">
        <f>E$19/$E$41</f>
        <v>0.59125074867002236</v>
      </c>
      <c r="F54" s="1027">
        <f t="shared" ref="F54:J54" si="18">F$19/$E$41</f>
        <v>0.58213011491501998</v>
      </c>
      <c r="G54" s="1027">
        <f t="shared" si="18"/>
        <v>1.2335289279063295</v>
      </c>
      <c r="H54" s="1027">
        <f t="shared" si="18"/>
        <v>1.8508052552948684</v>
      </c>
      <c r="I54" s="1027">
        <f t="shared" si="18"/>
        <v>2.0507139850999319</v>
      </c>
      <c r="J54" s="1027">
        <f t="shared" si="18"/>
        <v>1.8558776983435874</v>
      </c>
      <c r="L54" s="207"/>
    </row>
    <row r="55" spans="3:17">
      <c r="C55" s="1046" t="s">
        <v>408</v>
      </c>
      <c r="D55" s="196"/>
      <c r="E55" s="1028">
        <f t="shared" ref="E55:J55" si="19">SUM(E$52:E$54)</f>
        <v>299.61009512026203</v>
      </c>
      <c r="F55" s="1028">
        <f t="shared" si="19"/>
        <v>301.79914119328993</v>
      </c>
      <c r="G55" s="1028">
        <f t="shared" si="19"/>
        <v>303.13147444105334</v>
      </c>
      <c r="H55" s="1028">
        <f t="shared" si="19"/>
        <v>303.87282641213807</v>
      </c>
      <c r="I55" s="1028">
        <f t="shared" si="19"/>
        <v>306.86291780120047</v>
      </c>
      <c r="J55" s="1028">
        <f t="shared" si="19"/>
        <v>303.98891844172931</v>
      </c>
      <c r="L55" s="207"/>
    </row>
    <row r="56" spans="3:17">
      <c r="C56" s="1046" t="s">
        <v>409</v>
      </c>
      <c r="D56" s="196"/>
      <c r="E56" s="1028">
        <f>E$55/(E$43*1000)</f>
        <v>0.24586003076610644</v>
      </c>
      <c r="F56" s="1028">
        <f>F$55/(F$43*1000)</f>
        <v>0.25283944153423898</v>
      </c>
      <c r="G56" s="1028">
        <f t="shared" ref="G56:J56" si="20">G$55/(G$43*1000)</f>
        <v>0.25338307107763869</v>
      </c>
      <c r="H56" s="1028">
        <f t="shared" si="20"/>
        <v>0.25393386732578566</v>
      </c>
      <c r="I56" s="1028">
        <f t="shared" si="20"/>
        <v>0.25121328353244621</v>
      </c>
      <c r="J56" s="1028">
        <f t="shared" si="20"/>
        <v>0.24878187091412912</v>
      </c>
      <c r="L56" s="207"/>
    </row>
    <row r="57" spans="3:17">
      <c r="C57" s="1045" t="s">
        <v>410</v>
      </c>
      <c r="D57" s="196"/>
      <c r="E57" s="1027">
        <f>E$58+E$59</f>
        <v>0.46192501200000002</v>
      </c>
      <c r="F57" s="1027">
        <f>F$58+F$59</f>
        <v>0.4762477839999999</v>
      </c>
      <c r="G57" s="1027">
        <f t="shared" ref="G57:J57" si="21">G$58+G$59</f>
        <v>2.5769497333333332E-2</v>
      </c>
      <c r="H57" s="1027">
        <f t="shared" si="21"/>
        <v>0.47063239866666651</v>
      </c>
      <c r="I57" s="1027">
        <f t="shared" si="21"/>
        <v>0</v>
      </c>
      <c r="J57" s="1027">
        <f t="shared" si="21"/>
        <v>0</v>
      </c>
      <c r="L57" s="207"/>
    </row>
    <row r="58" spans="3:17">
      <c r="C58" s="1047" t="s">
        <v>413</v>
      </c>
      <c r="D58" s="196"/>
      <c r="E58" s="1048">
        <f t="shared" ref="E58:J58" si="22">E$26/$E$41</f>
        <v>2.5292724000000006E-2</v>
      </c>
      <c r="F58" s="1048">
        <f t="shared" si="22"/>
        <v>2.6076967999999999E-2</v>
      </c>
      <c r="G58" s="1048">
        <f t="shared" si="22"/>
        <v>2.5769497333333332E-2</v>
      </c>
      <c r="H58" s="1048">
        <f t="shared" si="22"/>
        <v>2.5769497333333332E-2</v>
      </c>
      <c r="I58" s="1048">
        <f t="shared" si="22"/>
        <v>0</v>
      </c>
      <c r="J58" s="1048">
        <f t="shared" si="22"/>
        <v>0</v>
      </c>
      <c r="L58" s="207"/>
    </row>
    <row r="59" spans="3:17">
      <c r="C59" s="1047" t="s">
        <v>276</v>
      </c>
      <c r="D59" s="196"/>
      <c r="E59" s="1048">
        <f>E$27/$E$41</f>
        <v>0.43663228800000004</v>
      </c>
      <c r="F59" s="1048">
        <f>F$27/$E$41</f>
        <v>0.45017081599999992</v>
      </c>
      <c r="G59" s="1048">
        <f t="shared" ref="G59:J59" si="23">G$27/$E$41</f>
        <v>0</v>
      </c>
      <c r="H59" s="1048">
        <f t="shared" si="23"/>
        <v>0.44486290133333317</v>
      </c>
      <c r="I59" s="1048">
        <f t="shared" si="23"/>
        <v>0</v>
      </c>
      <c r="J59" s="1048">
        <f t="shared" si="23"/>
        <v>0</v>
      </c>
      <c r="L59" s="207"/>
    </row>
    <row r="60" spans="3:17">
      <c r="C60" s="1049"/>
      <c r="D60" s="196"/>
      <c r="E60" s="966"/>
      <c r="F60" s="966"/>
      <c r="G60" s="966"/>
      <c r="H60" s="966"/>
      <c r="I60" s="966"/>
      <c r="J60" s="966"/>
    </row>
    <row r="61" spans="3:17">
      <c r="C61" s="312" t="s">
        <v>411</v>
      </c>
      <c r="D61" s="196"/>
      <c r="E61" s="1026">
        <f t="shared" ref="E61:J61" si="24">SUM(E$62,E$63,E$69)</f>
        <v>103.62512098421909</v>
      </c>
      <c r="F61" s="1026">
        <f t="shared" si="24"/>
        <v>100.74572751555455</v>
      </c>
      <c r="G61" s="1026">
        <f t="shared" si="24"/>
        <v>99.642634754818204</v>
      </c>
      <c r="H61" s="1026">
        <f t="shared" si="24"/>
        <v>99.61561040041228</v>
      </c>
      <c r="I61" s="1026">
        <f t="shared" si="24"/>
        <v>106.52677313764831</v>
      </c>
      <c r="J61" s="1026">
        <f t="shared" si="24"/>
        <v>103.38563160250835</v>
      </c>
    </row>
    <row r="62" spans="3:17">
      <c r="C62" s="1045" t="s">
        <v>414</v>
      </c>
      <c r="D62" s="196"/>
      <c r="E62" s="1027">
        <f t="shared" ref="E62:J62" si="25">E$24</f>
        <v>102.15642534768897</v>
      </c>
      <c r="F62" s="1027">
        <f t="shared" si="25"/>
        <v>99.335556839295492</v>
      </c>
      <c r="G62" s="1027">
        <f t="shared" si="25"/>
        <v>98.229867111995233</v>
      </c>
      <c r="H62" s="1027">
        <f t="shared" si="25"/>
        <v>98.203225918206925</v>
      </c>
      <c r="I62" s="1027">
        <f t="shared" si="25"/>
        <v>104.99334998182225</v>
      </c>
      <c r="J62" s="1027">
        <f t="shared" si="25"/>
        <v>101.94321879538792</v>
      </c>
    </row>
    <row r="63" spans="3:17">
      <c r="C63" s="1045" t="s">
        <v>415</v>
      </c>
      <c r="D63" s="196"/>
      <c r="E63" s="1027">
        <f t="shared" ref="E63:J63" si="26">SUM(E$64:E$68)/(E$43*1000)</f>
        <v>1.4685551516766799</v>
      </c>
      <c r="F63" s="1027">
        <f t="shared" si="26"/>
        <v>1.4097333996706651</v>
      </c>
      <c r="G63" s="1027">
        <f t="shared" si="26"/>
        <v>1.412767642822965</v>
      </c>
      <c r="H63" s="1027">
        <f t="shared" si="26"/>
        <v>1.4123844822053557</v>
      </c>
      <c r="I63" s="1027">
        <f t="shared" si="26"/>
        <v>1.5314795942149948</v>
      </c>
      <c r="J63" s="1027">
        <f t="shared" si="26"/>
        <v>1.4405986305807084</v>
      </c>
    </row>
    <row r="64" spans="3:17">
      <c r="C64" s="1047" t="s">
        <v>295</v>
      </c>
      <c r="D64" s="196"/>
      <c r="E64" s="1048">
        <f t="shared" ref="E64:J64" si="27">E$12</f>
        <v>304.93801593436075</v>
      </c>
      <c r="F64" s="1048">
        <f t="shared" si="27"/>
        <v>283.83792701600004</v>
      </c>
      <c r="G64" s="1048">
        <f t="shared" si="27"/>
        <v>285.20119737525005</v>
      </c>
      <c r="H64" s="1048">
        <f t="shared" si="27"/>
        <v>285.20119737525005</v>
      </c>
      <c r="I64" s="1048">
        <f t="shared" si="27"/>
        <v>319.89286474994663</v>
      </c>
      <c r="J64" s="1048">
        <f t="shared" si="27"/>
        <v>298.81554266600904</v>
      </c>
    </row>
    <row r="65" spans="1:10">
      <c r="C65" s="1047" t="s">
        <v>293</v>
      </c>
      <c r="D65" s="196"/>
      <c r="E65" s="1048">
        <f t="shared" ref="E65:J65" si="28">E$13</f>
        <v>33.643811298038024</v>
      </c>
      <c r="F65" s="1048">
        <f t="shared" si="28"/>
        <v>31.315838487675279</v>
      </c>
      <c r="G65" s="1048">
        <f t="shared" si="28"/>
        <v>31.466248106411332</v>
      </c>
      <c r="H65" s="1048">
        <f t="shared" si="28"/>
        <v>31.466248106411332</v>
      </c>
      <c r="I65" s="1048">
        <f t="shared" si="28"/>
        <v>35.293779767861615</v>
      </c>
      <c r="J65" s="1048">
        <f t="shared" si="28"/>
        <v>32.968318822340777</v>
      </c>
    </row>
    <row r="66" spans="1:10">
      <c r="C66" s="1047" t="s">
        <v>288</v>
      </c>
      <c r="D66" s="196"/>
      <c r="E66" s="1048">
        <f t="shared" ref="E66:J66" si="29">E$15</f>
        <v>217.79999999999998</v>
      </c>
      <c r="F66" s="1048">
        <f t="shared" si="29"/>
        <v>219.45</v>
      </c>
      <c r="G66" s="1048">
        <f t="shared" si="29"/>
        <v>219.86249999999998</v>
      </c>
      <c r="H66" s="1048">
        <f t="shared" si="29"/>
        <v>219.86249999999998</v>
      </c>
      <c r="I66" s="1048">
        <f t="shared" si="29"/>
        <v>221.92499999999998</v>
      </c>
      <c r="J66" s="1048">
        <f t="shared" si="29"/>
        <v>219.94499999999999</v>
      </c>
    </row>
    <row r="67" spans="1:10">
      <c r="C67" s="1047" t="s">
        <v>286</v>
      </c>
      <c r="D67" s="196"/>
      <c r="E67" s="1048">
        <f t="shared" ref="E67:J67" si="30">E$16</f>
        <v>621.66077338730815</v>
      </c>
      <c r="F67" s="1048">
        <f t="shared" si="30"/>
        <v>578.85806310790235</v>
      </c>
      <c r="G67" s="1048">
        <f t="shared" si="30"/>
        <v>581.63014321491448</v>
      </c>
      <c r="H67" s="1048">
        <f t="shared" si="30"/>
        <v>581.63014321491448</v>
      </c>
      <c r="I67" s="1048">
        <f t="shared" si="30"/>
        <v>652.06493647648108</v>
      </c>
      <c r="J67" s="1048">
        <f t="shared" si="30"/>
        <v>609.26221066344397</v>
      </c>
    </row>
    <row r="68" spans="1:10">
      <c r="C68" s="1047" t="s">
        <v>284</v>
      </c>
      <c r="D68" s="196"/>
      <c r="E68" s="1048">
        <f t="shared" ref="E68:J68" si="31">E$17</f>
        <v>611.56894100488341</v>
      </c>
      <c r="F68" s="1048">
        <f t="shared" si="31"/>
        <v>569.25162285951831</v>
      </c>
      <c r="G68" s="1048">
        <f t="shared" si="31"/>
        <v>571.98573197790847</v>
      </c>
      <c r="H68" s="1048">
        <f t="shared" si="31"/>
        <v>571.98573197790847</v>
      </c>
      <c r="I68" s="1048">
        <f t="shared" si="31"/>
        <v>641.56166272248231</v>
      </c>
      <c r="J68" s="1048">
        <f t="shared" si="31"/>
        <v>599.29000463945988</v>
      </c>
    </row>
    <row r="69" spans="1:10">
      <c r="C69" s="1045" t="s">
        <v>416</v>
      </c>
      <c r="D69" s="196"/>
      <c r="E69" s="1027">
        <f t="shared" ref="E69:J69" si="32">SUM(E$70:E$73)</f>
        <v>1.4048485344415261E-4</v>
      </c>
      <c r="F69" s="1027">
        <f t="shared" si="32"/>
        <v>4.372765883804359E-4</v>
      </c>
      <c r="G69" s="1027">
        <f t="shared" si="32"/>
        <v>0</v>
      </c>
      <c r="H69" s="1027">
        <f t="shared" si="32"/>
        <v>0</v>
      </c>
      <c r="I69" s="1027">
        <f t="shared" si="32"/>
        <v>1.943561611062616E-3</v>
      </c>
      <c r="J69" s="1027">
        <f t="shared" si="32"/>
        <v>1.814176539730184E-3</v>
      </c>
    </row>
    <row r="70" spans="1:10">
      <c r="C70" s="1047" t="s">
        <v>391</v>
      </c>
      <c r="D70" s="196"/>
      <c r="E70" s="1048">
        <f t="shared" ref="E70" si="33">E32</f>
        <v>0</v>
      </c>
      <c r="F70" s="1048">
        <f t="shared" ref="F70:H70" si="34">F32</f>
        <v>0</v>
      </c>
      <c r="G70" s="1048">
        <f t="shared" si="34"/>
        <v>0</v>
      </c>
      <c r="H70" s="1048">
        <f t="shared" si="34"/>
        <v>0</v>
      </c>
      <c r="I70" s="1048">
        <f t="shared" ref="I70:J70" si="35">I32</f>
        <v>0</v>
      </c>
      <c r="J70" s="1048">
        <f t="shared" si="35"/>
        <v>0</v>
      </c>
    </row>
    <row r="71" spans="1:10">
      <c r="C71" s="1047" t="s">
        <v>381</v>
      </c>
      <c r="D71" s="196"/>
      <c r="E71" s="1048">
        <f t="shared" ref="E71:J71" si="36">E$30</f>
        <v>0</v>
      </c>
      <c r="F71" s="1048">
        <f t="shared" si="36"/>
        <v>0</v>
      </c>
      <c r="G71" s="1048">
        <f t="shared" si="36"/>
        <v>0</v>
      </c>
      <c r="H71" s="1048">
        <f t="shared" si="36"/>
        <v>0</v>
      </c>
      <c r="I71" s="1048">
        <f t="shared" si="36"/>
        <v>0</v>
      </c>
      <c r="J71" s="1048">
        <f t="shared" si="36"/>
        <v>0</v>
      </c>
    </row>
    <row r="72" spans="1:10">
      <c r="C72" s="1047" t="s">
        <v>382</v>
      </c>
      <c r="D72" s="196"/>
      <c r="E72" s="1048">
        <f t="shared" ref="E72:J72" si="37">E$31</f>
        <v>0</v>
      </c>
      <c r="F72" s="1048">
        <f t="shared" si="37"/>
        <v>0</v>
      </c>
      <c r="G72" s="1048">
        <f t="shared" si="37"/>
        <v>0</v>
      </c>
      <c r="H72" s="1048">
        <f t="shared" si="37"/>
        <v>0</v>
      </c>
      <c r="I72" s="1048">
        <f t="shared" si="37"/>
        <v>0</v>
      </c>
      <c r="J72" s="1048">
        <f t="shared" si="37"/>
        <v>0</v>
      </c>
    </row>
    <row r="73" spans="1:10">
      <c r="C73" s="1047" t="s">
        <v>419</v>
      </c>
      <c r="D73" s="196"/>
      <c r="E73" s="1029">
        <f t="shared" ref="E73" si="38">E28</f>
        <v>1.4048485344415261E-4</v>
      </c>
      <c r="F73" s="1029">
        <f t="shared" ref="F73:H73" si="39">F28</f>
        <v>4.372765883804359E-4</v>
      </c>
      <c r="G73" s="1029">
        <f t="shared" si="39"/>
        <v>0</v>
      </c>
      <c r="H73" s="1029">
        <f t="shared" si="39"/>
        <v>0</v>
      </c>
      <c r="I73" s="1029">
        <f t="shared" ref="I73:J73" si="40">I28</f>
        <v>1.943561611062616E-3</v>
      </c>
      <c r="J73" s="1029">
        <f t="shared" si="40"/>
        <v>1.814176539730184E-3</v>
      </c>
    </row>
    <row r="74" spans="1:10">
      <c r="A74" s="176"/>
      <c r="B74" s="176"/>
      <c r="C74" s="1047"/>
      <c r="D74" s="196"/>
      <c r="E74" s="1029"/>
      <c r="F74" s="1029"/>
      <c r="G74" s="1029"/>
      <c r="H74" s="1029"/>
      <c r="I74" s="1029"/>
      <c r="J74" s="1029"/>
    </row>
    <row r="75" spans="1:10">
      <c r="C75" s="312" t="s">
        <v>437</v>
      </c>
      <c r="D75" s="196"/>
      <c r="E75" s="1026">
        <f>E$20/(E$43*1000)</f>
        <v>3.2495758243492462E-2</v>
      </c>
      <c r="F75" s="1026">
        <f t="shared" ref="F75:J75" si="41">F$20/(F$43*1000)</f>
        <v>3.3427178345597074E-2</v>
      </c>
      <c r="G75" s="1026">
        <f t="shared" si="41"/>
        <v>3.3414505323162279E-2</v>
      </c>
      <c r="H75" s="1026">
        <f t="shared" si="41"/>
        <v>3.340544288280857E-2</v>
      </c>
      <c r="I75" s="1026">
        <f t="shared" si="41"/>
        <v>3.3032521697851591E-2</v>
      </c>
      <c r="J75" s="1026">
        <f t="shared" si="41"/>
        <v>3.2727466082823925E-2</v>
      </c>
    </row>
    <row r="76" spans="1:10">
      <c r="C76" s="312" t="s">
        <v>433</v>
      </c>
      <c r="D76" s="196"/>
      <c r="E76" s="1026">
        <f t="shared" ref="E76:J76" si="42">E$33</f>
        <v>3.5427705288039393</v>
      </c>
      <c r="F76" s="1026">
        <f t="shared" si="42"/>
        <v>3.4449346860633328</v>
      </c>
      <c r="G76" s="1026">
        <f t="shared" si="42"/>
        <v>3.4065512555324089</v>
      </c>
      <c r="H76" s="1026">
        <f t="shared" si="42"/>
        <v>3.4056273553499419</v>
      </c>
      <c r="I76" s="1026">
        <f t="shared" si="42"/>
        <v>3.6406557992090005</v>
      </c>
      <c r="J76" s="1026">
        <f t="shared" si="42"/>
        <v>3.5348370253657833</v>
      </c>
    </row>
    <row r="77" spans="1:10">
      <c r="E77" s="171"/>
      <c r="F77" s="171"/>
      <c r="G77" s="171"/>
      <c r="H77" s="171"/>
      <c r="I77" s="171"/>
      <c r="J77" s="171"/>
    </row>
  </sheetData>
  <mergeCells count="8">
    <mergeCell ref="C35:D35"/>
    <mergeCell ref="C36:D36"/>
    <mergeCell ref="C3:D3"/>
    <mergeCell ref="C5:D5"/>
    <mergeCell ref="C10:D10"/>
    <mergeCell ref="C11:D11"/>
    <mergeCell ref="C21:D21"/>
    <mergeCell ref="C34:D3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0000"/>
  </sheetPr>
  <dimension ref="A2:H71"/>
  <sheetViews>
    <sheetView zoomScale="80" zoomScaleNormal="80" workbookViewId="0">
      <pane ySplit="4" topLeftCell="A17" activePane="bottomLeft" state="frozen"/>
      <selection activeCell="G14" sqref="G14"/>
      <selection pane="bottomLeft" activeCell="D46" sqref="D46"/>
    </sheetView>
  </sheetViews>
  <sheetFormatPr defaultColWidth="9.1796875" defaultRowHeight="14.5"/>
  <cols>
    <col min="1" max="1" width="3.1796875" style="159" customWidth="1"/>
    <col min="2" max="2" width="41.1796875" style="159" customWidth="1"/>
    <col min="3" max="3" width="27.453125" style="159" customWidth="1"/>
    <col min="4" max="5" width="29.453125" style="159" customWidth="1"/>
    <col min="6" max="6" width="17.81640625" style="159" bestFit="1" customWidth="1"/>
    <col min="7" max="16384" width="9.1796875" style="159"/>
  </cols>
  <sheetData>
    <row r="2" spans="2:6">
      <c r="D2" s="187"/>
      <c r="E2" s="187"/>
    </row>
    <row r="3" spans="2:6" ht="15" thickBot="1">
      <c r="B3" s="392" t="s">
        <v>310</v>
      </c>
      <c r="D3" s="964" t="s">
        <v>671</v>
      </c>
      <c r="E3" s="964" t="s">
        <v>671</v>
      </c>
    </row>
    <row r="4" spans="2:6" ht="15" thickBot="1">
      <c r="B4" s="1208"/>
      <c r="C4" s="1209"/>
      <c r="D4" s="1016" t="str">
        <f>'DPK Import'!E10</f>
        <v>MT NAKHAL SILVER</v>
      </c>
      <c r="E4" s="1016" t="str">
        <f>'DPK Import'!E11</f>
        <v>MT HAFNIA LUPUS</v>
      </c>
    </row>
    <row r="5" spans="2:6">
      <c r="B5" s="1140"/>
      <c r="C5" s="1141"/>
      <c r="D5" s="1017" t="str">
        <f>'DPK Import'!C10</f>
        <v>E3 ENERGY</v>
      </c>
      <c r="E5" s="1017" t="str">
        <f>'DPK Import'!C11</f>
        <v>ORYX ENERGIES</v>
      </c>
    </row>
    <row r="6" spans="2:6">
      <c r="B6" s="1210" t="s">
        <v>304</v>
      </c>
      <c r="C6" s="1211"/>
      <c r="D6" s="1017" t="s">
        <v>354</v>
      </c>
      <c r="E6" s="1017" t="s">
        <v>354</v>
      </c>
    </row>
    <row r="7" spans="2:6">
      <c r="B7" s="234" t="s">
        <v>303</v>
      </c>
      <c r="C7" s="235" t="s">
        <v>302</v>
      </c>
      <c r="D7" s="1018">
        <v>882.04494662779973</v>
      </c>
      <c r="E7" s="1133">
        <v>821.18078374999993</v>
      </c>
      <c r="F7" s="320">
        <f>AVERAGE(D7:E7)</f>
        <v>851.61286518889983</v>
      </c>
    </row>
    <row r="8" spans="2:6">
      <c r="B8" s="234" t="s">
        <v>301</v>
      </c>
      <c r="C8" s="237" t="s">
        <v>300</v>
      </c>
      <c r="D8" s="393">
        <v>97.62</v>
      </c>
      <c r="E8" s="1134">
        <v>76.55</v>
      </c>
      <c r="F8" s="320">
        <f t="shared" ref="F8:F9" si="0">AVERAGE(D8:E8)</f>
        <v>87.085000000000008</v>
      </c>
    </row>
    <row r="9" spans="2:6">
      <c r="B9" s="234" t="s">
        <v>308</v>
      </c>
      <c r="C9" s="237" t="s">
        <v>811</v>
      </c>
      <c r="D9" s="394">
        <v>11.755979359533596</v>
      </c>
      <c r="E9" s="1135">
        <v>10.772769404999998</v>
      </c>
      <c r="F9" s="320">
        <f t="shared" si="0"/>
        <v>11.264374382266798</v>
      </c>
    </row>
    <row r="10" spans="2:6">
      <c r="B10" s="234" t="s">
        <v>667</v>
      </c>
      <c r="C10" s="237"/>
      <c r="D10" s="394">
        <v>7.1118682119193435E-2</v>
      </c>
      <c r="E10" s="1135">
        <v>6.4633753196587942E-2</v>
      </c>
    </row>
    <row r="11" spans="2:6">
      <c r="B11" s="1212" t="s">
        <v>297</v>
      </c>
      <c r="C11" s="1213"/>
      <c r="D11" s="395">
        <f>SUM(D7:D10)</f>
        <v>991.49204466945253</v>
      </c>
      <c r="E11" s="395">
        <f>SUM(E7:E10)</f>
        <v>908.56818690819648</v>
      </c>
    </row>
    <row r="12" spans="2:6">
      <c r="B12" s="1214" t="s">
        <v>296</v>
      </c>
      <c r="C12" s="1215"/>
      <c r="D12" s="990" t="s">
        <v>355</v>
      </c>
      <c r="E12" s="990" t="s">
        <v>355</v>
      </c>
    </row>
    <row r="13" spans="2:6">
      <c r="B13" s="234" t="s">
        <v>295</v>
      </c>
      <c r="C13" s="220" t="s">
        <v>294</v>
      </c>
      <c r="D13" s="396">
        <v>329.77971265858309</v>
      </c>
      <c r="E13" s="1136">
        <v>303.88187029937501</v>
      </c>
    </row>
    <row r="14" spans="2:6">
      <c r="B14" s="234" t="s">
        <v>293</v>
      </c>
      <c r="C14" s="238" t="s">
        <v>292</v>
      </c>
      <c r="D14" s="396">
        <v>36.384595697621471</v>
      </c>
      <c r="E14" s="1136">
        <v>33.527286750130038</v>
      </c>
    </row>
    <row r="15" spans="2:6">
      <c r="B15" s="234" t="s">
        <v>290</v>
      </c>
      <c r="C15" s="237" t="s">
        <v>289</v>
      </c>
      <c r="D15" s="397">
        <v>343.6268</v>
      </c>
      <c r="E15" s="1137">
        <v>345.54080000000005</v>
      </c>
    </row>
    <row r="16" spans="2:6">
      <c r="B16" s="234" t="s">
        <v>288</v>
      </c>
      <c r="C16" s="237" t="s">
        <v>287</v>
      </c>
      <c r="D16" s="393">
        <v>222.17249999999999</v>
      </c>
      <c r="E16" s="1134">
        <v>223.41</v>
      </c>
    </row>
    <row r="17" spans="2:8">
      <c r="B17" s="234" t="s">
        <v>286</v>
      </c>
      <c r="C17" s="237" t="s">
        <v>530</v>
      </c>
      <c r="D17" s="393">
        <v>672.13395646275319</v>
      </c>
      <c r="E17" s="1134">
        <v>619.58870527118245</v>
      </c>
    </row>
    <row r="18" spans="2:8">
      <c r="B18" s="234" t="s">
        <v>284</v>
      </c>
      <c r="C18" s="237" t="s">
        <v>283</v>
      </c>
      <c r="D18" s="393">
        <v>661.39024685894719</v>
      </c>
      <c r="E18" s="1134">
        <v>609.45078638399752</v>
      </c>
    </row>
    <row r="19" spans="2:8">
      <c r="B19" s="234" t="s">
        <v>282</v>
      </c>
      <c r="C19" s="237"/>
      <c r="D19" s="397">
        <v>10.100381277862727</v>
      </c>
      <c r="E19" s="1137">
        <v>10.112441162257971</v>
      </c>
    </row>
    <row r="20" spans="2:8">
      <c r="B20" s="234" t="s">
        <v>281</v>
      </c>
      <c r="C20" s="237"/>
      <c r="D20" s="397">
        <v>40.395000000000003</v>
      </c>
      <c r="E20" s="1137">
        <v>40.619999999999997</v>
      </c>
    </row>
    <row r="21" spans="2:8">
      <c r="B21" s="239" t="s">
        <v>280</v>
      </c>
      <c r="C21" s="237" t="s">
        <v>279</v>
      </c>
      <c r="D21" s="393">
        <v>1.8060646676753007</v>
      </c>
      <c r="E21" s="1134">
        <v>1.8966745990982261</v>
      </c>
    </row>
    <row r="22" spans="2:8">
      <c r="B22" s="1212" t="s">
        <v>358</v>
      </c>
      <c r="C22" s="1213"/>
      <c r="D22" s="398">
        <f>SUM(D13:D21)</f>
        <v>2317.7892576234431</v>
      </c>
      <c r="E22" s="398">
        <f>SUM(E13:E21)</f>
        <v>2188.0285644660416</v>
      </c>
    </row>
    <row r="23" spans="2:8">
      <c r="B23" s="240" t="s">
        <v>357</v>
      </c>
      <c r="C23" s="241"/>
      <c r="D23" s="399">
        <f>'DPK Import'!M10</f>
        <v>133.90013333333334</v>
      </c>
      <c r="E23" s="399">
        <f>'DPK Import'!M11</f>
        <v>138.73426666666666</v>
      </c>
      <c r="F23" s="162">
        <f>AVERAGE(D23:E23)</f>
        <v>136.31720000000001</v>
      </c>
    </row>
    <row r="24" spans="2:8">
      <c r="B24" s="240" t="s">
        <v>356</v>
      </c>
      <c r="C24" s="241"/>
      <c r="D24" s="400">
        <f>'DPK Import'!H10/'DPK Import'!G10</f>
        <v>1.2748949606732844</v>
      </c>
      <c r="E24" s="400">
        <f>'DPK Import'!H11/'DPK Import'!G11</f>
        <v>1.2738178110171978</v>
      </c>
      <c r="F24" s="162">
        <f>AVERAGE(D24:E24)</f>
        <v>1.2743563858452411</v>
      </c>
      <c r="H24" s="159">
        <f>F9*F23/(F24*1000)</f>
        <v>1.2049439172573937</v>
      </c>
    </row>
    <row r="25" spans="2:8">
      <c r="B25" s="234" t="s">
        <v>351</v>
      </c>
      <c r="C25" s="237"/>
      <c r="D25" s="393">
        <f>(D11*D23)/(D24*1000)</f>
        <v>104.13478841430722</v>
      </c>
      <c r="E25" s="393">
        <f>(E11*E23)/(E24*1000)</f>
        <v>98.954136170160496</v>
      </c>
      <c r="F25" s="320"/>
    </row>
    <row r="26" spans="2:8">
      <c r="B26" s="234" t="s">
        <v>352</v>
      </c>
      <c r="C26" s="237"/>
      <c r="D26" s="393">
        <f>D22/(D24*1000)</f>
        <v>1.8180237032228883</v>
      </c>
      <c r="E26" s="393">
        <f>E22/(E24*1000)</f>
        <v>1.7176934923831908</v>
      </c>
      <c r="F26" s="320"/>
    </row>
    <row r="27" spans="2:8">
      <c r="B27" s="901" t="s">
        <v>278</v>
      </c>
      <c r="C27" s="899" t="s">
        <v>807</v>
      </c>
      <c r="D27" s="902">
        <f>(0.19*1.16*D$23)/1000</f>
        <v>2.9511589386666669E-2</v>
      </c>
      <c r="E27" s="902">
        <f>(0.19*1.16*E$23)/1000</f>
        <v>3.0577032373333327E-2</v>
      </c>
    </row>
    <row r="28" spans="2:8">
      <c r="B28" s="903" t="s">
        <v>276</v>
      </c>
      <c r="C28" s="900" t="s">
        <v>808</v>
      </c>
      <c r="D28" s="904">
        <f>(3.28*1.16*D$23)/1000</f>
        <v>0.5094632273066666</v>
      </c>
      <c r="E28" s="904">
        <f>(3.28*1.16*E$23)/1000</f>
        <v>0.52785613781333329</v>
      </c>
    </row>
    <row r="29" spans="2:8">
      <c r="B29" s="246" t="s">
        <v>277</v>
      </c>
      <c r="C29" s="251"/>
      <c r="D29" s="401">
        <f>(0*D$23)/D$33</f>
        <v>0</v>
      </c>
      <c r="E29" s="401">
        <f>(0*E$23)/E$33</f>
        <v>0</v>
      </c>
      <c r="F29" s="207"/>
    </row>
    <row r="30" spans="2:8">
      <c r="B30" s="244" t="s">
        <v>378</v>
      </c>
      <c r="C30" s="245" t="s">
        <v>379</v>
      </c>
      <c r="D30" s="402">
        <v>0</v>
      </c>
      <c r="E30" s="402">
        <v>0</v>
      </c>
    </row>
    <row r="31" spans="2:8">
      <c r="B31" s="246" t="s">
        <v>364</v>
      </c>
      <c r="C31" s="247"/>
      <c r="D31" s="393">
        <f>'DPK Import'!S10</f>
        <v>3.6112376830700783</v>
      </c>
      <c r="E31" s="393">
        <f>'DPK Import'!S11</f>
        <v>3.4315824908470525</v>
      </c>
    </row>
    <row r="32" spans="2:8" ht="15" thickBot="1">
      <c r="B32" s="1216" t="s">
        <v>347</v>
      </c>
      <c r="C32" s="1217"/>
      <c r="D32" s="1019">
        <f>SUM(D25:D31)</f>
        <v>110.10302461729353</v>
      </c>
      <c r="E32" s="1019">
        <f>SUM(E25:E31)</f>
        <v>104.6618453235774</v>
      </c>
    </row>
    <row r="33" spans="2:7" ht="15" thickBot="1">
      <c r="B33" s="1204" t="s">
        <v>275</v>
      </c>
      <c r="C33" s="1205"/>
      <c r="D33" s="1020">
        <f>D35*1000</f>
        <v>36938085.000000007</v>
      </c>
      <c r="E33" s="1020">
        <f>E35*1000</f>
        <v>35193855</v>
      </c>
      <c r="F33" s="1015">
        <f>SUM(D33:E33)</f>
        <v>72131940</v>
      </c>
    </row>
    <row r="34" spans="2:7">
      <c r="B34" s="1206" t="s">
        <v>350</v>
      </c>
      <c r="C34" s="1207"/>
      <c r="D34" s="1021"/>
      <c r="E34" s="1138"/>
      <c r="F34" s="1120">
        <f>((D32*D33)+(E32*E33))/F33</f>
        <v>107.44822183378255</v>
      </c>
    </row>
    <row r="35" spans="2:7" ht="15" thickBot="1">
      <c r="B35" s="234" t="s">
        <v>525</v>
      </c>
      <c r="C35" s="237"/>
      <c r="D35" s="403">
        <f>'DPK Import'!H10</f>
        <v>36938.085000000006</v>
      </c>
      <c r="E35" s="403">
        <f>'DPK Import'!H11</f>
        <v>35193.855000000003</v>
      </c>
      <c r="F35" s="1122">
        <f>'WEIGHTED AVERAGE COST'!M96</f>
        <v>1.5983377219926895</v>
      </c>
    </row>
    <row r="36" spans="2:7" ht="15" thickBot="1">
      <c r="B36" s="248" t="s">
        <v>348</v>
      </c>
      <c r="C36" s="249"/>
      <c r="D36" s="1021"/>
      <c r="E36" s="1139"/>
      <c r="F36" s="1015">
        <f>SUM(F34:F35)</f>
        <v>109.04655955577525</v>
      </c>
    </row>
    <row r="37" spans="2:7" ht="15" thickBot="1">
      <c r="D37" s="196"/>
      <c r="E37" s="176"/>
    </row>
    <row r="38" spans="2:7">
      <c r="C38" s="404" t="s">
        <v>405</v>
      </c>
      <c r="D38" s="1022">
        <v>1.1599999999999999</v>
      </c>
      <c r="E38" s="1022">
        <v>1.1599999999999999</v>
      </c>
      <c r="F38" s="215"/>
    </row>
    <row r="39" spans="2:7">
      <c r="C39" s="405" t="s">
        <v>406</v>
      </c>
      <c r="D39" s="1023">
        <f>D$23</f>
        <v>133.90013333333334</v>
      </c>
      <c r="E39" s="1023">
        <f>E$23</f>
        <v>138.73426666666666</v>
      </c>
      <c r="F39" s="215"/>
    </row>
    <row r="40" spans="2:7">
      <c r="C40" s="405" t="s">
        <v>407</v>
      </c>
      <c r="D40" s="1023">
        <f>D$24</f>
        <v>1.2748949606732844</v>
      </c>
      <c r="E40" s="1023">
        <f>E$24</f>
        <v>1.2738178110171978</v>
      </c>
    </row>
    <row r="41" spans="2:7" ht="15" thickBot="1">
      <c r="C41" s="406" t="s">
        <v>412</v>
      </c>
      <c r="D41" s="1024">
        <f>D$33</f>
        <v>36938085.000000007</v>
      </c>
      <c r="E41" s="1024">
        <f>E$33</f>
        <v>35193855</v>
      </c>
    </row>
    <row r="42" spans="2:7" ht="15" thickBot="1">
      <c r="D42" s="196"/>
      <c r="E42" s="176"/>
    </row>
    <row r="43" spans="2:7">
      <c r="B43" s="407" t="s">
        <v>536</v>
      </c>
      <c r="C43" s="408"/>
      <c r="D43" s="1025">
        <f>((D41*D48)+(E41*E48))/F33</f>
        <v>0.74013887912213949</v>
      </c>
      <c r="E43" s="1025"/>
      <c r="F43" s="409"/>
    </row>
    <row r="44" spans="2:7">
      <c r="B44" s="234" t="s">
        <v>537</v>
      </c>
      <c r="C44" s="237"/>
      <c r="D44" s="1025">
        <f>F35+((D41*D58)+(E41*E58))/F33</f>
        <v>104.66296430977627</v>
      </c>
      <c r="E44" s="1025"/>
      <c r="F44" s="409"/>
      <c r="G44" s="409"/>
    </row>
    <row r="45" spans="2:7">
      <c r="B45" s="234" t="s">
        <v>280</v>
      </c>
      <c r="C45" s="237"/>
      <c r="D45" s="1025">
        <f>((D41*D70)+(E41*E70))/F33</f>
        <v>1.4519287439229566E-3</v>
      </c>
      <c r="E45" s="1025"/>
    </row>
    <row r="46" spans="2:7" ht="15" thickBot="1">
      <c r="B46" s="252" t="s">
        <v>433</v>
      </c>
      <c r="C46" s="410"/>
      <c r="D46" s="1025">
        <f>((D41*D71)+(E41*E71))/F33</f>
        <v>3.523582217473364</v>
      </c>
      <c r="E46" s="1025"/>
    </row>
    <row r="47" spans="2:7" ht="15" thickBot="1">
      <c r="D47" s="196"/>
      <c r="E47" s="196"/>
    </row>
    <row r="48" spans="2:7" ht="15" thickBot="1">
      <c r="B48" s="411" t="s">
        <v>397</v>
      </c>
      <c r="C48" s="412"/>
      <c r="D48" s="1026">
        <f>D53+D54</f>
        <v>0.7311342424031988</v>
      </c>
      <c r="E48" s="1026">
        <f>E53+E54</f>
        <v>0.74958979140550097</v>
      </c>
    </row>
    <row r="49" spans="2:5">
      <c r="B49" s="228" t="s">
        <v>290</v>
      </c>
      <c r="C49" s="176"/>
      <c r="D49" s="1027">
        <f>D$15/D38</f>
        <v>296.23</v>
      </c>
      <c r="E49" s="1027">
        <f>E$15/E38</f>
        <v>297.88000000000005</v>
      </c>
    </row>
    <row r="50" spans="2:5">
      <c r="B50" s="228" t="s">
        <v>282</v>
      </c>
      <c r="C50" s="176"/>
      <c r="D50" s="1027">
        <f>D$19/D38</f>
        <v>8.7072252395368341</v>
      </c>
      <c r="E50" s="1027">
        <f>E$19/E38</f>
        <v>8.7176216916016998</v>
      </c>
    </row>
    <row r="51" spans="2:5">
      <c r="B51" s="228" t="s">
        <v>281</v>
      </c>
      <c r="C51" s="176"/>
      <c r="D51" s="1027">
        <f>D$20/D38</f>
        <v>34.823275862068968</v>
      </c>
      <c r="E51" s="1027">
        <f>E$20/E38</f>
        <v>35.017241379310342</v>
      </c>
    </row>
    <row r="52" spans="2:5">
      <c r="B52" s="229" t="s">
        <v>408</v>
      </c>
      <c r="C52" s="176"/>
      <c r="D52" s="1028">
        <f>SUM(D$49:D$51)</f>
        <v>339.76050110160583</v>
      </c>
      <c r="E52" s="1028">
        <f>SUM(E$49:E$51)</f>
        <v>341.61486307091212</v>
      </c>
    </row>
    <row r="53" spans="2:5">
      <c r="B53" s="229" t="s">
        <v>409</v>
      </c>
      <c r="C53" s="176"/>
      <c r="D53" s="1028">
        <f>D$52/(D$40*1000)</f>
        <v>0.26650077973653219</v>
      </c>
      <c r="E53" s="1028">
        <f>E$52/(E$40*1000)</f>
        <v>0.26818188607216764</v>
      </c>
    </row>
    <row r="54" spans="2:5">
      <c r="B54" s="228" t="s">
        <v>410</v>
      </c>
      <c r="C54" s="176"/>
      <c r="D54" s="1027">
        <f>D$55+D$56</f>
        <v>0.46463346266666661</v>
      </c>
      <c r="E54" s="1027">
        <f>E$55+E$56</f>
        <v>0.48140790533333333</v>
      </c>
    </row>
    <row r="55" spans="2:5">
      <c r="B55" s="230" t="s">
        <v>413</v>
      </c>
      <c r="C55" s="176"/>
      <c r="D55" s="1029">
        <f>D$27/D38</f>
        <v>2.5441025333333336E-2</v>
      </c>
      <c r="E55" s="1029">
        <f>E$27/E38</f>
        <v>2.6359510666666662E-2</v>
      </c>
    </row>
    <row r="56" spans="2:5" ht="15" thickBot="1">
      <c r="B56" s="231" t="s">
        <v>276</v>
      </c>
      <c r="C56" s="364"/>
      <c r="D56" s="1029">
        <f>D$28/D38</f>
        <v>0.4391924373333333</v>
      </c>
      <c r="E56" s="1029">
        <f>E$28/E38</f>
        <v>0.45504839466666669</v>
      </c>
    </row>
    <row r="57" spans="2:5" ht="15" thickBot="1">
      <c r="B57" s="413"/>
      <c r="D57" s="966"/>
      <c r="E57" s="966"/>
    </row>
    <row r="58" spans="2:5" ht="15" thickBot="1">
      <c r="B58" s="411" t="s">
        <v>411</v>
      </c>
      <c r="C58" s="412"/>
      <c r="D58" s="1026">
        <f>SUM(D$59,D$60,D$66)</f>
        <v>105.64225457501975</v>
      </c>
      <c r="E58" s="1026">
        <f>SUM(E$59,E$60,E$66)</f>
        <v>100.35924970619702</v>
      </c>
    </row>
    <row r="59" spans="2:5">
      <c r="B59" s="228" t="s">
        <v>414</v>
      </c>
      <c r="C59" s="176"/>
      <c r="D59" s="1027">
        <f>D$25</f>
        <v>104.13478841430722</v>
      </c>
      <c r="E59" s="1027">
        <f>E$25</f>
        <v>98.954136170160496</v>
      </c>
    </row>
    <row r="60" spans="2:5">
      <c r="B60" s="228" t="s">
        <v>415</v>
      </c>
      <c r="C60" s="176"/>
      <c r="D60" s="1027">
        <f>SUM(D$61:D$65)/(D$40*1000)</f>
        <v>1.5074661607125277</v>
      </c>
      <c r="E60" s="1027">
        <f>SUM(E$61:E$65)/(E$40*1000)</f>
        <v>1.4051135360365283</v>
      </c>
    </row>
    <row r="61" spans="2:5">
      <c r="B61" s="230" t="s">
        <v>295</v>
      </c>
      <c r="C61" s="176"/>
      <c r="D61" s="1029">
        <f>D$13</f>
        <v>329.77971265858309</v>
      </c>
      <c r="E61" s="1029">
        <f>E$13</f>
        <v>303.88187029937501</v>
      </c>
    </row>
    <row r="62" spans="2:5">
      <c r="B62" s="230" t="s">
        <v>293</v>
      </c>
      <c r="C62" s="176"/>
      <c r="D62" s="1029">
        <f>D$14</f>
        <v>36.384595697621471</v>
      </c>
      <c r="E62" s="1029">
        <f>E$14</f>
        <v>33.527286750130038</v>
      </c>
    </row>
    <row r="63" spans="2:5">
      <c r="B63" s="230" t="s">
        <v>288</v>
      </c>
      <c r="C63" s="176"/>
      <c r="D63" s="1029">
        <f>D$16</f>
        <v>222.17249999999999</v>
      </c>
      <c r="E63" s="1029">
        <f>E$16</f>
        <v>223.41</v>
      </c>
    </row>
    <row r="64" spans="2:5">
      <c r="B64" s="230" t="s">
        <v>286</v>
      </c>
      <c r="C64" s="176"/>
      <c r="D64" s="1029">
        <f>D$17</f>
        <v>672.13395646275319</v>
      </c>
      <c r="E64" s="1029">
        <f>E$17</f>
        <v>619.58870527118245</v>
      </c>
    </row>
    <row r="65" spans="1:5">
      <c r="B65" s="230" t="s">
        <v>284</v>
      </c>
      <c r="C65" s="176"/>
      <c r="D65" s="1029">
        <f>D$18</f>
        <v>661.39024685894719</v>
      </c>
      <c r="E65" s="1029">
        <f>E$18</f>
        <v>609.45078638399752</v>
      </c>
    </row>
    <row r="66" spans="1:5">
      <c r="B66" s="228" t="s">
        <v>416</v>
      </c>
      <c r="C66" s="176"/>
      <c r="D66" s="1027">
        <f>SUM(D$67:D$68)</f>
        <v>0</v>
      </c>
      <c r="E66" s="1027">
        <f>SUM(E$67:E$68)</f>
        <v>0</v>
      </c>
    </row>
    <row r="67" spans="1:5">
      <c r="B67" s="230" t="s">
        <v>382</v>
      </c>
      <c r="C67" s="176"/>
      <c r="D67" s="1029">
        <f>D$30</f>
        <v>0</v>
      </c>
      <c r="E67" s="1029">
        <f>E$30</f>
        <v>0</v>
      </c>
    </row>
    <row r="68" spans="1:5" ht="15" thickBot="1">
      <c r="B68" s="231" t="s">
        <v>419</v>
      </c>
      <c r="C68" s="364"/>
      <c r="D68" s="1029">
        <f>D$29</f>
        <v>0</v>
      </c>
      <c r="E68" s="1029">
        <f>E$29</f>
        <v>0</v>
      </c>
    </row>
    <row r="69" spans="1:5" ht="15" thickBot="1">
      <c r="A69" s="176"/>
      <c r="B69" s="232"/>
      <c r="C69" s="176"/>
      <c r="D69" s="1029"/>
      <c r="E69" s="1029"/>
    </row>
    <row r="70" spans="1:5" ht="15" thickBot="1">
      <c r="B70" s="411" t="s">
        <v>437</v>
      </c>
      <c r="C70" s="412"/>
      <c r="D70" s="1026">
        <f>D$21/(D$40*1000)</f>
        <v>1.4166380159832935E-3</v>
      </c>
      <c r="E70" s="1026">
        <f>E$21/(E$40*1000)</f>
        <v>1.4889685029475688E-3</v>
      </c>
    </row>
    <row r="71" spans="1:5" ht="15" thickBot="1">
      <c r="B71" s="411" t="s">
        <v>433</v>
      </c>
      <c r="C71" s="412"/>
      <c r="D71" s="1026">
        <f>D$31</f>
        <v>3.6112376830700783</v>
      </c>
      <c r="E71" s="1026">
        <f>E$31</f>
        <v>3.4315824908470525</v>
      </c>
    </row>
  </sheetData>
  <mergeCells count="8">
    <mergeCell ref="B33:C33"/>
    <mergeCell ref="B34:C34"/>
    <mergeCell ref="B4:C4"/>
    <mergeCell ref="B6:C6"/>
    <mergeCell ref="B11:C11"/>
    <mergeCell ref="B12:C12"/>
    <mergeCell ref="B22:C22"/>
    <mergeCell ref="B32:C3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0000"/>
  </sheetPr>
  <dimension ref="B2:BQ53"/>
  <sheetViews>
    <sheetView tabSelected="1" topLeftCell="A20" zoomScale="90" zoomScaleNormal="90" workbookViewId="0">
      <selection activeCell="G23" sqref="G23"/>
    </sheetView>
  </sheetViews>
  <sheetFormatPr defaultColWidth="9.1796875" defaultRowHeight="14.5"/>
  <cols>
    <col min="1" max="1" width="1.26953125" style="159" customWidth="1"/>
    <col min="2" max="2" width="44.453125" style="159" customWidth="1"/>
    <col min="3" max="3" width="32.7265625" style="159" customWidth="1"/>
    <col min="4" max="4" width="13" style="159" customWidth="1"/>
    <col min="5" max="5" width="12.6328125" style="159" customWidth="1"/>
    <col min="6" max="6" width="13" style="159" customWidth="1"/>
    <col min="7" max="7" width="39.81640625" style="159" customWidth="1"/>
    <col min="8" max="8" width="13.6328125" style="171" customWidth="1"/>
    <col min="9" max="9" width="13.6328125" style="159" customWidth="1"/>
    <col min="10" max="10" width="12.453125" style="159" customWidth="1"/>
    <col min="11" max="11" width="20.54296875" style="159" customWidth="1"/>
    <col min="12" max="16384" width="9.1796875" style="159"/>
  </cols>
  <sheetData>
    <row r="2" spans="2:14" ht="30" customHeight="1">
      <c r="B2" s="1174" t="s">
        <v>848</v>
      </c>
      <c r="C2" s="1174"/>
      <c r="D2" s="1174"/>
      <c r="E2" s="1174"/>
      <c r="F2" s="1218"/>
    </row>
    <row r="3" spans="2:14">
      <c r="B3" s="312" t="s">
        <v>339</v>
      </c>
      <c r="C3" s="312" t="s">
        <v>344</v>
      </c>
      <c r="D3" s="313" t="s">
        <v>343</v>
      </c>
      <c r="E3" s="313" t="s">
        <v>338</v>
      </c>
      <c r="F3" s="313" t="s">
        <v>337</v>
      </c>
    </row>
    <row r="4" spans="2:14">
      <c r="B4" s="312"/>
      <c r="C4" s="312"/>
      <c r="D4" s="313" t="s">
        <v>342</v>
      </c>
      <c r="E4" s="313" t="s">
        <v>342</v>
      </c>
      <c r="F4" s="313" t="s">
        <v>342</v>
      </c>
    </row>
    <row r="5" spans="2:14">
      <c r="B5" s="380" t="s">
        <v>346</v>
      </c>
      <c r="C5" s="316" t="s">
        <v>340</v>
      </c>
      <c r="D5" s="1081">
        <f>'Nairobi_Price VAT Inclusive'!C6</f>
        <v>90.386688709458426</v>
      </c>
      <c r="E5" s="1081">
        <f>'Nairobi_Price VAT Inclusive'!E6</f>
        <v>103.0117818482814</v>
      </c>
      <c r="F5" s="1081">
        <f>'Nairobi_Price VAT Inclusive'!G6</f>
        <v>105.40310318889841</v>
      </c>
      <c r="G5" s="320"/>
      <c r="H5" s="915"/>
      <c r="I5" s="915"/>
      <c r="J5" s="915"/>
      <c r="K5" s="320"/>
    </row>
    <row r="6" spans="2:14">
      <c r="B6" s="322"/>
      <c r="C6" s="322"/>
      <c r="D6" s="323"/>
      <c r="E6" s="323"/>
      <c r="F6" s="323"/>
      <c r="G6" s="325"/>
      <c r="H6" s="915"/>
      <c r="I6" s="915"/>
      <c r="J6" s="915"/>
    </row>
    <row r="7" spans="2:14">
      <c r="B7" s="327" t="s">
        <v>336</v>
      </c>
      <c r="C7" s="327" t="s">
        <v>467</v>
      </c>
      <c r="D7" s="328">
        <f>'Nairobi_Price VAT Inclusive'!C24</f>
        <v>2.5266000000000002</v>
      </c>
      <c r="E7" s="328">
        <f>'Nairobi_Price VAT Inclusive'!E24</f>
        <v>2.5266000000000002</v>
      </c>
      <c r="F7" s="328">
        <f>'Nairobi_Price VAT Inclusive'!G24</f>
        <v>2.5266000000000002</v>
      </c>
      <c r="G7" s="320"/>
      <c r="H7" s="915"/>
      <c r="I7" s="915"/>
      <c r="J7" s="915"/>
      <c r="L7" s="325"/>
      <c r="M7" s="325"/>
      <c r="N7" s="325"/>
    </row>
    <row r="8" spans="2:14">
      <c r="B8" s="327" t="s">
        <v>335</v>
      </c>
      <c r="C8" s="327" t="s">
        <v>468</v>
      </c>
      <c r="D8" s="328">
        <v>0</v>
      </c>
      <c r="E8" s="328">
        <v>0</v>
      </c>
      <c r="F8" s="328">
        <v>0</v>
      </c>
      <c r="G8" s="320"/>
      <c r="H8" s="915"/>
      <c r="I8" s="915"/>
      <c r="J8" s="915"/>
      <c r="L8" s="325"/>
      <c r="M8" s="325"/>
      <c r="N8" s="325"/>
    </row>
    <row r="9" spans="2:14">
      <c r="B9" s="327" t="s">
        <v>334</v>
      </c>
      <c r="C9" s="327" t="s">
        <v>333</v>
      </c>
      <c r="D9" s="328">
        <f>'Nairobi_Price VAT Inclusive'!C26</f>
        <v>6.5748689048399672E-2</v>
      </c>
      <c r="E9" s="328">
        <f>'Nairobi_Price VAT Inclusive'!E26</f>
        <v>6.703309257014424E-2</v>
      </c>
      <c r="F9" s="328">
        <f>'Nairobi_Price VAT Inclusive'!G26</f>
        <v>6.5837941347209814E-2</v>
      </c>
      <c r="G9" s="320"/>
      <c r="H9" s="915"/>
      <c r="I9" s="915"/>
      <c r="J9" s="915"/>
      <c r="L9" s="325"/>
      <c r="M9" s="325"/>
      <c r="N9" s="325"/>
    </row>
    <row r="10" spans="2:14">
      <c r="B10" s="327" t="s">
        <v>332</v>
      </c>
      <c r="C10" s="327" t="s">
        <v>469</v>
      </c>
      <c r="D10" s="328">
        <f>'Nairobi_Price VAT Inclusive'!C27</f>
        <v>0.70445023980428223</v>
      </c>
      <c r="E10" s="328">
        <f>'Nairobi_Price VAT Inclusive'!E27</f>
        <v>0.43092702366521302</v>
      </c>
      <c r="F10" s="328">
        <f>'Nairobi_Price VAT Inclusive'!G27</f>
        <v>0.42324390866063455</v>
      </c>
      <c r="G10" s="320"/>
      <c r="H10" s="915"/>
      <c r="I10" s="915"/>
      <c r="J10" s="915"/>
      <c r="L10" s="325"/>
      <c r="M10" s="325"/>
      <c r="N10" s="325"/>
    </row>
    <row r="11" spans="2:14">
      <c r="B11" s="327" t="s">
        <v>331</v>
      </c>
      <c r="C11" s="219" t="s">
        <v>803</v>
      </c>
      <c r="D11" s="328">
        <f>'Nairobi_Price VAT Inclusive'!C41</f>
        <v>0.53759192801282363</v>
      </c>
      <c r="E11" s="328">
        <f>'Nairobi_Price VAT Inclusive'!E41</f>
        <v>0.53759192801282363</v>
      </c>
      <c r="F11" s="328">
        <f>'Nairobi_Price VAT Inclusive'!G41</f>
        <v>0.53759192801282363</v>
      </c>
      <c r="G11" s="320"/>
      <c r="H11" s="915"/>
      <c r="I11" s="915"/>
      <c r="J11" s="915"/>
    </row>
    <row r="12" spans="2:14">
      <c r="B12" s="381" t="s">
        <v>330</v>
      </c>
      <c r="C12" s="327"/>
      <c r="D12" s="331">
        <f>SUM(D7:D11)</f>
        <v>3.8343908568655056</v>
      </c>
      <c r="E12" s="331">
        <f>SUM(E7:E11)</f>
        <v>3.5621520442481813</v>
      </c>
      <c r="F12" s="331">
        <f>SUM(F7:F11)</f>
        <v>3.5532737780206682</v>
      </c>
      <c r="G12" s="320"/>
      <c r="H12" s="844"/>
      <c r="I12" s="916"/>
      <c r="J12" s="916"/>
    </row>
    <row r="13" spans="2:14">
      <c r="B13" s="196"/>
      <c r="C13" s="196"/>
      <c r="D13" s="332"/>
      <c r="E13" s="332"/>
      <c r="F13" s="332"/>
      <c r="I13" s="210"/>
      <c r="J13" s="210"/>
      <c r="L13" s="162"/>
      <c r="M13" s="162"/>
      <c r="N13" s="162"/>
    </row>
    <row r="14" spans="2:14">
      <c r="B14" s="335" t="s">
        <v>329</v>
      </c>
      <c r="C14" s="335" t="s">
        <v>328</v>
      </c>
      <c r="D14" s="336">
        <f>'Nairobi_Price VAT Inclusive'!C28</f>
        <v>4.2039999999999997</v>
      </c>
      <c r="E14" s="336">
        <f>'Nairobi_Price VAT Inclusive'!E28</f>
        <v>4.1739999999999995</v>
      </c>
      <c r="F14" s="336">
        <f>'Nairobi_Price VAT Inclusive'!G28</f>
        <v>4.1739999999999995</v>
      </c>
      <c r="I14" s="171"/>
      <c r="J14" s="171"/>
      <c r="L14" s="162"/>
      <c r="M14" s="162"/>
      <c r="N14" s="162"/>
    </row>
    <row r="15" spans="2:14" ht="15.75" customHeight="1">
      <c r="B15" s="1219" t="s">
        <v>327</v>
      </c>
      <c r="C15" s="335" t="s">
        <v>670</v>
      </c>
      <c r="D15" s="336">
        <f>'Nairobi_Price VAT Inclusive'!C42</f>
        <v>8.19</v>
      </c>
      <c r="E15" s="336">
        <f>'Nairobi_Price VAT Inclusive'!E42</f>
        <v>8.19</v>
      </c>
      <c r="F15" s="336">
        <f>'Nairobi_Price VAT Inclusive'!G42</f>
        <v>8.19</v>
      </c>
      <c r="J15" s="171"/>
      <c r="L15" s="162"/>
      <c r="M15" s="162"/>
      <c r="N15" s="162"/>
    </row>
    <row r="16" spans="2:14">
      <c r="B16" s="1220"/>
      <c r="C16" s="335"/>
      <c r="D16" s="336"/>
      <c r="E16" s="336"/>
      <c r="F16" s="336"/>
      <c r="J16" s="171"/>
      <c r="L16" s="162"/>
      <c r="M16" s="162"/>
      <c r="N16" s="162"/>
    </row>
    <row r="17" spans="2:69">
      <c r="B17" s="382" t="s">
        <v>325</v>
      </c>
      <c r="C17" s="339"/>
      <c r="D17" s="340">
        <f>SUM(D14:D16)</f>
        <v>12.393999999999998</v>
      </c>
      <c r="E17" s="340">
        <f>SUM(E14:E16)</f>
        <v>12.363999999999999</v>
      </c>
      <c r="F17" s="340">
        <f>SUM(F14:F16)</f>
        <v>12.363999999999999</v>
      </c>
      <c r="G17" s="162"/>
      <c r="I17" s="171"/>
      <c r="J17" s="171"/>
      <c r="L17" s="162"/>
      <c r="M17" s="162"/>
      <c r="N17" s="162"/>
    </row>
    <row r="18" spans="2:69">
      <c r="B18" s="196"/>
      <c r="C18" s="196"/>
      <c r="D18" s="332"/>
      <c r="E18" s="332"/>
      <c r="F18" s="332"/>
      <c r="I18" s="171"/>
      <c r="J18" s="162"/>
      <c r="L18" s="162"/>
      <c r="M18" s="162"/>
      <c r="N18" s="162"/>
    </row>
    <row r="19" spans="2:69">
      <c r="B19" s="196"/>
      <c r="C19" s="196"/>
      <c r="D19" s="332"/>
      <c r="E19" s="332"/>
      <c r="F19" s="332"/>
      <c r="I19" s="171"/>
      <c r="J19" s="162"/>
      <c r="L19" s="341"/>
      <c r="M19" s="341"/>
      <c r="N19" s="341"/>
    </row>
    <row r="20" spans="2:69">
      <c r="B20" s="343" t="s">
        <v>324</v>
      </c>
      <c r="C20" s="343" t="s">
        <v>323</v>
      </c>
      <c r="D20" s="344">
        <v>21.953019999999999</v>
      </c>
      <c r="E20" s="344">
        <v>11.370990000000001</v>
      </c>
      <c r="F20" s="344">
        <v>11.370979999999999</v>
      </c>
      <c r="G20" s="320"/>
      <c r="I20" s="171"/>
      <c r="J20" s="915"/>
      <c r="L20" s="325"/>
      <c r="M20" s="325"/>
      <c r="N20" s="325"/>
    </row>
    <row r="21" spans="2:69">
      <c r="B21" s="343" t="s">
        <v>322</v>
      </c>
      <c r="C21" s="343" t="s">
        <v>318</v>
      </c>
      <c r="D21" s="344">
        <v>18</v>
      </c>
      <c r="E21" s="344">
        <v>18</v>
      </c>
      <c r="F21" s="344">
        <v>0</v>
      </c>
      <c r="G21" s="1144"/>
      <c r="I21" s="171"/>
      <c r="J21" s="915"/>
      <c r="L21" s="325"/>
      <c r="M21" s="325"/>
      <c r="N21" s="325"/>
    </row>
    <row r="22" spans="2:69">
      <c r="B22" s="343" t="s">
        <v>321</v>
      </c>
      <c r="C22" s="343" t="s">
        <v>318</v>
      </c>
      <c r="D22" s="344">
        <v>5.4</v>
      </c>
      <c r="E22" s="344">
        <v>5.4</v>
      </c>
      <c r="F22" s="344">
        <v>0.4</v>
      </c>
      <c r="G22" s="320"/>
      <c r="I22" s="171"/>
      <c r="J22" s="915"/>
      <c r="L22" s="325"/>
    </row>
    <row r="23" spans="2:69">
      <c r="B23" s="343" t="s">
        <v>320</v>
      </c>
      <c r="C23" s="343" t="s">
        <v>318</v>
      </c>
      <c r="D23" s="344">
        <v>0.25</v>
      </c>
      <c r="E23" s="344">
        <v>0.25</v>
      </c>
      <c r="F23" s="344">
        <v>0.25</v>
      </c>
      <c r="G23" s="320"/>
      <c r="I23" s="171"/>
      <c r="J23" s="915"/>
      <c r="L23" s="325"/>
    </row>
    <row r="24" spans="2:69">
      <c r="B24" s="343" t="s">
        <v>319</v>
      </c>
      <c r="C24" s="343" t="s">
        <v>318</v>
      </c>
      <c r="D24" s="344">
        <f>'PMS Import'!V10</f>
        <v>1.7335007701822511</v>
      </c>
      <c r="E24" s="344">
        <f>'AGO Import'!V10</f>
        <v>1.994329137255715</v>
      </c>
      <c r="F24" s="344">
        <f>'DPK Import'!R12</f>
        <v>2.0134755528419217</v>
      </c>
      <c r="G24" s="320"/>
      <c r="I24" s="171"/>
      <c r="J24" s="915"/>
      <c r="L24" s="325"/>
    </row>
    <row r="25" spans="2:69">
      <c r="B25" s="343" t="s">
        <v>470</v>
      </c>
      <c r="C25" s="343" t="s">
        <v>318</v>
      </c>
      <c r="D25" s="344">
        <v>0</v>
      </c>
      <c r="E25" s="344">
        <v>0</v>
      </c>
      <c r="F25" s="344">
        <v>18</v>
      </c>
      <c r="G25" s="320"/>
      <c r="I25" s="171"/>
      <c r="J25" s="915"/>
      <c r="L25" s="325"/>
    </row>
    <row r="26" spans="2:69">
      <c r="B26" s="343" t="s">
        <v>486</v>
      </c>
      <c r="C26" s="343" t="s">
        <v>318</v>
      </c>
      <c r="D26" s="1104">
        <f>'PMS SUMMARY'!D46</f>
        <v>2.9475332485588122E-2</v>
      </c>
      <c r="E26" s="1104">
        <f>'AGO SUMMARY'!E48</f>
        <v>3.3048548193121079E-2</v>
      </c>
      <c r="F26" s="1104">
        <f>'DPK SUMMARY'!D45</f>
        <v>1.4519287439229566E-3</v>
      </c>
      <c r="G26" s="320"/>
      <c r="I26" s="171"/>
      <c r="J26" s="915"/>
      <c r="L26" s="325"/>
    </row>
    <row r="27" spans="2:69">
      <c r="B27" s="343" t="s">
        <v>398</v>
      </c>
      <c r="C27" s="343" t="s">
        <v>318</v>
      </c>
      <c r="D27" s="344">
        <f>'PMS SUMMARY'!D47</f>
        <v>3.0336263478189398</v>
      </c>
      <c r="E27" s="344">
        <f>'AGO SUMMARY'!E49</f>
        <v>3.4900759901975014</v>
      </c>
      <c r="F27" s="344">
        <f>'DPK SUMMARY'!D46</f>
        <v>3.523582217473364</v>
      </c>
      <c r="G27" s="320" t="s">
        <v>902</v>
      </c>
      <c r="H27" s="915">
        <v>165.7871154434138</v>
      </c>
      <c r="I27" s="915">
        <v>172.61362894452807</v>
      </c>
      <c r="J27" s="915">
        <v>165.35490170058259</v>
      </c>
    </row>
    <row r="28" spans="2:69">
      <c r="B28" s="343" t="s">
        <v>487</v>
      </c>
      <c r="C28" s="343" t="s">
        <v>323</v>
      </c>
      <c r="D28" s="344">
        <v>12.56</v>
      </c>
      <c r="E28" s="344">
        <v>12.76</v>
      </c>
      <c r="F28" s="344">
        <v>12.55</v>
      </c>
      <c r="G28" s="320"/>
      <c r="H28" s="915"/>
      <c r="I28" s="915"/>
      <c r="J28" s="915"/>
    </row>
    <row r="29" spans="2:69" ht="15" thickBot="1">
      <c r="B29" s="349" t="s">
        <v>317</v>
      </c>
      <c r="C29" s="349"/>
      <c r="D29" s="350">
        <f>SUM(D20:D28)</f>
        <v>62.959622450486776</v>
      </c>
      <c r="E29" s="350">
        <f>SUM(E20:E28)</f>
        <v>53.29844367564634</v>
      </c>
      <c r="F29" s="350">
        <f>SUM(F20:F28)</f>
        <v>48.10948969905921</v>
      </c>
      <c r="G29" s="162"/>
      <c r="H29" s="915"/>
      <c r="I29" s="171"/>
      <c r="J29" s="171"/>
      <c r="K29" s="162"/>
      <c r="L29" s="325"/>
      <c r="N29" s="325"/>
    </row>
    <row r="30" spans="2:69" ht="15" thickBot="1">
      <c r="B30" s="383" t="s">
        <v>316</v>
      </c>
      <c r="C30" s="353"/>
      <c r="D30" s="354">
        <f>SUM(D5,D12,D17,D29)</f>
        <v>169.5747020168107</v>
      </c>
      <c r="E30" s="354">
        <f>SUM(E5,E12,E17,E29)</f>
        <v>172.23637756817593</v>
      </c>
      <c r="F30" s="354">
        <f>SUM(F5,F12,F17,F29)</f>
        <v>169.4298666659783</v>
      </c>
      <c r="H30" s="355">
        <f>'Nairobi_Price VAT Inclusive'!C49</f>
        <v>169.5747020168107</v>
      </c>
      <c r="I30" s="355">
        <f>'Nairobi_Price VAT Inclusive'!E49</f>
        <v>172.23637756817593</v>
      </c>
      <c r="J30" s="355">
        <f>'Nairobi_Price VAT Inclusive'!G49</f>
        <v>169.4298666659783</v>
      </c>
    </row>
    <row r="31" spans="2:69" s="360" customFormat="1">
      <c r="B31" s="384"/>
      <c r="C31" s="385"/>
      <c r="D31" s="323" t="str">
        <f>'Nairobi_Price VAT Inclusive'!C48</f>
        <v>+ 12.56</v>
      </c>
      <c r="E31" s="323" t="str">
        <f>'Nairobi_Price VAT Inclusive'!E48</f>
        <v>+ 12.76</v>
      </c>
      <c r="F31" s="323" t="str">
        <f>'Nairobi_Price VAT Inclusive'!G48</f>
        <v>+ 12.55</v>
      </c>
      <c r="G31" s="159" t="s">
        <v>798</v>
      </c>
      <c r="H31" s="171">
        <f>H30-H27</f>
        <v>3.7875865733969079</v>
      </c>
      <c r="I31" s="171">
        <f t="shared" ref="I31:J31" si="0">I30-I27</f>
        <v>-0.37725137635214878</v>
      </c>
      <c r="J31" s="171">
        <f t="shared" si="0"/>
        <v>4.0749649653957078</v>
      </c>
      <c r="K31" s="1056"/>
      <c r="L31" s="1056"/>
      <c r="M31" s="1056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159"/>
      <c r="AC31" s="159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  <c r="AN31" s="159"/>
      <c r="AO31" s="159"/>
      <c r="AP31" s="159"/>
      <c r="AQ31" s="159"/>
      <c r="AR31" s="159"/>
      <c r="AS31" s="159"/>
      <c r="AT31" s="159"/>
      <c r="AU31" s="159"/>
      <c r="AV31" s="159"/>
      <c r="AW31" s="159"/>
      <c r="AX31" s="159"/>
      <c r="AY31" s="159"/>
      <c r="AZ31" s="159"/>
      <c r="BA31" s="159"/>
      <c r="BB31" s="159"/>
      <c r="BC31" s="159"/>
      <c r="BD31" s="159"/>
      <c r="BE31" s="159"/>
      <c r="BF31" s="159"/>
      <c r="BG31" s="159"/>
      <c r="BH31" s="159"/>
      <c r="BI31" s="159"/>
      <c r="BJ31" s="159"/>
      <c r="BK31" s="159"/>
      <c r="BL31" s="159"/>
      <c r="BM31" s="159"/>
      <c r="BN31" s="159"/>
      <c r="BO31" s="159"/>
      <c r="BP31" s="159"/>
      <c r="BQ31" s="159"/>
    </row>
    <row r="32" spans="2:69">
      <c r="B32" s="386" t="s">
        <v>315</v>
      </c>
      <c r="C32" s="196"/>
      <c r="D32" s="332" t="s">
        <v>343</v>
      </c>
      <c r="E32" s="332" t="s">
        <v>338</v>
      </c>
      <c r="F32" s="332" t="s">
        <v>337</v>
      </c>
      <c r="G32" s="159" t="s">
        <v>903</v>
      </c>
      <c r="H32" s="171">
        <f>177.3</f>
        <v>177.3</v>
      </c>
      <c r="I32" s="171">
        <v>162</v>
      </c>
      <c r="J32" s="171">
        <v>145.94</v>
      </c>
    </row>
    <row r="33" spans="2:14">
      <c r="B33" s="196"/>
      <c r="C33" s="196"/>
      <c r="D33" s="332" t="s">
        <v>342</v>
      </c>
      <c r="E33" s="332" t="s">
        <v>342</v>
      </c>
      <c r="F33" s="332" t="s">
        <v>342</v>
      </c>
      <c r="G33" s="159" t="s">
        <v>904</v>
      </c>
      <c r="H33" s="1123">
        <f>177.3+2</f>
        <v>179.3</v>
      </c>
      <c r="I33" s="1123">
        <v>162</v>
      </c>
      <c r="J33" s="1123">
        <v>145.94</v>
      </c>
      <c r="L33" s="1056"/>
      <c r="M33" s="1056"/>
      <c r="N33" s="1056"/>
    </row>
    <row r="34" spans="2:14">
      <c r="B34" s="196" t="s">
        <v>314</v>
      </c>
      <c r="C34" s="196"/>
      <c r="D34" s="387">
        <f>D5</f>
        <v>90.386688709458426</v>
      </c>
      <c r="E34" s="387">
        <f>E5</f>
        <v>103.0117818482814</v>
      </c>
      <c r="F34" s="388">
        <f>F5</f>
        <v>105.40310318889841</v>
      </c>
      <c r="G34" s="159" t="s">
        <v>711</v>
      </c>
      <c r="H34" s="171">
        <f>H30-H33</f>
        <v>-9.7252979831893072</v>
      </c>
      <c r="I34" s="171">
        <f t="shared" ref="I34:J34" si="1">I30-I33</f>
        <v>10.236377568175925</v>
      </c>
      <c r="J34" s="171">
        <f t="shared" si="1"/>
        <v>23.489866665978298</v>
      </c>
    </row>
    <row r="35" spans="2:14">
      <c r="B35" s="196" t="s">
        <v>313</v>
      </c>
      <c r="C35" s="196"/>
      <c r="D35" s="387">
        <f>D12</f>
        <v>3.8343908568655056</v>
      </c>
      <c r="E35" s="387">
        <f>E12</f>
        <v>3.5621520442481813</v>
      </c>
      <c r="F35" s="388">
        <f>F12</f>
        <v>3.5532737780206682</v>
      </c>
      <c r="I35" s="162"/>
      <c r="J35" s="162"/>
    </row>
    <row r="36" spans="2:14">
      <c r="B36" s="389" t="s">
        <v>345</v>
      </c>
      <c r="C36" s="196"/>
      <c r="D36" s="387">
        <f>D17</f>
        <v>12.393999999999998</v>
      </c>
      <c r="E36" s="387">
        <f>E17</f>
        <v>12.363999999999999</v>
      </c>
      <c r="F36" s="388">
        <f>F17</f>
        <v>12.363999999999999</v>
      </c>
      <c r="G36" s="1117" t="s">
        <v>810</v>
      </c>
      <c r="H36" s="1118">
        <f>H30-H33</f>
        <v>-9.7252979831893072</v>
      </c>
      <c r="I36" s="1118">
        <f t="shared" ref="I36:J36" si="2">I30-I33</f>
        <v>10.236377568175925</v>
      </c>
      <c r="J36" s="1118">
        <f t="shared" si="2"/>
        <v>23.489866665978298</v>
      </c>
    </row>
    <row r="37" spans="2:14">
      <c r="B37" s="196" t="s">
        <v>312</v>
      </c>
      <c r="C37" s="196"/>
      <c r="D37" s="387">
        <f>D29</f>
        <v>62.959622450486776</v>
      </c>
      <c r="E37" s="387">
        <f>E29</f>
        <v>53.29844367564634</v>
      </c>
      <c r="F37" s="388">
        <f>F29</f>
        <v>48.10948969905921</v>
      </c>
      <c r="G37" s="162"/>
      <c r="I37" s="1056"/>
      <c r="J37" s="162"/>
      <c r="K37" s="320"/>
    </row>
    <row r="38" spans="2:14">
      <c r="B38" s="312" t="s">
        <v>311</v>
      </c>
      <c r="C38" s="196"/>
      <c r="D38" s="390">
        <f>SUM(D34:D37)</f>
        <v>169.5747020168107</v>
      </c>
      <c r="E38" s="390">
        <f>SUM(E34:E37)</f>
        <v>172.23637756817593</v>
      </c>
      <c r="F38" s="391">
        <f>SUM(F34:F37)</f>
        <v>169.4298666659783</v>
      </c>
      <c r="I38" s="171"/>
      <c r="J38" s="171"/>
      <c r="K38" s="320"/>
    </row>
    <row r="39" spans="2:14">
      <c r="H39" s="171">
        <f>H36/1.08</f>
        <v>-9.0049055399900979</v>
      </c>
      <c r="I39" s="171">
        <f>I30-12.36</f>
        <v>159.87637756817594</v>
      </c>
      <c r="J39" s="171">
        <f>12.36-J36</f>
        <v>-11.129866665978298</v>
      </c>
      <c r="K39" s="320"/>
    </row>
    <row r="40" spans="2:14">
      <c r="D40" s="1111">
        <f>D30/1.08*0.08</f>
        <v>12.561089038282274</v>
      </c>
      <c r="E40" s="162">
        <f>E30/1.08*0.08</f>
        <v>12.758250190235254</v>
      </c>
      <c r="F40" s="162">
        <f>F30/1.08*0.08</f>
        <v>12.55036049377617</v>
      </c>
      <c r="H40" s="1119"/>
      <c r="I40" s="1056"/>
      <c r="J40" s="1056"/>
    </row>
    <row r="41" spans="2:14">
      <c r="D41" s="379"/>
      <c r="I41" s="1056">
        <f>I33-I39</f>
        <v>2.1236224318240602</v>
      </c>
      <c r="J41" s="1056">
        <f>J39/1.08</f>
        <v>-10.305432098128053</v>
      </c>
    </row>
    <row r="42" spans="2:14">
      <c r="D42" s="379"/>
      <c r="I42" s="171"/>
      <c r="J42" s="171"/>
    </row>
    <row r="43" spans="2:14">
      <c r="D43" s="379"/>
      <c r="I43" s="1056">
        <f>I41/1.08</f>
        <v>1.9663170665037593</v>
      </c>
      <c r="J43" s="1056"/>
    </row>
    <row r="44" spans="2:14">
      <c r="D44" s="379"/>
    </row>
    <row r="45" spans="2:14">
      <c r="D45" s="1108"/>
    </row>
    <row r="46" spans="2:14">
      <c r="D46" s="379"/>
    </row>
    <row r="47" spans="2:14">
      <c r="D47" s="379"/>
    </row>
    <row r="48" spans="2:14">
      <c r="D48" s="379"/>
    </row>
    <row r="49" spans="4:4">
      <c r="D49" s="379"/>
    </row>
    <row r="50" spans="4:4">
      <c r="D50" s="379"/>
    </row>
    <row r="51" spans="4:4">
      <c r="D51" s="379"/>
    </row>
    <row r="52" spans="4:4">
      <c r="D52" s="379"/>
    </row>
    <row r="53" spans="4:4">
      <c r="D53" s="379"/>
    </row>
  </sheetData>
  <mergeCells count="2">
    <mergeCell ref="B2:F2"/>
    <mergeCell ref="B15:B16"/>
  </mergeCells>
  <pageMargins left="0.7" right="0.7" top="0.75" bottom="0.75" header="0.3" footer="0.3"/>
  <pageSetup scale="9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92D050"/>
  </sheetPr>
  <dimension ref="B2:BQ56"/>
  <sheetViews>
    <sheetView workbookViewId="0">
      <selection activeCell="D5" sqref="D5"/>
    </sheetView>
  </sheetViews>
  <sheetFormatPr defaultColWidth="9.1796875" defaultRowHeight="14.5"/>
  <cols>
    <col min="1" max="1" width="1.26953125" style="159" customWidth="1"/>
    <col min="2" max="2" width="44.453125" style="159" customWidth="1"/>
    <col min="3" max="3" width="39.1796875" style="159" customWidth="1"/>
    <col min="4" max="6" width="13" style="159" customWidth="1"/>
    <col min="7" max="7" width="9.1796875" style="159"/>
    <col min="8" max="8" width="12.26953125" style="171" customWidth="1"/>
    <col min="9" max="10" width="12.26953125" style="159" customWidth="1"/>
    <col min="11" max="11" width="15.54296875" style="159" customWidth="1"/>
    <col min="12" max="16384" width="9.1796875" style="159"/>
  </cols>
  <sheetData>
    <row r="2" spans="2:14" ht="30" customHeight="1">
      <c r="B2" s="1174" t="s">
        <v>641</v>
      </c>
      <c r="C2" s="1174"/>
      <c r="D2" s="1174"/>
      <c r="E2" s="1174"/>
      <c r="F2" s="1218"/>
    </row>
    <row r="3" spans="2:14">
      <c r="B3" s="312" t="s">
        <v>339</v>
      </c>
      <c r="C3" s="312" t="s">
        <v>344</v>
      </c>
      <c r="D3" s="886" t="s">
        <v>343</v>
      </c>
      <c r="E3" s="886" t="s">
        <v>338</v>
      </c>
      <c r="F3" s="886" t="s">
        <v>337</v>
      </c>
    </row>
    <row r="4" spans="2:14">
      <c r="B4" s="312"/>
      <c r="C4" s="312"/>
      <c r="D4" s="886" t="s">
        <v>342</v>
      </c>
      <c r="E4" s="886" t="s">
        <v>342</v>
      </c>
      <c r="F4" s="886" t="s">
        <v>342</v>
      </c>
    </row>
    <row r="5" spans="2:14">
      <c r="B5" s="380" t="s">
        <v>346</v>
      </c>
      <c r="C5" s="316" t="s">
        <v>340</v>
      </c>
      <c r="D5" s="317">
        <v>32.22</v>
      </c>
      <c r="E5" s="317">
        <v>45.41</v>
      </c>
      <c r="F5" s="317">
        <v>27.56</v>
      </c>
      <c r="G5" s="162"/>
      <c r="H5" s="197"/>
      <c r="I5" s="197"/>
      <c r="J5" s="197"/>
      <c r="K5" s="320"/>
    </row>
    <row r="6" spans="2:14">
      <c r="B6" s="322"/>
      <c r="C6" s="322"/>
      <c r="D6" s="323"/>
      <c r="E6" s="323"/>
      <c r="F6" s="323"/>
      <c r="G6" s="325"/>
      <c r="H6" s="197"/>
      <c r="I6" s="197"/>
      <c r="J6" s="197"/>
    </row>
    <row r="7" spans="2:14">
      <c r="B7" s="327" t="s">
        <v>336</v>
      </c>
      <c r="C7" s="327" t="s">
        <v>467</v>
      </c>
      <c r="D7" s="328">
        <v>2.2799999999999998</v>
      </c>
      <c r="E7" s="328">
        <v>2.2799999999999998</v>
      </c>
      <c r="F7" s="328">
        <v>2.2799999999999998</v>
      </c>
      <c r="G7" s="162"/>
      <c r="H7" s="197"/>
      <c r="I7" s="197"/>
      <c r="J7" s="197"/>
      <c r="L7" s="325"/>
      <c r="M7" s="325"/>
      <c r="N7" s="325"/>
    </row>
    <row r="8" spans="2:14">
      <c r="B8" s="327" t="s">
        <v>335</v>
      </c>
      <c r="C8" s="327" t="s">
        <v>468</v>
      </c>
      <c r="D8" s="328">
        <v>0</v>
      </c>
      <c r="E8" s="328">
        <v>0</v>
      </c>
      <c r="F8" s="328">
        <v>0</v>
      </c>
      <c r="G8" s="162"/>
      <c r="H8" s="197"/>
      <c r="I8" s="197"/>
      <c r="J8" s="197"/>
      <c r="L8" s="325"/>
      <c r="M8" s="325"/>
      <c r="N8" s="325"/>
    </row>
    <row r="9" spans="2:14">
      <c r="B9" s="327" t="s">
        <v>334</v>
      </c>
      <c r="C9" s="327" t="s">
        <v>333</v>
      </c>
      <c r="D9" s="328">
        <v>0</v>
      </c>
      <c r="E9" s="328">
        <v>0</v>
      </c>
      <c r="F9" s="328">
        <v>0</v>
      </c>
      <c r="G9" s="162"/>
      <c r="H9" s="197"/>
      <c r="I9" s="197"/>
      <c r="J9" s="197"/>
      <c r="L9" s="325"/>
      <c r="M9" s="325"/>
      <c r="N9" s="325"/>
    </row>
    <row r="10" spans="2:14">
      <c r="B10" s="327" t="s">
        <v>332</v>
      </c>
      <c r="C10" s="327" t="s">
        <v>469</v>
      </c>
      <c r="D10" s="328">
        <v>0.37</v>
      </c>
      <c r="E10" s="328">
        <v>0.23</v>
      </c>
      <c r="F10" s="328">
        <v>0.18</v>
      </c>
      <c r="G10" s="162"/>
      <c r="H10" s="197"/>
      <c r="I10" s="197"/>
      <c r="J10" s="197"/>
      <c r="L10" s="325"/>
      <c r="M10" s="325"/>
      <c r="N10" s="325"/>
    </row>
    <row r="11" spans="2:14">
      <c r="B11" s="327" t="s">
        <v>331</v>
      </c>
      <c r="C11" s="219" t="s">
        <v>341</v>
      </c>
      <c r="D11" s="328">
        <v>0.54</v>
      </c>
      <c r="E11" s="328">
        <v>0.54</v>
      </c>
      <c r="F11" s="328">
        <v>0.54</v>
      </c>
      <c r="G11" s="162"/>
      <c r="H11" s="197"/>
      <c r="I11" s="197"/>
      <c r="J11" s="197"/>
    </row>
    <row r="12" spans="2:14">
      <c r="B12" s="381" t="s">
        <v>330</v>
      </c>
      <c r="C12" s="327"/>
      <c r="D12" s="331">
        <f>SUM(D7:D11)</f>
        <v>3.19</v>
      </c>
      <c r="E12" s="331">
        <f>SUM(E7:E11)</f>
        <v>3.05</v>
      </c>
      <c r="F12" s="331">
        <f>SUM(F7:F11)</f>
        <v>3</v>
      </c>
      <c r="G12" s="162"/>
      <c r="H12" s="906"/>
      <c r="I12" s="906"/>
      <c r="J12" s="197"/>
    </row>
    <row r="13" spans="2:14">
      <c r="B13" s="196"/>
      <c r="C13" s="196"/>
      <c r="D13" s="332"/>
      <c r="E13" s="332"/>
      <c r="F13" s="332"/>
      <c r="H13" s="197"/>
      <c r="I13" s="197"/>
      <c r="J13" s="197"/>
      <c r="L13" s="162"/>
      <c r="M13" s="162"/>
      <c r="N13" s="162"/>
    </row>
    <row r="14" spans="2:14">
      <c r="B14" s="335" t="s">
        <v>329</v>
      </c>
      <c r="C14" s="335" t="s">
        <v>328</v>
      </c>
      <c r="D14" s="336">
        <v>4.2</v>
      </c>
      <c r="E14" s="336">
        <v>4.17</v>
      </c>
      <c r="F14" s="336">
        <v>4.17</v>
      </c>
      <c r="H14" s="197"/>
      <c r="I14" s="197"/>
      <c r="J14" s="197"/>
      <c r="L14" s="162"/>
      <c r="M14" s="162"/>
      <c r="N14" s="162"/>
    </row>
    <row r="15" spans="2:14" ht="15.75" customHeight="1">
      <c r="B15" s="1219" t="s">
        <v>327</v>
      </c>
      <c r="C15" s="335" t="s">
        <v>540</v>
      </c>
      <c r="D15" s="336">
        <v>4.05</v>
      </c>
      <c r="E15" s="336">
        <v>4.05</v>
      </c>
      <c r="F15" s="336">
        <v>4.05</v>
      </c>
      <c r="H15" s="197"/>
      <c r="I15" s="197"/>
      <c r="J15" s="197"/>
      <c r="L15" s="162"/>
      <c r="M15" s="162"/>
      <c r="N15" s="162"/>
    </row>
    <row r="16" spans="2:14">
      <c r="B16" s="1220"/>
      <c r="C16" s="335" t="s">
        <v>541</v>
      </c>
      <c r="D16" s="336">
        <v>4.1399999999999997</v>
      </c>
      <c r="E16" s="336">
        <v>4.1399999999999997</v>
      </c>
      <c r="F16" s="336">
        <v>4.1399999999999997</v>
      </c>
      <c r="H16" s="197"/>
      <c r="I16" s="197"/>
      <c r="J16" s="197"/>
      <c r="L16" s="162"/>
      <c r="M16" s="162"/>
      <c r="N16" s="162"/>
    </row>
    <row r="17" spans="2:69">
      <c r="B17" s="382" t="s">
        <v>325</v>
      </c>
      <c r="C17" s="339"/>
      <c r="D17" s="340">
        <f>SUM(D14:D16)</f>
        <v>12.39</v>
      </c>
      <c r="E17" s="340">
        <f>SUM(E14:E16)</f>
        <v>12.36</v>
      </c>
      <c r="F17" s="340">
        <f>SUM(F14:F16)</f>
        <v>12.36</v>
      </c>
      <c r="G17" s="162"/>
      <c r="H17" s="197"/>
      <c r="I17" s="197"/>
      <c r="J17" s="197"/>
      <c r="L17" s="162"/>
      <c r="M17" s="162"/>
      <c r="N17" s="162"/>
    </row>
    <row r="18" spans="2:69">
      <c r="B18" s="196"/>
      <c r="C18" s="196"/>
      <c r="D18" s="332"/>
      <c r="E18" s="332"/>
      <c r="F18" s="332"/>
      <c r="H18" s="197"/>
      <c r="I18" s="197"/>
      <c r="J18" s="197"/>
      <c r="L18" s="162"/>
      <c r="M18" s="162"/>
      <c r="N18" s="162"/>
    </row>
    <row r="19" spans="2:69">
      <c r="B19" s="196"/>
      <c r="C19" s="196"/>
      <c r="D19" s="332"/>
      <c r="E19" s="332"/>
      <c r="F19" s="332"/>
      <c r="H19" s="197"/>
      <c r="I19" s="197"/>
      <c r="J19" s="197"/>
      <c r="L19" s="341"/>
      <c r="M19" s="341"/>
      <c r="N19" s="341"/>
    </row>
    <row r="20" spans="2:69">
      <c r="B20" s="343" t="s">
        <v>324</v>
      </c>
      <c r="C20" s="343" t="s">
        <v>323</v>
      </c>
      <c r="D20" s="344">
        <v>20.92</v>
      </c>
      <c r="E20" s="344">
        <v>10.84</v>
      </c>
      <c r="F20" s="344">
        <v>10.84</v>
      </c>
      <c r="G20" s="162"/>
      <c r="H20" s="197"/>
      <c r="I20" s="197"/>
      <c r="J20" s="197"/>
      <c r="L20" s="325">
        <f>ROUND(K20,2)</f>
        <v>0</v>
      </c>
      <c r="M20" s="325"/>
      <c r="N20" s="325"/>
    </row>
    <row r="21" spans="2:69">
      <c r="B21" s="343" t="s">
        <v>322</v>
      </c>
      <c r="C21" s="343" t="s">
        <v>318</v>
      </c>
      <c r="D21" s="344">
        <v>18</v>
      </c>
      <c r="E21" s="344">
        <v>18</v>
      </c>
      <c r="F21" s="344">
        <v>0</v>
      </c>
      <c r="G21" s="162"/>
      <c r="H21" s="197"/>
      <c r="I21" s="197"/>
      <c r="J21" s="197"/>
      <c r="L21" s="325">
        <f t="shared" ref="L21:L28" si="0">ROUND(K21,2)</f>
        <v>0</v>
      </c>
      <c r="M21" s="325"/>
      <c r="N21" s="325"/>
    </row>
    <row r="22" spans="2:69">
      <c r="B22" s="343" t="s">
        <v>321</v>
      </c>
      <c r="C22" s="343" t="s">
        <v>318</v>
      </c>
      <c r="D22" s="344">
        <v>0.4</v>
      </c>
      <c r="E22" s="344">
        <v>0.4</v>
      </c>
      <c r="F22" s="344">
        <v>0.4</v>
      </c>
      <c r="G22" s="162"/>
      <c r="H22" s="197"/>
      <c r="I22" s="197"/>
      <c r="J22" s="197"/>
      <c r="L22" s="325">
        <f t="shared" si="0"/>
        <v>0</v>
      </c>
    </row>
    <row r="23" spans="2:69">
      <c r="B23" s="343" t="s">
        <v>320</v>
      </c>
      <c r="C23" s="343" t="s">
        <v>318</v>
      </c>
      <c r="D23" s="344">
        <v>0.25</v>
      </c>
      <c r="E23" s="344">
        <v>0.25</v>
      </c>
      <c r="F23" s="344">
        <v>0.25</v>
      </c>
      <c r="G23" s="162"/>
      <c r="H23" s="197"/>
      <c r="I23" s="197"/>
      <c r="J23" s="197"/>
      <c r="L23" s="325">
        <f t="shared" si="0"/>
        <v>0</v>
      </c>
    </row>
    <row r="24" spans="2:69">
      <c r="B24" s="343" t="s">
        <v>319</v>
      </c>
      <c r="C24" s="343" t="s">
        <v>318</v>
      </c>
      <c r="D24" s="344">
        <v>0.62</v>
      </c>
      <c r="E24" s="344">
        <v>0.86</v>
      </c>
      <c r="F24" s="344">
        <v>0.52</v>
      </c>
      <c r="G24" s="162"/>
      <c r="H24" s="197"/>
      <c r="I24" s="197"/>
      <c r="J24" s="197"/>
      <c r="L24" s="325">
        <f t="shared" si="0"/>
        <v>0</v>
      </c>
    </row>
    <row r="25" spans="2:69">
      <c r="B25" s="343" t="s">
        <v>470</v>
      </c>
      <c r="C25" s="343" t="s">
        <v>318</v>
      </c>
      <c r="D25" s="344">
        <v>0</v>
      </c>
      <c r="E25" s="344">
        <v>0</v>
      </c>
      <c r="F25" s="344">
        <v>18</v>
      </c>
      <c r="G25" s="162"/>
      <c r="H25" s="197"/>
      <c r="I25" s="197"/>
      <c r="J25" s="197"/>
      <c r="L25" s="325">
        <f t="shared" si="0"/>
        <v>0</v>
      </c>
    </row>
    <row r="26" spans="2:69">
      <c r="B26" s="343" t="s">
        <v>486</v>
      </c>
      <c r="C26" s="343" t="s">
        <v>318</v>
      </c>
      <c r="D26" s="344">
        <v>0.02</v>
      </c>
      <c r="E26" s="344">
        <v>0.03</v>
      </c>
      <c r="F26" s="344">
        <v>0.02</v>
      </c>
      <c r="G26" s="162"/>
      <c r="H26" s="197"/>
      <c r="I26" s="197"/>
      <c r="J26" s="197"/>
      <c r="L26" s="325">
        <v>0.03</v>
      </c>
    </row>
    <row r="27" spans="2:69">
      <c r="B27" s="343" t="s">
        <v>398</v>
      </c>
      <c r="C27" s="343" t="s">
        <v>318</v>
      </c>
      <c r="D27" s="344">
        <v>1.07</v>
      </c>
      <c r="E27" s="344">
        <v>1.51</v>
      </c>
      <c r="F27" s="344">
        <v>0.91</v>
      </c>
      <c r="G27" s="162"/>
      <c r="H27" s="197"/>
      <c r="I27" s="197"/>
      <c r="J27" s="197"/>
    </row>
    <row r="28" spans="2:69">
      <c r="B28" s="343" t="s">
        <v>487</v>
      </c>
      <c r="C28" s="343" t="s">
        <v>323</v>
      </c>
      <c r="D28" s="344">
        <v>3.79</v>
      </c>
      <c r="E28" s="344">
        <v>4.8499999999999996</v>
      </c>
      <c r="F28" s="344">
        <v>3.42</v>
      </c>
      <c r="G28" s="162"/>
      <c r="H28" s="197"/>
      <c r="I28" s="197"/>
      <c r="J28" s="197"/>
      <c r="L28" s="325">
        <f t="shared" si="0"/>
        <v>0</v>
      </c>
    </row>
    <row r="29" spans="2:69">
      <c r="B29" s="349" t="s">
        <v>317</v>
      </c>
      <c r="C29" s="349"/>
      <c r="D29" s="350">
        <f>SUM(D20:D28)</f>
        <v>45.07</v>
      </c>
      <c r="E29" s="350">
        <f>SUM(E20:E28)</f>
        <v>36.74</v>
      </c>
      <c r="F29" s="350">
        <f>SUM(F20:F28)</f>
        <v>34.36</v>
      </c>
      <c r="G29" s="162"/>
      <c r="H29" s="906"/>
      <c r="I29" s="906"/>
      <c r="J29" s="197"/>
      <c r="K29" s="162"/>
      <c r="L29" s="325">
        <f>SUM(L20:L28)</f>
        <v>0.03</v>
      </c>
    </row>
    <row r="30" spans="2:69">
      <c r="B30" s="383" t="s">
        <v>316</v>
      </c>
      <c r="C30" s="353"/>
      <c r="D30" s="354">
        <f>SUM(D5,D12,D17,D29)</f>
        <v>92.87</v>
      </c>
      <c r="E30" s="354">
        <f>SUM(E5,E12,E17,E29)</f>
        <v>97.56</v>
      </c>
      <c r="F30" s="354">
        <f>SUM(F5,F12,F17,F29)</f>
        <v>77.28</v>
      </c>
      <c r="H30" s="906"/>
      <c r="I30" s="906"/>
      <c r="J30" s="197"/>
    </row>
    <row r="31" spans="2:69" s="360" customFormat="1">
      <c r="B31" s="384"/>
      <c r="C31" s="385"/>
      <c r="D31" s="323"/>
      <c r="E31" s="323"/>
      <c r="F31" s="323"/>
      <c r="G31" s="159"/>
      <c r="H31" s="906"/>
      <c r="I31" s="906"/>
      <c r="J31" s="197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159"/>
      <c r="AC31" s="159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  <c r="AN31" s="159"/>
      <c r="AO31" s="159"/>
      <c r="AP31" s="159"/>
      <c r="AQ31" s="159"/>
      <c r="AR31" s="159"/>
      <c r="AS31" s="159"/>
      <c r="AT31" s="159"/>
      <c r="AU31" s="159"/>
      <c r="AV31" s="159"/>
      <c r="AW31" s="159"/>
      <c r="AX31" s="159"/>
      <c r="AY31" s="159"/>
      <c r="AZ31" s="159"/>
      <c r="BA31" s="159"/>
      <c r="BB31" s="159"/>
      <c r="BC31" s="159"/>
      <c r="BD31" s="159"/>
      <c r="BE31" s="159"/>
      <c r="BF31" s="159"/>
      <c r="BG31" s="159"/>
      <c r="BH31" s="159"/>
      <c r="BI31" s="159"/>
      <c r="BJ31" s="159"/>
      <c r="BK31" s="159"/>
      <c r="BL31" s="159"/>
      <c r="BM31" s="159"/>
      <c r="BN31" s="159"/>
      <c r="BO31" s="159"/>
      <c r="BP31" s="159"/>
      <c r="BQ31" s="159"/>
    </row>
    <row r="32" spans="2:69">
      <c r="B32" s="386" t="s">
        <v>315</v>
      </c>
      <c r="C32" s="196"/>
      <c r="D32" s="332" t="s">
        <v>343</v>
      </c>
      <c r="E32" s="332" t="s">
        <v>338</v>
      </c>
      <c r="F32" s="332" t="s">
        <v>337</v>
      </c>
      <c r="H32" s="162"/>
      <c r="I32" s="162"/>
      <c r="J32" s="162"/>
    </row>
    <row r="33" spans="2:11">
      <c r="B33" s="196"/>
      <c r="C33" s="196"/>
      <c r="D33" s="332" t="s">
        <v>342</v>
      </c>
      <c r="E33" s="332" t="s">
        <v>342</v>
      </c>
      <c r="F33" s="332" t="s">
        <v>342</v>
      </c>
      <c r="I33" s="162"/>
      <c r="J33" s="162"/>
    </row>
    <row r="34" spans="2:11">
      <c r="B34" s="196" t="s">
        <v>314</v>
      </c>
      <c r="C34" s="196"/>
      <c r="D34" s="387">
        <f>D5</f>
        <v>32.22</v>
      </c>
      <c r="E34" s="387">
        <f>E5</f>
        <v>45.41</v>
      </c>
      <c r="F34" s="388">
        <f>F5</f>
        <v>27.56</v>
      </c>
      <c r="I34" s="162"/>
      <c r="J34" s="162"/>
    </row>
    <row r="35" spans="2:11">
      <c r="B35" s="196" t="s">
        <v>313</v>
      </c>
      <c r="C35" s="196"/>
      <c r="D35" s="387">
        <f>D12</f>
        <v>3.19</v>
      </c>
      <c r="E35" s="387">
        <f>E12</f>
        <v>3.05</v>
      </c>
      <c r="F35" s="388">
        <f>F12</f>
        <v>3</v>
      </c>
      <c r="I35" s="162"/>
      <c r="J35" s="162"/>
    </row>
    <row r="36" spans="2:11">
      <c r="B36" s="389" t="s">
        <v>345</v>
      </c>
      <c r="C36" s="196"/>
      <c r="D36" s="387">
        <f>D17</f>
        <v>12.39</v>
      </c>
      <c r="E36" s="387">
        <f>E17</f>
        <v>12.36</v>
      </c>
      <c r="F36" s="388">
        <f>F17</f>
        <v>12.36</v>
      </c>
      <c r="I36" s="162"/>
      <c r="J36" s="162"/>
    </row>
    <row r="37" spans="2:11">
      <c r="B37" s="196" t="s">
        <v>312</v>
      </c>
      <c r="C37" s="196"/>
      <c r="D37" s="387">
        <f>D29</f>
        <v>45.07</v>
      </c>
      <c r="E37" s="387">
        <f>E29</f>
        <v>36.74</v>
      </c>
      <c r="F37" s="388">
        <f>F29</f>
        <v>34.36</v>
      </c>
      <c r="J37" s="320"/>
      <c r="K37" s="320"/>
    </row>
    <row r="38" spans="2:11">
      <c r="B38" s="312" t="s">
        <v>311</v>
      </c>
      <c r="C38" s="196"/>
      <c r="D38" s="390">
        <f>SUM(D34:D37)</f>
        <v>92.87</v>
      </c>
      <c r="E38" s="390">
        <f>SUM(E34:E37)</f>
        <v>97.56</v>
      </c>
      <c r="F38" s="391">
        <f>SUM(F34:F37)</f>
        <v>77.28</v>
      </c>
      <c r="J38" s="320"/>
      <c r="K38" s="320"/>
    </row>
    <row r="39" spans="2:11">
      <c r="J39" s="320"/>
      <c r="K39" s="320"/>
    </row>
    <row r="40" spans="2:11">
      <c r="J40" s="320"/>
      <c r="K40" s="320"/>
    </row>
    <row r="41" spans="2:11">
      <c r="D41" s="898">
        <f>D34-D42</f>
        <v>31.22</v>
      </c>
      <c r="E41" s="898">
        <f>E34-E42</f>
        <v>45.05</v>
      </c>
      <c r="F41" s="898">
        <f>F34-F42</f>
        <v>25.959999999999997</v>
      </c>
      <c r="J41" s="320"/>
    </row>
    <row r="42" spans="2:11">
      <c r="D42" s="898">
        <f>ROUND('PMS SUMMARY'!J36,2)</f>
        <v>1</v>
      </c>
      <c r="E42" s="898">
        <f>ROUND('AGO SUMMARY'!K37,2)</f>
        <v>0.36</v>
      </c>
      <c r="F42" s="898">
        <f>ROUND('DPK SUMMARY'!F35,2)</f>
        <v>1.6</v>
      </c>
      <c r="J42" s="320"/>
    </row>
    <row r="43" spans="2:11">
      <c r="D43" s="378"/>
    </row>
    <row r="44" spans="2:11">
      <c r="D44" s="379"/>
    </row>
    <row r="45" spans="2:11">
      <c r="D45" s="379"/>
    </row>
    <row r="46" spans="2:11">
      <c r="D46" s="379"/>
    </row>
    <row r="47" spans="2:11">
      <c r="D47" s="379"/>
    </row>
    <row r="48" spans="2:11">
      <c r="D48" s="379"/>
    </row>
    <row r="49" spans="4:4">
      <c r="D49" s="379"/>
    </row>
    <row r="50" spans="4:4">
      <c r="D50" s="379"/>
    </row>
    <row r="51" spans="4:4">
      <c r="D51" s="379"/>
    </row>
    <row r="52" spans="4:4">
      <c r="D52" s="379"/>
    </row>
    <row r="53" spans="4:4">
      <c r="D53" s="379"/>
    </row>
    <row r="54" spans="4:4">
      <c r="D54" s="379"/>
    </row>
    <row r="55" spans="4:4">
      <c r="D55" s="379"/>
    </row>
    <row r="56" spans="4:4">
      <c r="D56" s="379"/>
    </row>
  </sheetData>
  <mergeCells count="2">
    <mergeCell ref="B2:F2"/>
    <mergeCell ref="B15:B1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FF0000"/>
  </sheetPr>
  <dimension ref="B1:BQ52"/>
  <sheetViews>
    <sheetView topLeftCell="A16" workbookViewId="0">
      <selection activeCell="D26" sqref="D26"/>
    </sheetView>
  </sheetViews>
  <sheetFormatPr defaultColWidth="9.1796875" defaultRowHeight="14.5"/>
  <cols>
    <col min="1" max="1" width="1.26953125" style="159" customWidth="1"/>
    <col min="2" max="2" width="36.81640625" style="159" bestFit="1" customWidth="1"/>
    <col min="3" max="3" width="34.26953125" style="159" bestFit="1" customWidth="1"/>
    <col min="4" max="5" width="13" style="159" customWidth="1"/>
    <col min="6" max="6" width="14.453125" style="159" customWidth="1"/>
    <col min="7" max="7" width="9.1796875" style="159"/>
    <col min="8" max="8" width="16.453125" style="171" customWidth="1"/>
    <col min="9" max="9" width="15.7265625" style="159" bestFit="1" customWidth="1"/>
    <col min="10" max="10" width="18" style="159" customWidth="1"/>
    <col min="11" max="11" width="9.26953125" style="159" bestFit="1" customWidth="1"/>
    <col min="12" max="16384" width="9.1796875" style="159"/>
  </cols>
  <sheetData>
    <row r="1" spans="2:14" ht="15" thickBot="1"/>
    <row r="2" spans="2:14" ht="30" customHeight="1">
      <c r="B2" s="1221" t="s">
        <v>663</v>
      </c>
      <c r="C2" s="1222"/>
      <c r="D2" s="1222"/>
      <c r="E2" s="1222"/>
      <c r="F2" s="1223"/>
    </row>
    <row r="3" spans="2:14">
      <c r="B3" s="311" t="s">
        <v>339</v>
      </c>
      <c r="C3" s="312" t="s">
        <v>344</v>
      </c>
      <c r="D3" s="313" t="s">
        <v>343</v>
      </c>
      <c r="E3" s="313" t="s">
        <v>338</v>
      </c>
      <c r="F3" s="314" t="s">
        <v>337</v>
      </c>
    </row>
    <row r="4" spans="2:14">
      <c r="B4" s="311"/>
      <c r="C4" s="312"/>
      <c r="D4" s="313" t="s">
        <v>342</v>
      </c>
      <c r="E4" s="313" t="s">
        <v>342</v>
      </c>
      <c r="F4" s="314" t="s">
        <v>342</v>
      </c>
    </row>
    <row r="5" spans="2:14">
      <c r="B5" s="315" t="s">
        <v>346</v>
      </c>
      <c r="C5" s="316" t="s">
        <v>340</v>
      </c>
      <c r="D5" s="317">
        <f>'PMS SUMMARY'!J37</f>
        <v>93.553125397773286</v>
      </c>
      <c r="E5" s="317">
        <f>'AGO SUMMARY'!K38</f>
        <v>106.62670869086733</v>
      </c>
      <c r="F5" s="318">
        <f>'DPK SUMMARY'!F36</f>
        <v>109.04655955577525</v>
      </c>
      <c r="G5" s="162"/>
      <c r="H5" s="887"/>
      <c r="I5" s="319"/>
      <c r="J5" s="319"/>
      <c r="K5" s="320"/>
    </row>
    <row r="6" spans="2:14">
      <c r="B6" s="321"/>
      <c r="C6" s="322"/>
      <c r="D6" s="323"/>
      <c r="E6" s="323"/>
      <c r="F6" s="324"/>
      <c r="G6" s="162"/>
      <c r="H6" s="197"/>
      <c r="I6" s="210"/>
    </row>
    <row r="7" spans="2:14">
      <c r="B7" s="326" t="s">
        <v>336</v>
      </c>
      <c r="C7" s="327" t="s">
        <v>467</v>
      </c>
      <c r="D7" s="328">
        <f>Nairobi!D9</f>
        <v>2.9308559999999999</v>
      </c>
      <c r="E7" s="328">
        <f>Nairobi!E9</f>
        <v>2.9308559999999999</v>
      </c>
      <c r="F7" s="329">
        <f>Nairobi!F9</f>
        <v>2.9308559999999999</v>
      </c>
      <c r="G7" s="162"/>
      <c r="H7" s="207"/>
      <c r="I7" s="207"/>
      <c r="J7" s="905"/>
      <c r="M7" s="325"/>
      <c r="N7" s="325"/>
    </row>
    <row r="8" spans="2:14">
      <c r="B8" s="326" t="s">
        <v>335</v>
      </c>
      <c r="C8" s="327" t="s">
        <v>468</v>
      </c>
      <c r="D8" s="328">
        <v>0</v>
      </c>
      <c r="E8" s="328">
        <v>0</v>
      </c>
      <c r="F8" s="329">
        <v>0</v>
      </c>
      <c r="G8" s="162"/>
      <c r="H8" s="207"/>
      <c r="I8" s="207"/>
      <c r="J8" s="905"/>
      <c r="M8" s="325"/>
      <c r="N8" s="325"/>
    </row>
    <row r="9" spans="2:14">
      <c r="B9" s="326" t="s">
        <v>334</v>
      </c>
      <c r="C9" s="327" t="s">
        <v>333</v>
      </c>
      <c r="D9" s="328">
        <f>Nairobi!D13</f>
        <v>6.5748689048399672E-2</v>
      </c>
      <c r="E9" s="328">
        <f>Nairobi!E13</f>
        <v>6.703309257014424E-2</v>
      </c>
      <c r="F9" s="329">
        <f>Nairobi!F13</f>
        <v>6.5837941347209814E-2</v>
      </c>
      <c r="G9" s="162"/>
      <c r="H9" s="207"/>
      <c r="I9" s="207"/>
      <c r="J9" s="905"/>
      <c r="M9" s="325"/>
      <c r="N9" s="325"/>
    </row>
    <row r="10" spans="2:14">
      <c r="B10" s="326" t="s">
        <v>332</v>
      </c>
      <c r="C10" s="327" t="s">
        <v>469</v>
      </c>
      <c r="D10" s="328">
        <f>Nairobi!D15</f>
        <v>0.70445023980428223</v>
      </c>
      <c r="E10" s="328">
        <f>Nairobi!E15</f>
        <v>0.43092702366521302</v>
      </c>
      <c r="F10" s="329">
        <f>Nairobi!F15</f>
        <v>0.42324390866063455</v>
      </c>
      <c r="G10" s="162"/>
      <c r="H10" s="207"/>
      <c r="I10" s="207"/>
      <c r="J10" s="905"/>
      <c r="M10" s="325"/>
      <c r="N10" s="325"/>
    </row>
    <row r="11" spans="2:14">
      <c r="B11" s="326" t="s">
        <v>331</v>
      </c>
      <c r="C11" s="219" t="s">
        <v>341</v>
      </c>
      <c r="D11" s="328">
        <f>Nairobi!D23</f>
        <v>0.62360663649487535</v>
      </c>
      <c r="E11" s="328">
        <f>Nairobi!E23</f>
        <v>0.62360663649487535</v>
      </c>
      <c r="F11" s="329">
        <f>Nairobi!F23</f>
        <v>0.62360663649487535</v>
      </c>
      <c r="G11" s="162"/>
      <c r="H11" s="207"/>
      <c r="I11" s="207"/>
      <c r="J11" s="905"/>
    </row>
    <row r="12" spans="2:14">
      <c r="B12" s="330" t="s">
        <v>330</v>
      </c>
      <c r="C12" s="327"/>
      <c r="D12" s="331">
        <f>SUM(D7:D11)</f>
        <v>4.3246615653475571</v>
      </c>
      <c r="E12" s="331">
        <f>SUM(E7:E11)</f>
        <v>4.0524227527302328</v>
      </c>
      <c r="F12" s="331">
        <f>SUM(F7:F11)</f>
        <v>4.0435444865027197</v>
      </c>
      <c r="G12" s="162"/>
      <c r="I12" s="171"/>
      <c r="J12" s="171"/>
    </row>
    <row r="13" spans="2:14">
      <c r="B13" s="234"/>
      <c r="C13" s="196"/>
      <c r="D13" s="332"/>
      <c r="E13" s="332"/>
      <c r="F13" s="333"/>
      <c r="I13" s="171"/>
      <c r="J13" s="171"/>
      <c r="L13" s="162"/>
      <c r="M13" s="162"/>
      <c r="N13" s="162"/>
    </row>
    <row r="14" spans="2:14">
      <c r="B14" s="334" t="s">
        <v>329</v>
      </c>
      <c r="C14" s="335" t="s">
        <v>328</v>
      </c>
      <c r="D14" s="336">
        <f>Nairobi!D17</f>
        <v>4.2039999999999997</v>
      </c>
      <c r="E14" s="336">
        <f>Nairobi!E17</f>
        <v>4.1739999999999995</v>
      </c>
      <c r="F14" s="337">
        <f>Nairobi!F17</f>
        <v>4.1739999999999995</v>
      </c>
      <c r="I14" s="171"/>
      <c r="J14" s="171"/>
      <c r="L14" s="162"/>
      <c r="M14" s="162"/>
      <c r="N14" s="162"/>
    </row>
    <row r="15" spans="2:14">
      <c r="B15" s="334" t="s">
        <v>327</v>
      </c>
      <c r="C15" s="335" t="s">
        <v>326</v>
      </c>
      <c r="D15" s="336">
        <f>Nairobi!D21</f>
        <v>8.19</v>
      </c>
      <c r="E15" s="336">
        <f>Nairobi!E21</f>
        <v>8.19</v>
      </c>
      <c r="F15" s="337">
        <f>Nairobi!F21</f>
        <v>8.19</v>
      </c>
      <c r="I15" s="171"/>
      <c r="J15" s="171"/>
      <c r="L15" s="162"/>
      <c r="M15" s="162"/>
      <c r="N15" s="162"/>
    </row>
    <row r="16" spans="2:14">
      <c r="B16" s="338" t="s">
        <v>325</v>
      </c>
      <c r="C16" s="339"/>
      <c r="D16" s="340">
        <f>SUM(D14:D15)</f>
        <v>12.393999999999998</v>
      </c>
      <c r="E16" s="340">
        <f>SUM(E14:E15)</f>
        <v>12.363999999999999</v>
      </c>
      <c r="F16" s="340">
        <f>SUM(F14:F15)</f>
        <v>12.363999999999999</v>
      </c>
      <c r="G16" s="162"/>
      <c r="I16" s="162"/>
      <c r="J16" s="325"/>
      <c r="L16" s="162"/>
      <c r="M16" s="162"/>
      <c r="N16" s="162"/>
    </row>
    <row r="17" spans="2:69">
      <c r="B17" s="234"/>
      <c r="C17" s="196"/>
      <c r="D17" s="332"/>
      <c r="E17" s="332"/>
      <c r="F17" s="333"/>
      <c r="I17" s="325"/>
      <c r="J17" s="162"/>
      <c r="L17" s="162"/>
      <c r="M17" s="162"/>
      <c r="N17" s="162"/>
    </row>
    <row r="18" spans="2:69">
      <c r="B18" s="234"/>
      <c r="C18" s="196"/>
      <c r="D18" s="332"/>
      <c r="E18" s="332"/>
      <c r="F18" s="333"/>
      <c r="H18" s="185"/>
      <c r="I18" s="171"/>
      <c r="J18" s="162"/>
      <c r="L18" s="341"/>
      <c r="M18" s="341"/>
      <c r="N18" s="341"/>
    </row>
    <row r="19" spans="2:69">
      <c r="B19" s="342" t="s">
        <v>324</v>
      </c>
      <c r="C19" s="343" t="s">
        <v>323</v>
      </c>
      <c r="D19" s="344">
        <v>21.953019999999999</v>
      </c>
      <c r="E19" s="345">
        <v>11.370990000000001</v>
      </c>
      <c r="F19" s="344">
        <v>11.370979999999999</v>
      </c>
      <c r="G19" s="162"/>
      <c r="H19" s="208"/>
      <c r="I19" s="208"/>
      <c r="J19" s="208"/>
      <c r="L19" s="325"/>
      <c r="M19" s="325"/>
      <c r="N19" s="325"/>
    </row>
    <row r="20" spans="2:69">
      <c r="B20" s="342" t="s">
        <v>322</v>
      </c>
      <c r="C20" s="343" t="s">
        <v>318</v>
      </c>
      <c r="D20" s="344">
        <v>18</v>
      </c>
      <c r="E20" s="345">
        <v>18</v>
      </c>
      <c r="F20" s="346">
        <v>0</v>
      </c>
      <c r="G20" s="162"/>
      <c r="H20" s="208"/>
      <c r="I20" s="208"/>
      <c r="J20" s="208"/>
      <c r="L20" s="325"/>
      <c r="M20" s="325"/>
      <c r="N20" s="325"/>
    </row>
    <row r="21" spans="2:69">
      <c r="B21" s="342" t="s">
        <v>321</v>
      </c>
      <c r="C21" s="343" t="s">
        <v>318</v>
      </c>
      <c r="D21" s="344">
        <v>5.4</v>
      </c>
      <c r="E21" s="345">
        <v>5.4</v>
      </c>
      <c r="F21" s="346">
        <v>0.4</v>
      </c>
      <c r="G21" s="162"/>
      <c r="H21" s="208"/>
      <c r="I21" s="208"/>
      <c r="J21" s="208"/>
    </row>
    <row r="22" spans="2:69">
      <c r="B22" s="342" t="s">
        <v>320</v>
      </c>
      <c r="C22" s="343" t="s">
        <v>318</v>
      </c>
      <c r="D22" s="344">
        <v>0.25</v>
      </c>
      <c r="E22" s="345">
        <v>0.25</v>
      </c>
      <c r="F22" s="346">
        <v>0.25</v>
      </c>
      <c r="G22" s="162"/>
      <c r="H22" s="208"/>
      <c r="I22" s="208"/>
      <c r="J22" s="208"/>
    </row>
    <row r="23" spans="2:69">
      <c r="B23" s="342" t="s">
        <v>319</v>
      </c>
      <c r="C23" s="343" t="s">
        <v>318</v>
      </c>
      <c r="D23" s="344">
        <f>'PMS Import'!V10</f>
        <v>1.7335007701822511</v>
      </c>
      <c r="E23" s="345">
        <f>'AGO Import'!V10</f>
        <v>1.994329137255715</v>
      </c>
      <c r="F23" s="346">
        <f>'DPK Import'!R12</f>
        <v>2.0134755528419217</v>
      </c>
      <c r="G23" s="162"/>
      <c r="H23" s="208"/>
      <c r="I23" s="208"/>
      <c r="J23" s="208"/>
    </row>
    <row r="24" spans="2:69">
      <c r="B24" s="342" t="s">
        <v>470</v>
      </c>
      <c r="C24" s="343" t="s">
        <v>318</v>
      </c>
      <c r="D24" s="344">
        <v>0</v>
      </c>
      <c r="E24" s="345">
        <v>0</v>
      </c>
      <c r="F24" s="346">
        <v>18</v>
      </c>
      <c r="G24" s="162"/>
      <c r="H24" s="208">
        <f>H26-D26</f>
        <v>4.0179290093078635E-4</v>
      </c>
      <c r="I24" s="208">
        <f>I26-E26</f>
        <v>3.1339361464688409E-4</v>
      </c>
      <c r="J24" s="208"/>
    </row>
    <row r="25" spans="2:69" ht="15" thickBot="1">
      <c r="B25" s="348" t="s">
        <v>317</v>
      </c>
      <c r="C25" s="349"/>
      <c r="D25" s="350">
        <f>SUM(D19:D24)</f>
        <v>47.336520770182247</v>
      </c>
      <c r="E25" s="351">
        <f>SUM(E19:E24)</f>
        <v>37.015319137255716</v>
      </c>
      <c r="F25" s="350">
        <f>SUM(F19:F24)</f>
        <v>32.034455552841919</v>
      </c>
      <c r="G25" s="162"/>
      <c r="I25" s="162"/>
      <c r="J25" s="162"/>
      <c r="K25" s="162"/>
    </row>
    <row r="26" spans="2:69" ht="15" thickBot="1">
      <c r="B26" s="352" t="s">
        <v>316</v>
      </c>
      <c r="C26" s="353"/>
      <c r="D26" s="354">
        <f>SUM(D5,D12,D16,D25)</f>
        <v>157.60830773330309</v>
      </c>
      <c r="E26" s="354">
        <f>SUM(E5,E12,E16,E25)</f>
        <v>160.05845058085328</v>
      </c>
      <c r="F26" s="354">
        <f>SUM(F5,F12,F16,F25)</f>
        <v>157.48855959511991</v>
      </c>
      <c r="H26" s="355">
        <f>Nairobi!D25</f>
        <v>157.60870952620402</v>
      </c>
      <c r="I26" s="356">
        <f>Nairobi!E25</f>
        <v>160.05876397446792</v>
      </c>
      <c r="J26" s="357">
        <f>Nairobi!F25</f>
        <v>157.48884737338091</v>
      </c>
    </row>
    <row r="27" spans="2:69" s="360" customFormat="1" ht="15" thickBot="1">
      <c r="B27" s="358"/>
      <c r="C27" s="359"/>
      <c r="D27" s="323"/>
      <c r="E27" s="323"/>
      <c r="F27" s="324"/>
      <c r="G27" s="159"/>
      <c r="H27" s="171"/>
      <c r="I27" s="162"/>
      <c r="J27" s="347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59"/>
      <c r="AQ27" s="159"/>
      <c r="AR27" s="159"/>
      <c r="AS27" s="159"/>
      <c r="AT27" s="159"/>
      <c r="AU27" s="159"/>
      <c r="AV27" s="159"/>
      <c r="AW27" s="159"/>
      <c r="AX27" s="159"/>
      <c r="AY27" s="159"/>
      <c r="AZ27" s="159"/>
      <c r="BA27" s="159"/>
      <c r="BB27" s="159"/>
      <c r="BC27" s="159"/>
      <c r="BD27" s="159"/>
      <c r="BE27" s="159"/>
      <c r="BF27" s="159"/>
      <c r="BG27" s="159"/>
      <c r="BH27" s="159"/>
      <c r="BI27" s="159"/>
      <c r="BJ27" s="159"/>
      <c r="BK27" s="159"/>
      <c r="BL27" s="159"/>
      <c r="BM27" s="159"/>
      <c r="BN27" s="159"/>
      <c r="BO27" s="159"/>
      <c r="BP27" s="159"/>
      <c r="BQ27" s="159"/>
    </row>
    <row r="28" spans="2:69">
      <c r="B28" s="361" t="s">
        <v>315</v>
      </c>
      <c r="C28" s="176"/>
      <c r="D28" s="362" t="s">
        <v>343</v>
      </c>
      <c r="E28" s="362" t="s">
        <v>338</v>
      </c>
      <c r="F28" s="362" t="s">
        <v>337</v>
      </c>
      <c r="I28" s="162"/>
      <c r="J28" s="162"/>
    </row>
    <row r="29" spans="2:69" ht="15" thickBot="1">
      <c r="B29" s="363"/>
      <c r="C29" s="364"/>
      <c r="D29" s="365" t="s">
        <v>342</v>
      </c>
      <c r="E29" s="365" t="s">
        <v>342</v>
      </c>
      <c r="F29" s="365" t="s">
        <v>342</v>
      </c>
      <c r="I29" s="162"/>
      <c r="J29" s="162"/>
    </row>
    <row r="30" spans="2:69">
      <c r="B30" s="366" t="s">
        <v>314</v>
      </c>
      <c r="C30" s="708"/>
      <c r="D30" s="367">
        <f>D5</f>
        <v>93.553125397773286</v>
      </c>
      <c r="E30" s="367">
        <f>E5</f>
        <v>106.62670869086733</v>
      </c>
      <c r="F30" s="368">
        <f>F5</f>
        <v>109.04655955577525</v>
      </c>
      <c r="I30" s="162"/>
      <c r="J30" s="162"/>
    </row>
    <row r="31" spans="2:69">
      <c r="B31" s="366" t="s">
        <v>313</v>
      </c>
      <c r="C31" s="366"/>
      <c r="D31" s="367">
        <f>D12</f>
        <v>4.3246615653475571</v>
      </c>
      <c r="E31" s="367">
        <f>E12</f>
        <v>4.0524227527302328</v>
      </c>
      <c r="F31" s="368">
        <f>F12</f>
        <v>4.0435444865027197</v>
      </c>
      <c r="I31" s="162"/>
      <c r="J31" s="162"/>
    </row>
    <row r="32" spans="2:69">
      <c r="B32" s="369" t="s">
        <v>345</v>
      </c>
      <c r="C32" s="366"/>
      <c r="D32" s="367">
        <f>D16</f>
        <v>12.393999999999998</v>
      </c>
      <c r="E32" s="367">
        <f>E16</f>
        <v>12.363999999999999</v>
      </c>
      <c r="F32" s="368">
        <f>F16</f>
        <v>12.363999999999999</v>
      </c>
      <c r="I32" s="162"/>
      <c r="J32" s="162"/>
    </row>
    <row r="33" spans="2:11" ht="15" thickBot="1">
      <c r="B33" s="370" t="s">
        <v>312</v>
      </c>
      <c r="C33" s="370"/>
      <c r="D33" s="371">
        <f>D25</f>
        <v>47.336520770182247</v>
      </c>
      <c r="E33" s="371">
        <f>E25</f>
        <v>37.015319137255716</v>
      </c>
      <c r="F33" s="372">
        <f>F25</f>
        <v>32.034455552841919</v>
      </c>
      <c r="J33" s="320"/>
      <c r="K33" s="320"/>
    </row>
    <row r="34" spans="2:11" ht="15" thickBot="1">
      <c r="B34" s="373" t="s">
        <v>311</v>
      </c>
      <c r="C34" s="364"/>
      <c r="D34" s="374">
        <f>SUM(D30:D33)</f>
        <v>157.60830773330309</v>
      </c>
      <c r="E34" s="374">
        <f>SUM(E30:E33)</f>
        <v>160.05845058085328</v>
      </c>
      <c r="F34" s="375">
        <f>SUM(F30:F33)</f>
        <v>157.48855959511991</v>
      </c>
      <c r="J34" s="320"/>
      <c r="K34" s="320"/>
    </row>
    <row r="35" spans="2:11">
      <c r="J35" s="320"/>
      <c r="K35" s="320"/>
    </row>
    <row r="36" spans="2:11">
      <c r="D36" s="376"/>
      <c r="E36" s="377"/>
      <c r="F36" s="377"/>
      <c r="J36" s="320"/>
      <c r="K36" s="320"/>
    </row>
    <row r="37" spans="2:11">
      <c r="D37" s="378"/>
      <c r="J37" s="320"/>
    </row>
    <row r="38" spans="2:11">
      <c r="D38" s="378"/>
      <c r="J38" s="320"/>
    </row>
    <row r="39" spans="2:11">
      <c r="D39" s="378"/>
    </row>
    <row r="40" spans="2:11">
      <c r="D40" s="379"/>
    </row>
    <row r="41" spans="2:11">
      <c r="D41" s="379"/>
    </row>
    <row r="42" spans="2:11">
      <c r="D42" s="379"/>
    </row>
    <row r="43" spans="2:11">
      <c r="D43" s="379"/>
    </row>
    <row r="44" spans="2:11">
      <c r="D44" s="379"/>
    </row>
    <row r="45" spans="2:11">
      <c r="D45" s="379"/>
    </row>
    <row r="46" spans="2:11">
      <c r="D46" s="379"/>
    </row>
    <row r="47" spans="2:11">
      <c r="D47" s="379"/>
    </row>
    <row r="48" spans="2:11">
      <c r="D48" s="379"/>
    </row>
    <row r="49" spans="4:4">
      <c r="D49" s="379"/>
    </row>
    <row r="50" spans="4:4">
      <c r="D50" s="379"/>
    </row>
    <row r="51" spans="4:4">
      <c r="D51" s="379"/>
    </row>
    <row r="52" spans="4:4">
      <c r="D52" s="379"/>
    </row>
  </sheetData>
  <mergeCells count="1">
    <mergeCell ref="B2:F2"/>
  </mergeCells>
  <pageMargins left="0.7" right="0.7" top="0.75" bottom="0.75" header="0.3" footer="0.3"/>
  <pageSetup scale="9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00CC00"/>
  </sheetPr>
  <dimension ref="B2:K34"/>
  <sheetViews>
    <sheetView topLeftCell="A22" zoomScaleNormal="100" workbookViewId="0">
      <selection activeCell="D28" sqref="D28:F28"/>
    </sheetView>
  </sheetViews>
  <sheetFormatPr defaultColWidth="9.1796875" defaultRowHeight="14.5"/>
  <cols>
    <col min="1" max="1" width="9.1796875" style="159"/>
    <col min="2" max="2" width="30" style="159" customWidth="1"/>
    <col min="3" max="3" width="10.26953125" style="159" customWidth="1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63.453125" style="159" customWidth="1"/>
    <col min="9" max="16384" width="9.1796875" style="159"/>
  </cols>
  <sheetData>
    <row r="2" spans="2:11">
      <c r="C2" s="258" t="s">
        <v>150</v>
      </c>
      <c r="G2" s="160"/>
    </row>
    <row r="3" spans="2:11">
      <c r="C3" s="258" t="s">
        <v>27</v>
      </c>
      <c r="G3" s="160"/>
    </row>
    <row r="4" spans="2:11">
      <c r="C4" s="259" t="s">
        <v>909</v>
      </c>
      <c r="D4" s="258"/>
      <c r="E4" s="160"/>
      <c r="F4" s="160"/>
      <c r="G4" s="260"/>
    </row>
    <row r="5" spans="2:11">
      <c r="C5" s="160"/>
      <c r="D5" s="160"/>
      <c r="E5" s="160"/>
      <c r="F5" s="160"/>
      <c r="G5" s="261"/>
      <c r="H5" s="262"/>
      <c r="I5" s="262"/>
      <c r="J5" s="262"/>
      <c r="K5" s="262"/>
    </row>
    <row r="6" spans="2:11">
      <c r="C6" s="288"/>
      <c r="D6" s="169" t="s">
        <v>0</v>
      </c>
      <c r="E6" s="169" t="s">
        <v>1</v>
      </c>
      <c r="F6" s="169" t="s">
        <v>3</v>
      </c>
      <c r="G6" s="160"/>
      <c r="H6" s="262"/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v>1.1599999999999999</v>
      </c>
      <c r="H8" s="262" t="s">
        <v>42</v>
      </c>
      <c r="I8" s="262"/>
      <c r="J8" s="262"/>
      <c r="K8" s="262"/>
    </row>
    <row r="9" spans="2:11" ht="15" thickBot="1">
      <c r="C9" s="263" t="s">
        <v>20</v>
      </c>
      <c r="D9" s="195">
        <f>$G$10*$G$9*$G$8</f>
        <v>0</v>
      </c>
      <c r="E9" s="195">
        <f>$G$10*$G$9*$G$8</f>
        <v>0</v>
      </c>
      <c r="F9" s="195">
        <f>$G$10*$G$9*$G$8</f>
        <v>0</v>
      </c>
      <c r="G9" s="303">
        <v>0</v>
      </c>
      <c r="H9" s="262" t="s">
        <v>28</v>
      </c>
      <c r="I9" s="262"/>
      <c r="J9" s="262"/>
      <c r="K9" s="262"/>
    </row>
    <row r="10" spans="2:11" ht="15" thickBot="1">
      <c r="C10" s="263"/>
      <c r="D10" s="274"/>
      <c r="E10" s="274"/>
      <c r="F10" s="274"/>
      <c r="G10" s="304">
        <v>0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195">
        <f>$G$11*G12*$G$8</f>
        <v>0</v>
      </c>
      <c r="E11" s="195">
        <f>$G$11*G12*$G$8</f>
        <v>0</v>
      </c>
      <c r="F11" s="195">
        <f>$G$11*G12*$G$8</f>
        <v>0</v>
      </c>
      <c r="G11" s="305">
        <f>8.14*G14/1000</f>
        <v>0</v>
      </c>
      <c r="H11" s="262" t="s">
        <v>272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1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0</v>
      </c>
      <c r="E13" s="277">
        <f>$G$13*E7</f>
        <v>0</v>
      </c>
      <c r="F13" s="277">
        <f>$G$13*F7</f>
        <v>0</v>
      </c>
      <c r="G13" s="278">
        <v>0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0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301">
        <f>G15*D7</f>
        <v>0.70445023980428223</v>
      </c>
      <c r="E15" s="301">
        <f>G16*E7</f>
        <v>0.43092702366521302</v>
      </c>
      <c r="F15" s="301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2:11">
      <c r="C17" s="263"/>
      <c r="D17" s="263"/>
      <c r="E17" s="263"/>
      <c r="F17" s="263"/>
      <c r="G17" s="278"/>
      <c r="H17" s="262"/>
      <c r="I17" s="262"/>
      <c r="J17" s="262"/>
      <c r="K17" s="262"/>
    </row>
    <row r="18" spans="2:11">
      <c r="C18" s="263" t="s">
        <v>20</v>
      </c>
      <c r="D18" s="1074">
        <f>3.05+0.49+0.664</f>
        <v>4.2039999999999997</v>
      </c>
      <c r="E18" s="280">
        <f>3.05+0.46+0.664</f>
        <v>4.1739999999999995</v>
      </c>
      <c r="F18" s="280">
        <f>3.05+0.46+0.664</f>
        <v>4.1739999999999995</v>
      </c>
      <c r="G18" s="308"/>
      <c r="H18" s="262" t="s">
        <v>24</v>
      </c>
      <c r="I18" s="262"/>
      <c r="J18" s="262"/>
      <c r="K18" s="262"/>
    </row>
    <row r="19" spans="2:11">
      <c r="C19" s="263"/>
      <c r="D19" s="263"/>
      <c r="E19" s="263"/>
      <c r="F19" s="263"/>
      <c r="G19" s="160"/>
      <c r="H19" s="262"/>
      <c r="I19" s="262"/>
      <c r="J19" s="262"/>
      <c r="K19" s="262"/>
    </row>
    <row r="20" spans="2:11">
      <c r="C20" s="263" t="s">
        <v>20</v>
      </c>
      <c r="D20" s="282">
        <f>SUM(D7:D19)</f>
        <v>145.79849820066073</v>
      </c>
      <c r="E20" s="282">
        <f>SUM(E7:E19)</f>
        <v>148.24726824540289</v>
      </c>
      <c r="F20" s="282">
        <f>SUM(F7:F19)</f>
        <v>145.67854679553881</v>
      </c>
      <c r="G20" s="160"/>
      <c r="H20" s="262" t="s">
        <v>23</v>
      </c>
      <c r="I20" s="262"/>
      <c r="J20" s="262"/>
      <c r="K20" s="262"/>
    </row>
    <row r="21" spans="2:11">
      <c r="C21" s="263"/>
      <c r="D21" s="263"/>
      <c r="E21" s="263"/>
      <c r="F21" s="263"/>
      <c r="G21" s="160"/>
      <c r="H21" s="262"/>
      <c r="I21" s="262"/>
      <c r="J21" s="262"/>
      <c r="K21" s="262"/>
    </row>
    <row r="22" spans="2:11">
      <c r="C22" s="263" t="s">
        <v>20</v>
      </c>
      <c r="D22" s="168">
        <f>4.14+4.05</f>
        <v>8.19</v>
      </c>
      <c r="E22" s="168">
        <f>4.14+4.05</f>
        <v>8.19</v>
      </c>
      <c r="F22" s="168">
        <f>4.14+4.05</f>
        <v>8.19</v>
      </c>
      <c r="G22" s="160"/>
      <c r="H22" s="262" t="s">
        <v>22</v>
      </c>
      <c r="I22" s="262"/>
      <c r="J22" s="262"/>
      <c r="K22" s="262"/>
    </row>
    <row r="23" spans="2:11" ht="15" thickBot="1">
      <c r="C23" s="263"/>
      <c r="D23" s="168"/>
      <c r="E23" s="168"/>
      <c r="F23" s="168"/>
      <c r="G23" s="160"/>
      <c r="H23" s="262"/>
      <c r="I23" s="262"/>
      <c r="J23" s="262"/>
      <c r="K23" s="262"/>
    </row>
    <row r="24" spans="2:11" ht="15" thickBot="1">
      <c r="C24" s="263" t="s">
        <v>20</v>
      </c>
      <c r="D24" s="283">
        <f>$G$24*G8</f>
        <v>0.62360663649487535</v>
      </c>
      <c r="E24" s="283">
        <f>$G$24*G8</f>
        <v>0.62360663649487535</v>
      </c>
      <c r="F24" s="283">
        <f>$G$24*G8</f>
        <v>0.62360663649487535</v>
      </c>
      <c r="G24" s="284">
        <f>'Delivery =&lt;40km-Sept 2013'!E24</f>
        <v>0.53759192801282363</v>
      </c>
      <c r="H24" s="262" t="s">
        <v>21</v>
      </c>
      <c r="I24" s="262"/>
      <c r="J24" s="262"/>
      <c r="K24" s="262"/>
    </row>
    <row r="25" spans="2:11">
      <c r="C25" s="263"/>
      <c r="D25" s="263"/>
      <c r="E25" s="263"/>
      <c r="F25" s="263"/>
      <c r="G25" s="160"/>
      <c r="H25" s="262"/>
      <c r="I25" s="262"/>
      <c r="J25" s="262"/>
      <c r="K25" s="262"/>
    </row>
    <row r="26" spans="2:11">
      <c r="C26" s="263" t="s">
        <v>20</v>
      </c>
      <c r="D26" s="306">
        <f>D20+D22+D24</f>
        <v>154.61210483715561</v>
      </c>
      <c r="E26" s="306">
        <f>E20+E22+E24</f>
        <v>157.06087488189777</v>
      </c>
      <c r="F26" s="306">
        <f>F20+F22+F24</f>
        <v>154.49215343203369</v>
      </c>
      <c r="G26" s="302"/>
      <c r="H26" s="262" t="s">
        <v>19</v>
      </c>
      <c r="I26" s="262"/>
      <c r="J26" s="262"/>
      <c r="K26" s="262"/>
    </row>
    <row r="27" spans="2:11" ht="15" thickBot="1">
      <c r="C27" s="160"/>
      <c r="D27" s="286"/>
      <c r="E27" s="160"/>
      <c r="F27" s="160"/>
      <c r="G27" s="160"/>
    </row>
    <row r="28" spans="2:11" ht="26.15" customHeight="1" thickBot="1">
      <c r="B28" s="678" t="s">
        <v>910</v>
      </c>
      <c r="C28" s="874" t="str">
        <f>C26</f>
        <v>Kshs/lt</v>
      </c>
      <c r="D28" s="873">
        <v>151.11142764317637</v>
      </c>
      <c r="E28" s="309">
        <v>157.403915112737</v>
      </c>
      <c r="F28" s="309">
        <v>150.71041967454173</v>
      </c>
    </row>
    <row r="29" spans="2:11" ht="15" thickBot="1">
      <c r="B29" s="682" t="s">
        <v>44</v>
      </c>
      <c r="C29" s="875" t="str">
        <f>C28</f>
        <v>Kshs/lt</v>
      </c>
      <c r="D29" s="683">
        <f>D26-D28</f>
        <v>3.5006771939792429</v>
      </c>
      <c r="E29" s="684">
        <f>E26-E28</f>
        <v>-0.34304023083922175</v>
      </c>
      <c r="F29" s="693">
        <f>F26-F28</f>
        <v>3.7817337574919634</v>
      </c>
      <c r="G29" s="215"/>
      <c r="I29" s="584"/>
      <c r="J29" s="584"/>
    </row>
    <row r="30" spans="2:11" ht="7.5" customHeight="1" thickBot="1">
      <c r="B30" s="392"/>
      <c r="C30" s="392"/>
      <c r="D30" s="685"/>
      <c r="E30" s="686"/>
      <c r="F30" s="687"/>
    </row>
    <row r="31" spans="2:11" ht="15" thickBot="1">
      <c r="B31" s="682" t="s">
        <v>44</v>
      </c>
      <c r="C31" s="876" t="s">
        <v>159</v>
      </c>
      <c r="D31" s="688">
        <f>D29/D28*100</f>
        <v>2.3166197610451338</v>
      </c>
      <c r="E31" s="689">
        <f>E29/E28*100</f>
        <v>-0.21793627597733317</v>
      </c>
      <c r="F31" s="690">
        <f>F29/F28*100</f>
        <v>2.5092715989104106</v>
      </c>
    </row>
    <row r="32" spans="2:11">
      <c r="E32" s="584"/>
    </row>
    <row r="33" spans="4:6">
      <c r="D33" s="171"/>
      <c r="E33" s="171"/>
      <c r="F33" s="171"/>
    </row>
    <row r="34" spans="4:6">
      <c r="D34" s="1056"/>
      <c r="E34" s="1056"/>
      <c r="F34" s="1056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21514" r:id="rId4">
          <objectPr defaultSize="0" autoPict="0" r:id="rId5">
            <anchor>
              <from>
                <xdr:col>1</xdr:col>
                <xdr:colOff>69850</xdr:colOff>
                <xdr:row>18</xdr:row>
                <xdr:rowOff>165100</xdr:rowOff>
              </from>
              <to>
                <xdr:col>1</xdr:col>
                <xdr:colOff>533400</xdr:colOff>
                <xdr:row>19</xdr:row>
                <xdr:rowOff>165100</xdr:rowOff>
              </to>
            </anchor>
          </objectPr>
        </oleObject>
      </mc:Choice>
      <mc:Fallback>
        <oleObject progId="Equation.3" shapeId="21514" r:id="rId4"/>
      </mc:Fallback>
    </mc:AlternateContent>
  </oleObjec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0000FF"/>
  </sheetPr>
  <dimension ref="A2:K70"/>
  <sheetViews>
    <sheetView topLeftCell="B43" workbookViewId="0">
      <selection activeCell="E60" sqref="E60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.7265625" style="159" customWidth="1"/>
    <col min="4" max="4" width="18.54296875" style="159" customWidth="1"/>
    <col min="5" max="5" width="17.7265625" style="159" customWidth="1"/>
    <col min="6" max="8" width="15.453125" style="159" customWidth="1"/>
    <col min="9" max="9" width="3.26953125" style="159" customWidth="1"/>
    <col min="10" max="10" width="14.7265625" style="159" customWidth="1"/>
    <col min="11" max="16384" width="9.1796875" style="159"/>
  </cols>
  <sheetData>
    <row r="2" spans="1:8" ht="15" thickBot="1"/>
    <row r="3" spans="1:8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8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8" ht="28.5" customHeight="1" thickBot="1">
      <c r="B5" s="593" t="s">
        <v>439</v>
      </c>
      <c r="C5" s="594" t="s">
        <v>431</v>
      </c>
      <c r="D5" s="204" t="s">
        <v>430</v>
      </c>
      <c r="E5" s="594" t="s">
        <v>431</v>
      </c>
      <c r="F5" s="204" t="s">
        <v>430</v>
      </c>
      <c r="G5" s="594" t="s">
        <v>431</v>
      </c>
      <c r="H5" s="204" t="s">
        <v>430</v>
      </c>
    </row>
    <row r="6" spans="1:8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8" ht="18" customHeight="1">
      <c r="B7" s="597" t="s">
        <v>400</v>
      </c>
      <c r="C7" s="598">
        <f>'PMS SUMMARY'!D45</f>
        <v>89.740844909393786</v>
      </c>
      <c r="D7" s="599"/>
      <c r="E7" s="849">
        <f>'AGO SUMMARY'!E47</f>
        <v>102.43801744706063</v>
      </c>
      <c r="F7" s="600"/>
      <c r="G7" s="849">
        <f>'DPK SUMMARY'!D44</f>
        <v>104.66296430977627</v>
      </c>
      <c r="H7" s="599"/>
    </row>
    <row r="8" spans="1:8" s="163" customFormat="1">
      <c r="B8" s="601" t="s">
        <v>420</v>
      </c>
      <c r="C8" s="602">
        <f>'PMS SUMMARY'!D44</f>
        <v>0.64584380006463771</v>
      </c>
      <c r="D8" s="603"/>
      <c r="E8" s="850">
        <f>'AGO SUMMARY'!E46</f>
        <v>0.57376440122077432</v>
      </c>
      <c r="F8" s="604"/>
      <c r="G8" s="850">
        <f>'DPK SUMMARY'!D43</f>
        <v>0.74013887912213949</v>
      </c>
      <c r="H8" s="603"/>
    </row>
    <row r="9" spans="1:8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8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8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8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8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8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8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v>0</v>
      </c>
      <c r="H15" s="610"/>
    </row>
    <row r="16" spans="1:8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10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  <c r="J17" s="162"/>
    </row>
    <row r="18" spans="1:10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10">
      <c r="A19" s="605"/>
      <c r="B19" s="614" t="s">
        <v>319</v>
      </c>
      <c r="C19" s="613">
        <f>'Breakdown for PMS, AGO &amp; DPK'!D23</f>
        <v>1.7335007701822511</v>
      </c>
      <c r="D19" s="610"/>
      <c r="E19" s="613">
        <f>'Breakdown for PMS, AGO &amp; DPK'!E23</f>
        <v>1.994329137255715</v>
      </c>
      <c r="F19" s="616"/>
      <c r="G19" s="613">
        <f>'Breakdown for PMS, AGO &amp; DPK'!F23</f>
        <v>2.0134755528419217</v>
      </c>
      <c r="H19" s="610"/>
    </row>
    <row r="20" spans="1:10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10">
      <c r="A21" s="605" t="s">
        <v>403</v>
      </c>
      <c r="B21" s="620" t="s">
        <v>421</v>
      </c>
      <c r="C21" s="618">
        <f>SUM(C$22:C$23)</f>
        <v>0.70445023980428223</v>
      </c>
      <c r="D21" s="573"/>
      <c r="E21" s="618">
        <f>SUM(E$22:E$23)</f>
        <v>0.43092702366521302</v>
      </c>
      <c r="F21" s="621"/>
      <c r="G21" s="618">
        <f>SUM(G$22:G$23)</f>
        <v>0.42324390866063455</v>
      </c>
      <c r="H21" s="573"/>
    </row>
    <row r="22" spans="1:10">
      <c r="A22" s="605"/>
      <c r="B22" s="614" t="s">
        <v>455</v>
      </c>
      <c r="C22" s="613">
        <f>SUM(C$24:C$25)</f>
        <v>0</v>
      </c>
      <c r="D22" s="573"/>
      <c r="E22" s="613">
        <f>SUM(E$24:E$25)</f>
        <v>0</v>
      </c>
      <c r="F22" s="621"/>
      <c r="G22" s="613">
        <f>SUM(G$24:G$25)</f>
        <v>0</v>
      </c>
      <c r="H22" s="573"/>
    </row>
    <row r="23" spans="1:10">
      <c r="A23" s="605"/>
      <c r="B23" s="614" t="s">
        <v>456</v>
      </c>
      <c r="C23" s="613">
        <f>C$26+C$27</f>
        <v>0.70445023980428223</v>
      </c>
      <c r="D23" s="573"/>
      <c r="E23" s="613">
        <f>E$26+E$27</f>
        <v>0.43092702366521302</v>
      </c>
      <c r="F23" s="621"/>
      <c r="G23" s="613">
        <f>G$26+G$27</f>
        <v>0.42324390866063455</v>
      </c>
      <c r="H23" s="573"/>
    </row>
    <row r="24" spans="1:10">
      <c r="A24" s="605"/>
      <c r="B24" s="622" t="s">
        <v>459</v>
      </c>
      <c r="C24" s="602">
        <f>Mombasa!D9</f>
        <v>0</v>
      </c>
      <c r="D24" s="623"/>
      <c r="E24" s="602">
        <f>Mombasa!E9</f>
        <v>0</v>
      </c>
      <c r="F24" s="624"/>
      <c r="G24" s="602">
        <f>Mombasa!F9</f>
        <v>0</v>
      </c>
      <c r="H24" s="573"/>
    </row>
    <row r="25" spans="1:10">
      <c r="A25" s="605"/>
      <c r="B25" s="622" t="s">
        <v>460</v>
      </c>
      <c r="C25" s="602">
        <f>Mombasa!D11</f>
        <v>0</v>
      </c>
      <c r="D25" s="623"/>
      <c r="E25" s="602">
        <f>Mombasa!E11</f>
        <v>0</v>
      </c>
      <c r="F25" s="624"/>
      <c r="G25" s="602">
        <f>Mombasa!F11</f>
        <v>0</v>
      </c>
      <c r="H25" s="573"/>
    </row>
    <row r="26" spans="1:10">
      <c r="A26" s="605"/>
      <c r="B26" s="622" t="s">
        <v>334</v>
      </c>
      <c r="C26" s="602">
        <f>Mombasa!D13</f>
        <v>0</v>
      </c>
      <c r="D26" s="623"/>
      <c r="E26" s="602">
        <f>Mombasa!E13</f>
        <v>0</v>
      </c>
      <c r="F26" s="624"/>
      <c r="G26" s="602">
        <f>Mombasa!F13</f>
        <v>0</v>
      </c>
      <c r="H26" s="573"/>
    </row>
    <row r="27" spans="1:10">
      <c r="A27" s="605"/>
      <c r="B27" s="622" t="s">
        <v>332</v>
      </c>
      <c r="C27" s="602">
        <f>Mombasa!D15</f>
        <v>0.70445023980428223</v>
      </c>
      <c r="D27" s="623"/>
      <c r="E27" s="602">
        <f>Mombasa!E15</f>
        <v>0.43092702366521302</v>
      </c>
      <c r="F27" s="624"/>
      <c r="G27" s="602">
        <f>Mombasa!F15</f>
        <v>0.42324390866063455</v>
      </c>
      <c r="H27" s="573"/>
    </row>
    <row r="28" spans="1:10">
      <c r="A28" s="605" t="s">
        <v>404</v>
      </c>
      <c r="B28" s="620" t="s">
        <v>427</v>
      </c>
      <c r="C28" s="618">
        <f>Mombasa!D18</f>
        <v>4.2039999999999997</v>
      </c>
      <c r="D28" s="618"/>
      <c r="E28" s="618">
        <f>Mombasa!E18</f>
        <v>4.1739999999999995</v>
      </c>
      <c r="F28" s="618"/>
      <c r="G28" s="618">
        <f>Mombasa!F18</f>
        <v>4.1739999999999995</v>
      </c>
      <c r="H28" s="573"/>
    </row>
    <row r="29" spans="1:10">
      <c r="A29" s="605"/>
      <c r="B29" s="620" t="s">
        <v>440</v>
      </c>
      <c r="C29" s="618">
        <f>C$9+C$20+C$22+C$23+C$28</f>
        <v>145.6947613997495</v>
      </c>
      <c r="D29" s="625"/>
      <c r="E29" s="626">
        <f>E$9+E$20+E$22+E$23+E$28</f>
        <v>148.15515254759296</v>
      </c>
      <c r="F29" s="625"/>
      <c r="G29" s="618">
        <f>G$9+G$20+G$22+G$23+G$28</f>
        <v>145.55983679661824</v>
      </c>
      <c r="H29" s="625"/>
    </row>
    <row r="30" spans="1:10">
      <c r="A30" s="605"/>
      <c r="B30" s="494" t="s">
        <v>444</v>
      </c>
      <c r="C30" s="606"/>
      <c r="D30" s="627" t="str">
        <f>CONCATENATE("+ ",ROUND((C$29*0.08),2))</f>
        <v>+ 11.66</v>
      </c>
      <c r="E30" s="628"/>
      <c r="F30" s="627" t="str">
        <f>CONCATENATE("+ ",ROUND((E$29*0.08),2))</f>
        <v>+ 11.85</v>
      </c>
      <c r="G30" s="606"/>
      <c r="H30" s="627" t="str">
        <f>CONCATENATE("+ ",ROUND((G$29*0.08),2))</f>
        <v>+ 11.64</v>
      </c>
    </row>
    <row r="31" spans="1:10">
      <c r="A31" s="605"/>
      <c r="B31" s="620" t="s">
        <v>436</v>
      </c>
      <c r="C31" s="606">
        <f>C$9+C$20+C$21+C$28</f>
        <v>145.6947613997495</v>
      </c>
      <c r="D31" s="629"/>
      <c r="E31" s="628">
        <f>E$9+E$20+E$21+E$28</f>
        <v>148.15515254759296</v>
      </c>
      <c r="F31" s="629"/>
      <c r="G31" s="606">
        <f>G$9+G$20+G$21+G$28</f>
        <v>145.55983679661824</v>
      </c>
      <c r="H31" s="629"/>
    </row>
    <row r="32" spans="1:10" ht="15" thickBot="1">
      <c r="A32" s="605"/>
      <c r="B32" s="630" t="s">
        <v>448</v>
      </c>
      <c r="C32" s="631" t="str">
        <f>D30</f>
        <v>+ 11.66</v>
      </c>
      <c r="D32" s="632"/>
      <c r="E32" s="631" t="str">
        <f>F30</f>
        <v>+ 11.85</v>
      </c>
      <c r="F32" s="632"/>
      <c r="G32" s="631" t="str">
        <f>H30</f>
        <v>+ 11.64</v>
      </c>
      <c r="H32" s="632"/>
    </row>
    <row r="33" spans="1:11" ht="15" thickBot="1">
      <c r="A33" s="605"/>
      <c r="B33" s="633" t="s">
        <v>418</v>
      </c>
      <c r="C33" s="634">
        <f>C31+C32</f>
        <v>157.35476139974949</v>
      </c>
      <c r="D33" s="634">
        <f>+D10+D30</f>
        <v>4.4290649032433258</v>
      </c>
      <c r="E33" s="635">
        <f>E31+E32</f>
        <v>160.00515254759296</v>
      </c>
      <c r="F33" s="634">
        <f>F10+F30</f>
        <v>3.6090574521374865</v>
      </c>
      <c r="G33" s="634">
        <f>G31+G32</f>
        <v>157.19983679661823</v>
      </c>
      <c r="H33" s="636">
        <f>H10+H30</f>
        <v>3.2077517448881281</v>
      </c>
      <c r="K33" s="162"/>
    </row>
    <row r="34" spans="1:11" ht="15" thickBot="1"/>
    <row r="35" spans="1:11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11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11">
      <c r="A37" s="605" t="s">
        <v>428</v>
      </c>
      <c r="B37" s="503" t="s">
        <v>422</v>
      </c>
      <c r="C37" s="236">
        <f>C33</f>
        <v>157.35476139974949</v>
      </c>
      <c r="D37" s="573"/>
      <c r="E37" s="236">
        <f>E33</f>
        <v>160.00515254759296</v>
      </c>
      <c r="F37" s="573"/>
      <c r="G37" s="236">
        <f>G33</f>
        <v>157.19983679661823</v>
      </c>
      <c r="H37" s="629"/>
    </row>
    <row r="38" spans="1:11">
      <c r="A38" s="605"/>
      <c r="B38" s="637" t="s">
        <v>425</v>
      </c>
      <c r="C38" s="638"/>
      <c r="D38" s="609">
        <f>-C32</f>
        <v>-11.66</v>
      </c>
      <c r="E38" s="639"/>
      <c r="F38" s="609">
        <f>-E32</f>
        <v>-11.85</v>
      </c>
      <c r="G38" s="638"/>
      <c r="H38" s="609">
        <f>-G32</f>
        <v>-11.64</v>
      </c>
    </row>
    <row r="39" spans="1:11">
      <c r="A39" s="605" t="s">
        <v>429</v>
      </c>
      <c r="B39" s="613" t="s">
        <v>644</v>
      </c>
      <c r="C39" s="613"/>
      <c r="D39" s="943"/>
      <c r="E39" s="879"/>
      <c r="F39" s="943"/>
      <c r="G39" s="613"/>
      <c r="H39" s="943"/>
    </row>
    <row r="40" spans="1:11">
      <c r="A40" s="605"/>
      <c r="B40" s="948" t="s">
        <v>646</v>
      </c>
      <c r="C40" s="613">
        <f>Mombasa!G24</f>
        <v>0.53759192801282363</v>
      </c>
      <c r="D40" s="943"/>
      <c r="E40" s="880">
        <f>C40</f>
        <v>0.53759192801282363</v>
      </c>
      <c r="F40" s="943"/>
      <c r="G40" s="613">
        <f>E40</f>
        <v>0.53759192801282363</v>
      </c>
      <c r="H40" s="943"/>
    </row>
    <row r="41" spans="1:11" s="392" customFormat="1">
      <c r="A41" s="605"/>
      <c r="B41" s="640" t="s">
        <v>647</v>
      </c>
      <c r="C41" s="618">
        <f>SUM(C40)</f>
        <v>0.53759192801282363</v>
      </c>
      <c r="D41" s="944"/>
      <c r="E41" s="626">
        <f>SUM(E40)</f>
        <v>0.53759192801282363</v>
      </c>
      <c r="F41" s="949"/>
      <c r="G41" s="618">
        <f>SUM(G40)</f>
        <v>0.53759192801282363</v>
      </c>
      <c r="H41" s="944"/>
    </row>
    <row r="42" spans="1:11">
      <c r="A42" s="605" t="s">
        <v>642</v>
      </c>
      <c r="B42" s="503" t="s">
        <v>426</v>
      </c>
      <c r="C42" s="236">
        <f>Mombasa!D22</f>
        <v>8.19</v>
      </c>
      <c r="D42" s="573"/>
      <c r="E42" s="236">
        <f>Mombasa!E22</f>
        <v>8.19</v>
      </c>
      <c r="F42" s="573"/>
      <c r="G42" s="236">
        <f>Mombasa!F22</f>
        <v>8.19</v>
      </c>
      <c r="H42" s="629"/>
    </row>
    <row r="43" spans="1:11">
      <c r="B43" s="620" t="s">
        <v>447</v>
      </c>
      <c r="C43" s="613">
        <f>C$37+C$42+C$41</f>
        <v>166.08235332776232</v>
      </c>
      <c r="D43" s="610"/>
      <c r="E43" s="613">
        <f>E$37+E$42+E$41</f>
        <v>168.73274447560578</v>
      </c>
      <c r="F43" s="610"/>
      <c r="G43" s="236">
        <f>G$37+G$42+G$41</f>
        <v>165.92742872463106</v>
      </c>
      <c r="H43" s="573"/>
    </row>
    <row r="44" spans="1:11">
      <c r="B44" s="640" t="s">
        <v>458</v>
      </c>
      <c r="C44" s="641">
        <v>0</v>
      </c>
      <c r="D44" s="610"/>
      <c r="E44" s="641">
        <v>0</v>
      </c>
      <c r="F44" s="610"/>
      <c r="G44" s="642">
        <v>0</v>
      </c>
      <c r="H44" s="573"/>
    </row>
    <row r="45" spans="1:11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11">
      <c r="B46" s="620" t="s">
        <v>432</v>
      </c>
      <c r="C46" s="641">
        <f>C$43-C44-C45+D$38</f>
        <v>154.42235332776232</v>
      </c>
      <c r="D46" s="641"/>
      <c r="E46" s="641">
        <f>E$43-E44-E45+F$38</f>
        <v>156.88274447560579</v>
      </c>
      <c r="F46" s="641"/>
      <c r="G46" s="641">
        <f>G$43-G44-G45+H$38</f>
        <v>154.28742872463107</v>
      </c>
      <c r="H46" s="573"/>
    </row>
    <row r="47" spans="1:11">
      <c r="B47" s="503" t="s">
        <v>445</v>
      </c>
      <c r="C47" s="644"/>
      <c r="D47" s="627" t="str">
        <f>CONCATENATE("+ ",ROUND((C$46*0.08),2))</f>
        <v>+ 12.35</v>
      </c>
      <c r="E47" s="644"/>
      <c r="F47" s="627" t="str">
        <f>CONCATENATE("+ ",ROUND((E$46*0.08),2))</f>
        <v>+ 12.55</v>
      </c>
      <c r="G47" s="645"/>
      <c r="H47" s="627" t="str">
        <f>CONCATENATE("+ ",ROUND((G$46*0.08),2))</f>
        <v>+ 12.34</v>
      </c>
    </row>
    <row r="48" spans="1:11" ht="15" thickBot="1">
      <c r="B48" s="646" t="s">
        <v>449</v>
      </c>
      <c r="C48" s="702" t="str">
        <f>D47</f>
        <v>+ 12.35</v>
      </c>
      <c r="D48" s="632"/>
      <c r="E48" s="631" t="str">
        <f>F47</f>
        <v>+ 12.55</v>
      </c>
      <c r="F48" s="632"/>
      <c r="G48" s="631" t="str">
        <f>H47</f>
        <v>+ 12.34</v>
      </c>
      <c r="H48" s="632"/>
    </row>
    <row r="49" spans="1:8" s="392" customFormat="1" ht="15" thickBot="1">
      <c r="B49" s="647" t="s">
        <v>452</v>
      </c>
      <c r="C49" s="648">
        <f>C$46+C$48+C$44+C$45</f>
        <v>166.77235332776232</v>
      </c>
      <c r="D49" s="649">
        <f>D38+D47</f>
        <v>0.6899999999999995</v>
      </c>
      <c r="E49" s="648">
        <f>E$46+E$48+E$44+E$45</f>
        <v>169.4327444756058</v>
      </c>
      <c r="F49" s="1030">
        <f>F38+F47</f>
        <v>0.70000000000000107</v>
      </c>
      <c r="G49" s="650">
        <f>G$46+G$48+G$44+G$45</f>
        <v>166.62742872463107</v>
      </c>
      <c r="H49" s="1030">
        <f>H38+H47</f>
        <v>0.69999999999999929</v>
      </c>
    </row>
    <row r="50" spans="1:8" s="392" customFormat="1">
      <c r="B50" s="652"/>
      <c r="C50" s="653"/>
      <c r="D50" s="652"/>
      <c r="E50" s="653"/>
      <c r="F50" s="652"/>
      <c r="G50" s="653"/>
      <c r="H50" s="653"/>
    </row>
    <row r="51" spans="1:8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8" ht="15" hidden="1" thickBot="1"/>
    <row r="53" spans="1:8" ht="15" hidden="1" thickBot="1">
      <c r="B53" s="656" t="s">
        <v>441</v>
      </c>
      <c r="C53" s="657">
        <f>Mombasa!D26</f>
        <v>154.61210483715561</v>
      </c>
      <c r="D53" s="162">
        <f>C9+C20+C21+C28+C42+0.16*C8+0.16*SUM(C24:C25)</f>
        <v>153.98809640775983</v>
      </c>
      <c r="E53" s="657">
        <f>'Breakdown for PMS, AGO &amp; DPK'!E26</f>
        <v>160.05845058085328</v>
      </c>
      <c r="G53" s="657">
        <f>'Breakdown for PMS, AGO &amp; DPK'!F26</f>
        <v>157.48855959511991</v>
      </c>
    </row>
    <row r="54" spans="1:8" ht="15" hidden="1" thickBot="1">
      <c r="B54" s="658" t="s">
        <v>442</v>
      </c>
      <c r="C54" s="659">
        <f>C49-C53</f>
        <v>12.160248490606705</v>
      </c>
      <c r="D54" s="162">
        <f>C53-D53</f>
        <v>0.62400842939578638</v>
      </c>
      <c r="E54" s="659">
        <f>E49-E53</f>
        <v>9.3742938947525261</v>
      </c>
      <c r="G54" s="659">
        <f>G49-G53</f>
        <v>9.1388691295111641</v>
      </c>
    </row>
    <row r="55" spans="1:8" ht="15" hidden="1" thickBot="1">
      <c r="B55" s="660" t="s">
        <v>443</v>
      </c>
      <c r="C55" s="661">
        <f>C54/C53</f>
        <v>7.8650041686027253E-2</v>
      </c>
      <c r="D55" s="662">
        <f>7-5.55+3.89-3.112</f>
        <v>2.2279999999999998</v>
      </c>
      <c r="E55" s="661">
        <f>E54/E53</f>
        <v>5.8567941028625142E-2</v>
      </c>
      <c r="F55" s="392"/>
      <c r="G55" s="661">
        <f>G54/G53</f>
        <v>5.8028780966730933E-2</v>
      </c>
    </row>
    <row r="56" spans="1:8" ht="15" hidden="1" thickBot="1">
      <c r="B56" s="663" t="s">
        <v>451</v>
      </c>
      <c r="C56" s="664">
        <f>D$33+D$49+-$D$10</f>
        <v>12.35</v>
      </c>
      <c r="E56" s="664">
        <f>F$33+F$49</f>
        <v>4.3090574521374876</v>
      </c>
      <c r="G56" s="664">
        <f>H$33+H$49</f>
        <v>3.9077517448881274</v>
      </c>
    </row>
    <row r="58" spans="1:8" ht="15" thickBot="1"/>
    <row r="59" spans="1:8" ht="15" thickBot="1">
      <c r="C59" s="668" t="s">
        <v>0</v>
      </c>
      <c r="D59" s="669" t="s">
        <v>1</v>
      </c>
      <c r="E59" s="670" t="s">
        <v>155</v>
      </c>
    </row>
    <row r="60" spans="1:8" ht="15" thickBot="1">
      <c r="B60" s="671" t="str">
        <f>B4</f>
        <v>March 15 - April 14, 2023</v>
      </c>
      <c r="C60" s="672">
        <f>C49</f>
        <v>166.77235332776232</v>
      </c>
      <c r="D60" s="673">
        <f>E49</f>
        <v>169.4327444756058</v>
      </c>
      <c r="E60" s="674">
        <f>G49</f>
        <v>166.62742872463107</v>
      </c>
      <c r="G60" s="171"/>
    </row>
    <row r="61" spans="1:8" ht="17.25" customHeight="1" thickBot="1">
      <c r="C61" s="675"/>
      <c r="D61" s="676"/>
      <c r="E61" s="677"/>
    </row>
    <row r="62" spans="1:8" ht="15" thickBot="1">
      <c r="B62" s="678" t="str">
        <f>Mombasa!B28</f>
        <v>February 15 - March 14 2023</v>
      </c>
      <c r="C62" s="679">
        <v>162.98639227611383</v>
      </c>
      <c r="D62" s="680">
        <v>169.80983624533675</v>
      </c>
      <c r="E62" s="681">
        <v>162.55422328973071</v>
      </c>
    </row>
    <row r="63" spans="1:8" ht="4.5" customHeight="1" thickBot="1">
      <c r="B63" s="392"/>
      <c r="C63" s="675"/>
      <c r="D63" s="676"/>
      <c r="E63" s="677"/>
    </row>
    <row r="64" spans="1:8" ht="15" thickBot="1">
      <c r="B64" s="682" t="s">
        <v>548</v>
      </c>
      <c r="C64" s="683">
        <f>C60-C62</f>
        <v>3.785961051648485</v>
      </c>
      <c r="D64" s="683">
        <f>D60-D62</f>
        <v>-0.37709176973095282</v>
      </c>
      <c r="E64" s="684">
        <f>E60-E62</f>
        <v>4.073205434900359</v>
      </c>
    </row>
    <row r="65" spans="2:5" ht="4.5" customHeight="1" thickBot="1">
      <c r="B65" s="392"/>
      <c r="C65" s="685"/>
      <c r="D65" s="686"/>
      <c r="E65" s="687"/>
    </row>
    <row r="66" spans="2:5" ht="15" thickBot="1">
      <c r="B66" s="682" t="s">
        <v>549</v>
      </c>
      <c r="C66" s="688">
        <f>C64/C62*100</f>
        <v>2.3228694118431195</v>
      </c>
      <c r="D66" s="689">
        <f>D64/D62*100</f>
        <v>-0.2220670946211506</v>
      </c>
      <c r="E66" s="690">
        <f>E64/E62*100</f>
        <v>2.5057518361983289</v>
      </c>
    </row>
    <row r="68" spans="2:5">
      <c r="C68" s="171"/>
      <c r="D68" s="171"/>
      <c r="E68" s="1073"/>
    </row>
    <row r="69" spans="2:5">
      <c r="C69" s="1056"/>
      <c r="D69" s="1056"/>
      <c r="E69" s="1056"/>
    </row>
    <row r="70" spans="2:5">
      <c r="C70" s="1056"/>
      <c r="D70" s="1056"/>
      <c r="E70" s="1056"/>
    </row>
  </sheetData>
  <mergeCells count="8">
    <mergeCell ref="B35:H35"/>
    <mergeCell ref="C36:D36"/>
    <mergeCell ref="E36:F36"/>
    <mergeCell ref="G36:H36"/>
    <mergeCell ref="B3:H3"/>
    <mergeCell ref="C4:D4"/>
    <mergeCell ref="E4:F4"/>
    <mergeCell ref="G4:H4"/>
  </mergeCells>
  <pageMargins left="0.7" right="0.7" top="0.75" bottom="0.75" header="0.3" footer="0.3"/>
  <pageSetup orientation="portrait" r:id="rId1"/>
  <ignoredErrors>
    <ignoredError sqref="D33:G33 D49 F49:G49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00CC00"/>
  </sheetPr>
  <dimension ref="B2:K31"/>
  <sheetViews>
    <sheetView topLeftCell="A6" workbookViewId="0">
      <selection activeCell="G23" sqref="G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4.81640625" style="159" bestFit="1" customWidth="1"/>
    <col min="9" max="16384" width="9.1796875" style="159"/>
  </cols>
  <sheetData>
    <row r="2" spans="2:11">
      <c r="C2" s="258" t="s">
        <v>122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>
      <c r="C5" s="160"/>
      <c r="D5" s="160"/>
      <c r="E5" s="160"/>
      <c r="F5" s="160"/>
      <c r="G5" s="261"/>
      <c r="H5" s="262"/>
      <c r="I5" s="262"/>
      <c r="J5" s="262"/>
      <c r="K5" s="262"/>
    </row>
    <row r="6" spans="2:11">
      <c r="C6" s="263"/>
      <c r="D6" s="264" t="s">
        <v>0</v>
      </c>
      <c r="E6" s="264" t="s">
        <v>1</v>
      </c>
      <c r="F6" s="264" t="s">
        <v>3</v>
      </c>
      <c r="G6" s="160"/>
      <c r="H6" s="262"/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Mombasa!G8</f>
        <v>1.1599999999999999</v>
      </c>
      <c r="H8" s="262" t="s">
        <v>42</v>
      </c>
      <c r="I8" s="262"/>
      <c r="J8" s="262"/>
      <c r="K8" s="262"/>
    </row>
    <row r="9" spans="2:11" ht="15" thickBot="1">
      <c r="C9" s="263" t="s">
        <v>20</v>
      </c>
      <c r="D9" s="195">
        <f>$G$10*$G$9*$G$8</f>
        <v>0</v>
      </c>
      <c r="E9" s="195">
        <f>$G$10*$G$9*$G$8</f>
        <v>0</v>
      </c>
      <c r="F9" s="195">
        <f>$G$10*$G$9*$G$8</f>
        <v>0</v>
      </c>
      <c r="G9" s="303">
        <v>0</v>
      </c>
      <c r="H9" s="262" t="s">
        <v>28</v>
      </c>
      <c r="I9" s="262"/>
      <c r="J9" s="262"/>
      <c r="K9" s="262"/>
    </row>
    <row r="10" spans="2:11" ht="15" thickBot="1">
      <c r="C10" s="263"/>
      <c r="D10" s="274"/>
      <c r="E10" s="274"/>
      <c r="F10" s="274"/>
      <c r="G10" s="304">
        <v>0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195">
        <f>$G$11*G12*$G$8</f>
        <v>0</v>
      </c>
      <c r="E11" s="195">
        <f>$G$11*G12*$G$8</f>
        <v>0</v>
      </c>
      <c r="F11" s="195">
        <f>$G$11*G12*$G$8</f>
        <v>0</v>
      </c>
      <c r="G11" s="305">
        <f>8.14*G14/1000</f>
        <v>0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0</v>
      </c>
      <c r="E13" s="277">
        <f>$G$13*E7</f>
        <v>0</v>
      </c>
      <c r="F13" s="277">
        <f>$G$13*F7</f>
        <v>0</v>
      </c>
      <c r="G13" s="278">
        <v>0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0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Mombasa!D18</f>
        <v>4.2039999999999997</v>
      </c>
      <c r="E17" s="280">
        <f>Mombasa!E18</f>
        <v>4.1739999999999995</v>
      </c>
      <c r="F17" s="280">
        <f>Mombasa!F18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145.79849820066073</v>
      </c>
      <c r="E19" s="282">
        <f>SUM(E7:E18)</f>
        <v>148.24726824540289</v>
      </c>
      <c r="F19" s="282">
        <f>SUM(F7:F18)</f>
        <v>145.67854679553881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Mombasa!D22</f>
        <v>8.19</v>
      </c>
      <c r="E21" s="168">
        <f>Mombasa!E22</f>
        <v>8.19</v>
      </c>
      <c r="F21" s="168">
        <f>Mombasa!F22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$G$23*G8</f>
        <v>1.3891159545769578</v>
      </c>
      <c r="E23" s="283">
        <f>$G$23*G8</f>
        <v>1.3891159545769578</v>
      </c>
      <c r="F23" s="283">
        <f>$G$23*G8</f>
        <v>1.3891159545769578</v>
      </c>
      <c r="G23" s="284">
        <f>'Delivery &gt;40km-Sept 2013'!E24*I23/1000</f>
        <v>1.1975137539456533</v>
      </c>
      <c r="H23" s="262" t="s">
        <v>126</v>
      </c>
      <c r="I23" s="259">
        <v>100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306">
        <f>D19+D21+D23</f>
        <v>155.37761415523769</v>
      </c>
      <c r="E25" s="306">
        <f>E19+E21+E23</f>
        <v>157.82638419997986</v>
      </c>
      <c r="F25" s="306">
        <f>F19+F21+F23</f>
        <v>155.25766275011577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700"/>
      <c r="E27" s="700"/>
      <c r="F27" s="700"/>
    </row>
    <row r="28" spans="3:11">
      <c r="D28" s="700"/>
      <c r="E28" s="700"/>
      <c r="F28" s="700"/>
    </row>
    <row r="29" spans="3:11">
      <c r="D29" s="700"/>
      <c r="E29" s="700"/>
      <c r="F29" s="70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1386" r:id="rId4">
          <objectPr defaultSize="0" autoPict="0" r:id="rId5">
            <anchor>
              <from>
                <xdr:col>1</xdr:col>
                <xdr:colOff>57150</xdr:colOff>
                <xdr:row>18</xdr:row>
                <xdr:rowOff>12700</xdr:rowOff>
              </from>
              <to>
                <xdr:col>1</xdr:col>
                <xdr:colOff>527050</xdr:colOff>
                <xdr:row>19</xdr:row>
                <xdr:rowOff>12700</xdr:rowOff>
              </to>
            </anchor>
          </objectPr>
        </oleObject>
      </mc:Choice>
      <mc:Fallback>
        <oleObject progId="Equation.3" shapeId="101386" r:id="rId4"/>
      </mc:Fallback>
    </mc:AlternateContent>
  </oleObjec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0000FF"/>
  </sheetPr>
  <dimension ref="A2:K56"/>
  <sheetViews>
    <sheetView topLeftCell="A40" workbookViewId="0">
      <selection activeCell="C27" sqref="C27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8" width="15.453125" style="159" customWidth="1"/>
    <col min="9" max="9" width="3.26953125" style="159" customWidth="1"/>
    <col min="10" max="10" width="14.7265625" style="159" customWidth="1"/>
    <col min="11" max="16384" width="9.1796875" style="159"/>
  </cols>
  <sheetData>
    <row r="2" spans="1:8" ht="15" thickBot="1"/>
    <row r="3" spans="1:8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8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8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8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8" ht="18" customHeight="1">
      <c r="B7" s="597" t="s">
        <v>400</v>
      </c>
      <c r="C7" s="598">
        <f>'PMS SUMMARY'!D45</f>
        <v>89.740844909393786</v>
      </c>
      <c r="D7" s="599"/>
      <c r="E7" s="849">
        <f>'AGO SUMMARY'!E47</f>
        <v>102.43801744706063</v>
      </c>
      <c r="F7" s="600"/>
      <c r="G7" s="849">
        <f>'DPK SUMMARY'!D44</f>
        <v>104.66296430977627</v>
      </c>
      <c r="H7" s="599"/>
    </row>
    <row r="8" spans="1:8" s="163" customFormat="1">
      <c r="B8" s="601" t="s">
        <v>420</v>
      </c>
      <c r="C8" s="602">
        <f>'PMS SUMMARY'!D44</f>
        <v>0.64584380006463771</v>
      </c>
      <c r="D8" s="603"/>
      <c r="E8" s="850">
        <f>'AGO SUMMARY'!E46</f>
        <v>0.57376440122077432</v>
      </c>
      <c r="F8" s="604"/>
      <c r="G8" s="850">
        <f>'DPK SUMMARY'!D43</f>
        <v>0.74013887912213949</v>
      </c>
      <c r="H8" s="603"/>
    </row>
    <row r="9" spans="1:8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8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8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8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8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8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8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v>0</v>
      </c>
      <c r="H15" s="610"/>
    </row>
    <row r="16" spans="1:8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10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  <c r="J17" s="162"/>
    </row>
    <row r="18" spans="1:10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10">
      <c r="A19" s="605"/>
      <c r="B19" s="614" t="s">
        <v>319</v>
      </c>
      <c r="C19" s="613">
        <f>'Breakdown for PMS, AGO &amp; DPK'!D23</f>
        <v>1.7335007701822511</v>
      </c>
      <c r="D19" s="610"/>
      <c r="E19" s="613">
        <f>'Breakdown for PMS, AGO &amp; DPK'!E23</f>
        <v>1.994329137255715</v>
      </c>
      <c r="F19" s="616"/>
      <c r="G19" s="613">
        <f>'Breakdown for PMS, AGO &amp; DPK'!F23</f>
        <v>2.0134755528419217</v>
      </c>
      <c r="H19" s="610"/>
    </row>
    <row r="20" spans="1:10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10">
      <c r="A21" s="605" t="s">
        <v>403</v>
      </c>
      <c r="B21" s="620" t="s">
        <v>421</v>
      </c>
      <c r="C21" s="618">
        <f>SUM(C$22:C$23)</f>
        <v>0.70445023980428223</v>
      </c>
      <c r="D21" s="573"/>
      <c r="E21" s="618">
        <f>SUM(E$22:E$23)</f>
        <v>0.43092702366521302</v>
      </c>
      <c r="F21" s="621"/>
      <c r="G21" s="618">
        <f>SUM(G$22:G$23)</f>
        <v>0.42324390866063455</v>
      </c>
      <c r="H21" s="573"/>
    </row>
    <row r="22" spans="1:10">
      <c r="A22" s="605"/>
      <c r="B22" s="614" t="s">
        <v>455</v>
      </c>
      <c r="C22" s="613">
        <f>SUM(C$24:C$25)</f>
        <v>0</v>
      </c>
      <c r="D22" s="573"/>
      <c r="E22" s="613">
        <f>SUM(E$24:E$25)</f>
        <v>0</v>
      </c>
      <c r="F22" s="621"/>
      <c r="G22" s="613">
        <f>SUM(G$24:G$25)</f>
        <v>0</v>
      </c>
      <c r="H22" s="573"/>
    </row>
    <row r="23" spans="1:10">
      <c r="A23" s="605"/>
      <c r="B23" s="614" t="s">
        <v>456</v>
      </c>
      <c r="C23" s="613">
        <f>C$26+C$27</f>
        <v>0.70445023980428223</v>
      </c>
      <c r="D23" s="573"/>
      <c r="E23" s="613">
        <f>E$26+E$27</f>
        <v>0.43092702366521302</v>
      </c>
      <c r="F23" s="621"/>
      <c r="G23" s="613">
        <f>G$26+G$27</f>
        <v>0.42324390866063455</v>
      </c>
      <c r="H23" s="573"/>
    </row>
    <row r="24" spans="1:10">
      <c r="A24" s="605"/>
      <c r="B24" s="622" t="s">
        <v>459</v>
      </c>
      <c r="C24" s="602">
        <f>Mombasa!D9</f>
        <v>0</v>
      </c>
      <c r="D24" s="623"/>
      <c r="E24" s="602">
        <f>Mombasa!E9</f>
        <v>0</v>
      </c>
      <c r="F24" s="624"/>
      <c r="G24" s="602">
        <f>Mombasa!F9</f>
        <v>0</v>
      </c>
      <c r="H24" s="573"/>
    </row>
    <row r="25" spans="1:10">
      <c r="A25" s="605"/>
      <c r="B25" s="622" t="s">
        <v>460</v>
      </c>
      <c r="C25" s="602">
        <f>Mombasa!D11</f>
        <v>0</v>
      </c>
      <c r="D25" s="623"/>
      <c r="E25" s="602">
        <f>Mombasa!E11</f>
        <v>0</v>
      </c>
      <c r="F25" s="624"/>
      <c r="G25" s="602">
        <f>Mombasa!F11</f>
        <v>0</v>
      </c>
      <c r="H25" s="573"/>
    </row>
    <row r="26" spans="1:10">
      <c r="A26" s="605"/>
      <c r="B26" s="622" t="s">
        <v>334</v>
      </c>
      <c r="C26" s="602">
        <f>Mombasa!D13</f>
        <v>0</v>
      </c>
      <c r="D26" s="623"/>
      <c r="E26" s="602">
        <f>Mombasa!E13</f>
        <v>0</v>
      </c>
      <c r="F26" s="624"/>
      <c r="G26" s="602">
        <f>Mombasa!F13</f>
        <v>0</v>
      </c>
      <c r="H26" s="573"/>
    </row>
    <row r="27" spans="1:10">
      <c r="A27" s="605"/>
      <c r="B27" s="622" t="s">
        <v>332</v>
      </c>
      <c r="C27" s="602">
        <f>Mombasa!D15</f>
        <v>0.70445023980428223</v>
      </c>
      <c r="D27" s="623"/>
      <c r="E27" s="602">
        <f>Mombasa!E15</f>
        <v>0.43092702366521302</v>
      </c>
      <c r="F27" s="624"/>
      <c r="G27" s="602">
        <f>Mombasa!F15</f>
        <v>0.42324390866063455</v>
      </c>
      <c r="H27" s="573"/>
    </row>
    <row r="28" spans="1:10">
      <c r="A28" s="605" t="s">
        <v>404</v>
      </c>
      <c r="B28" s="620" t="s">
        <v>427</v>
      </c>
      <c r="C28" s="618">
        <f>Mombasa!D18</f>
        <v>4.2039999999999997</v>
      </c>
      <c r="D28" s="618"/>
      <c r="E28" s="618">
        <f>Mombasa!E18</f>
        <v>4.1739999999999995</v>
      </c>
      <c r="F28" s="618"/>
      <c r="G28" s="618">
        <f>Mombasa!F18</f>
        <v>4.1739999999999995</v>
      </c>
      <c r="H28" s="573"/>
    </row>
    <row r="29" spans="1:10">
      <c r="A29" s="605"/>
      <c r="B29" s="620" t="s">
        <v>440</v>
      </c>
      <c r="C29" s="618">
        <f>C$9+C$20+C$22+C$23+C$28</f>
        <v>145.6947613997495</v>
      </c>
      <c r="D29" s="625"/>
      <c r="E29" s="626">
        <f>E$9+E$20+E$22+E$23+E$28</f>
        <v>148.15515254759296</v>
      </c>
      <c r="F29" s="625"/>
      <c r="G29" s="618">
        <f>G$9+G$20+G$22+G$23+G$28</f>
        <v>145.55983679661824</v>
      </c>
      <c r="H29" s="625"/>
    </row>
    <row r="30" spans="1:10">
      <c r="A30" s="605"/>
      <c r="B30" s="494" t="s">
        <v>444</v>
      </c>
      <c r="C30" s="606"/>
      <c r="D30" s="627" t="str">
        <f>CONCATENATE("+ ",ROUND((C$29*0.08),2))</f>
        <v>+ 11.66</v>
      </c>
      <c r="E30" s="628"/>
      <c r="F30" s="627" t="str">
        <f>CONCATENATE("+ ",ROUND((E$29*0.08),2))</f>
        <v>+ 11.85</v>
      </c>
      <c r="G30" s="606"/>
      <c r="H30" s="627" t="str">
        <f>CONCATENATE("+ ",ROUND((G$29*0.08),2))</f>
        <v>+ 11.64</v>
      </c>
    </row>
    <row r="31" spans="1:10">
      <c r="A31" s="605"/>
      <c r="B31" s="620" t="s">
        <v>436</v>
      </c>
      <c r="C31" s="606">
        <f>C$9+C$20+C$21+C$28</f>
        <v>145.6947613997495</v>
      </c>
      <c r="D31" s="629"/>
      <c r="E31" s="628">
        <f>E$9+E$20+E$21+E$28</f>
        <v>148.15515254759296</v>
      </c>
      <c r="F31" s="629"/>
      <c r="G31" s="606">
        <f>G$9+G$20+G$21+G$28</f>
        <v>145.55983679661824</v>
      </c>
      <c r="H31" s="629"/>
    </row>
    <row r="32" spans="1:10" ht="15" thickBot="1">
      <c r="A32" s="605"/>
      <c r="B32" s="630" t="s">
        <v>448</v>
      </c>
      <c r="C32" s="631" t="str">
        <f>D30</f>
        <v>+ 11.66</v>
      </c>
      <c r="D32" s="632"/>
      <c r="E32" s="631" t="str">
        <f>F30</f>
        <v>+ 11.85</v>
      </c>
      <c r="F32" s="632"/>
      <c r="G32" s="631" t="str">
        <f>H30</f>
        <v>+ 11.64</v>
      </c>
      <c r="H32" s="632"/>
    </row>
    <row r="33" spans="1:11" ht="15" thickBot="1">
      <c r="A33" s="605"/>
      <c r="B33" s="633" t="s">
        <v>418</v>
      </c>
      <c r="C33" s="634">
        <f>C31+C32</f>
        <v>157.35476139974949</v>
      </c>
      <c r="D33" s="634">
        <f>+D10+D30</f>
        <v>4.4290649032433258</v>
      </c>
      <c r="E33" s="635">
        <f>E31+E32</f>
        <v>160.00515254759296</v>
      </c>
      <c r="F33" s="634">
        <f>F10+F30</f>
        <v>3.6090574521374865</v>
      </c>
      <c r="G33" s="634">
        <f>G31+G32</f>
        <v>157.19983679661823</v>
      </c>
      <c r="H33" s="636">
        <f>H10+H30</f>
        <v>3.2077517448881281</v>
      </c>
      <c r="K33" s="162"/>
    </row>
    <row r="34" spans="1:11" ht="15" thickBot="1"/>
    <row r="35" spans="1:11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11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11">
      <c r="A37" s="605" t="s">
        <v>428</v>
      </c>
      <c r="B37" s="503" t="s">
        <v>422</v>
      </c>
      <c r="C37" s="236">
        <f>C33</f>
        <v>157.35476139974949</v>
      </c>
      <c r="D37" s="573"/>
      <c r="E37" s="236">
        <f>E33</f>
        <v>160.00515254759296</v>
      </c>
      <c r="F37" s="573"/>
      <c r="G37" s="236">
        <f>G33</f>
        <v>157.19983679661823</v>
      </c>
      <c r="H37" s="629"/>
    </row>
    <row r="38" spans="1:11">
      <c r="A38" s="605"/>
      <c r="B38" s="637" t="s">
        <v>425</v>
      </c>
      <c r="C38" s="638"/>
      <c r="D38" s="609">
        <f>-C32</f>
        <v>-11.66</v>
      </c>
      <c r="E38" s="639"/>
      <c r="F38" s="609">
        <f>-E32</f>
        <v>-11.85</v>
      </c>
      <c r="G38" s="638"/>
      <c r="H38" s="609">
        <f>-G32</f>
        <v>-11.64</v>
      </c>
    </row>
    <row r="39" spans="1:11">
      <c r="A39" s="605" t="s">
        <v>429</v>
      </c>
      <c r="B39" s="613" t="s">
        <v>644</v>
      </c>
      <c r="C39" s="613"/>
      <c r="D39" s="943"/>
      <c r="E39" s="879"/>
      <c r="F39" s="943"/>
      <c r="G39" s="613"/>
      <c r="H39" s="943"/>
    </row>
    <row r="40" spans="1:11">
      <c r="A40" s="605"/>
      <c r="B40" s="948" t="s">
        <v>646</v>
      </c>
      <c r="C40" s="613">
        <f>Kilifi!G23</f>
        <v>1.1975137539456533</v>
      </c>
      <c r="D40" s="943"/>
      <c r="E40" s="880">
        <f>C40</f>
        <v>1.1975137539456533</v>
      </c>
      <c r="F40" s="943"/>
      <c r="G40" s="613">
        <f>E40</f>
        <v>1.1975137539456533</v>
      </c>
      <c r="H40" s="943"/>
    </row>
    <row r="41" spans="1:11" s="392" customFormat="1">
      <c r="A41" s="605"/>
      <c r="B41" s="640" t="s">
        <v>647</v>
      </c>
      <c r="C41" s="618">
        <f>SUM(C40)</f>
        <v>1.1975137539456533</v>
      </c>
      <c r="D41" s="944"/>
      <c r="E41" s="626">
        <f>SUM(E40)</f>
        <v>1.1975137539456533</v>
      </c>
      <c r="F41" s="949"/>
      <c r="G41" s="618">
        <f>SUM(G40)</f>
        <v>1.1975137539456533</v>
      </c>
      <c r="H41" s="944"/>
    </row>
    <row r="42" spans="1:11">
      <c r="A42" s="605" t="s">
        <v>642</v>
      </c>
      <c r="B42" s="503" t="s">
        <v>426</v>
      </c>
      <c r="C42" s="236">
        <f>Mombasa!D22</f>
        <v>8.19</v>
      </c>
      <c r="D42" s="573"/>
      <c r="E42" s="236">
        <f>Mombasa!E22</f>
        <v>8.19</v>
      </c>
      <c r="F42" s="573"/>
      <c r="G42" s="236">
        <f>Mombasa!F22</f>
        <v>8.19</v>
      </c>
      <c r="H42" s="629"/>
    </row>
    <row r="43" spans="1:11">
      <c r="B43" s="620" t="s">
        <v>447</v>
      </c>
      <c r="C43" s="613">
        <f>C$37+C$42+C$41</f>
        <v>166.74227515369515</v>
      </c>
      <c r="D43" s="610"/>
      <c r="E43" s="613">
        <f>E$37+E$42+E$41</f>
        <v>169.39266630153861</v>
      </c>
      <c r="F43" s="610"/>
      <c r="G43" s="236">
        <f>G$37+G$42+G$41</f>
        <v>166.58735055056388</v>
      </c>
      <c r="H43" s="573"/>
    </row>
    <row r="44" spans="1:11">
      <c r="B44" s="640" t="s">
        <v>458</v>
      </c>
      <c r="C44" s="641">
        <v>0</v>
      </c>
      <c r="D44" s="610"/>
      <c r="E44" s="641">
        <v>0</v>
      </c>
      <c r="F44" s="610"/>
      <c r="G44" s="642">
        <v>0</v>
      </c>
      <c r="H44" s="573"/>
    </row>
    <row r="45" spans="1:11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11">
      <c r="B46" s="620" t="s">
        <v>432</v>
      </c>
      <c r="C46" s="641">
        <f>C$43-C44-C45+D$38</f>
        <v>155.08227515369515</v>
      </c>
      <c r="D46" s="641"/>
      <c r="E46" s="641">
        <f>E$43-E44-E45+F$38</f>
        <v>157.54266630153862</v>
      </c>
      <c r="F46" s="641"/>
      <c r="G46" s="641">
        <f>G$43-G44-G45+H$38</f>
        <v>154.9473505505639</v>
      </c>
      <c r="H46" s="573"/>
    </row>
    <row r="47" spans="1:11">
      <c r="B47" s="503" t="s">
        <v>445</v>
      </c>
      <c r="C47" s="644"/>
      <c r="D47" s="627" t="str">
        <f>CONCATENATE("+ ",ROUND((C$46*0.08),2))</f>
        <v>+ 12.41</v>
      </c>
      <c r="E47" s="644"/>
      <c r="F47" s="627" t="str">
        <f>CONCATENATE("+ ",ROUND((E$46*0.08),2))</f>
        <v>+ 12.6</v>
      </c>
      <c r="G47" s="645"/>
      <c r="H47" s="627" t="str">
        <f>CONCATENATE("+ ",ROUND((G$46*0.08),2))</f>
        <v>+ 12.4</v>
      </c>
    </row>
    <row r="48" spans="1:11" ht="15" thickBot="1">
      <c r="B48" s="646" t="s">
        <v>449</v>
      </c>
      <c r="C48" s="702" t="str">
        <f>D47</f>
        <v>+ 12.41</v>
      </c>
      <c r="D48" s="632"/>
      <c r="E48" s="631" t="str">
        <f>F47</f>
        <v>+ 12.6</v>
      </c>
      <c r="F48" s="632"/>
      <c r="G48" s="631" t="str">
        <f>H47</f>
        <v>+ 12.4</v>
      </c>
      <c r="H48" s="632"/>
    </row>
    <row r="49" spans="1:8" s="392" customFormat="1" ht="15" thickBot="1">
      <c r="B49" s="647" t="s">
        <v>452</v>
      </c>
      <c r="C49" s="648">
        <f>C$46+C$48+C$44+C$45</f>
        <v>167.49227515369515</v>
      </c>
      <c r="D49" s="649">
        <f>D38+D47</f>
        <v>0.75</v>
      </c>
      <c r="E49" s="698">
        <f>E$46+E$48+E$44+E$45</f>
        <v>170.14266630153861</v>
      </c>
      <c r="F49" s="649">
        <f>F38+F47</f>
        <v>0.75</v>
      </c>
      <c r="G49" s="650">
        <f>G$46+G$48+G$44+G$45</f>
        <v>167.3473505505639</v>
      </c>
      <c r="H49" s="651">
        <f>H38+H47</f>
        <v>0.75999999999999979</v>
      </c>
    </row>
    <row r="50" spans="1:8" s="392" customFormat="1">
      <c r="B50" s="652"/>
      <c r="C50" s="653"/>
      <c r="D50" s="652"/>
      <c r="E50" s="653"/>
      <c r="F50" s="652"/>
      <c r="G50" s="653"/>
      <c r="H50" s="653"/>
    </row>
    <row r="51" spans="1:8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8" hidden="1"/>
    <row r="53" spans="1:8" hidden="1">
      <c r="B53" s="656" t="s">
        <v>441</v>
      </c>
      <c r="C53" s="657">
        <f>Mombasa!D26</f>
        <v>154.61210483715561</v>
      </c>
      <c r="D53" s="162">
        <f>C9+C20+C21+C28+C42+0.16*C8+0.16*SUM(C24:C25)</f>
        <v>153.98809640775983</v>
      </c>
      <c r="E53" s="657">
        <f>'Breakdown for PMS, AGO &amp; DPK'!E26</f>
        <v>160.05845058085328</v>
      </c>
      <c r="G53" s="657">
        <f>'Breakdown for PMS, AGO &amp; DPK'!F26</f>
        <v>157.48855959511991</v>
      </c>
    </row>
    <row r="54" spans="1:8" ht="15" hidden="1" thickBot="1">
      <c r="B54" s="658" t="s">
        <v>442</v>
      </c>
      <c r="C54" s="659">
        <f>C49-C53</f>
        <v>12.880170316539534</v>
      </c>
      <c r="D54" s="162">
        <f>C53-D53</f>
        <v>0.62400842939578638</v>
      </c>
      <c r="E54" s="659">
        <f>E49-E53</f>
        <v>10.084215720685336</v>
      </c>
      <c r="G54" s="659">
        <f>G49-G53</f>
        <v>9.8587909554439932</v>
      </c>
    </row>
    <row r="55" spans="1:8" ht="15" hidden="1" thickBot="1">
      <c r="B55" s="660" t="s">
        <v>443</v>
      </c>
      <c r="C55" s="661">
        <f>C54/C53</f>
        <v>8.3306351272466703E-2</v>
      </c>
      <c r="D55" s="662">
        <f>7-5.55+3.89-3.112</f>
        <v>2.2279999999999998</v>
      </c>
      <c r="E55" s="661">
        <f>E54/E53</f>
        <v>6.3003332120794897E-2</v>
      </c>
      <c r="F55" s="392"/>
      <c r="G55" s="661">
        <f>G54/G53</f>
        <v>6.2600045240044769E-2</v>
      </c>
    </row>
    <row r="56" spans="1:8" ht="15" hidden="1" thickBot="1">
      <c r="B56" s="663" t="s">
        <v>451</v>
      </c>
      <c r="C56" s="664">
        <f>D$33+D$49+-$D$10</f>
        <v>12.41</v>
      </c>
      <c r="E56" s="664">
        <f>F$33+F$49</f>
        <v>4.3590574521374865</v>
      </c>
      <c r="G56" s="664">
        <f>H$33+H$49</f>
        <v>3.9677517448881279</v>
      </c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00CC00"/>
  </sheetPr>
  <dimension ref="B2:K35"/>
  <sheetViews>
    <sheetView topLeftCell="A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161</v>
      </c>
      <c r="G2" s="160"/>
    </row>
    <row r="3" spans="2:11">
      <c r="C3" s="258" t="s">
        <v>27</v>
      </c>
      <c r="G3" s="160"/>
    </row>
    <row r="4" spans="2:11">
      <c r="C4" s="259" t="str">
        <f>Kilifi!C4</f>
        <v>March 15 - April 14, 2023</v>
      </c>
      <c r="D4" s="258"/>
      <c r="E4" s="160"/>
      <c r="F4" s="160"/>
      <c r="G4" s="260"/>
    </row>
    <row r="5" spans="2:11">
      <c r="C5" s="160"/>
      <c r="D5" s="160"/>
      <c r="E5" s="160"/>
      <c r="F5" s="160"/>
      <c r="G5" s="261"/>
      <c r="H5" s="262"/>
      <c r="I5" s="262"/>
      <c r="J5" s="262"/>
      <c r="K5" s="262"/>
    </row>
    <row r="6" spans="2:11">
      <c r="C6" s="263"/>
      <c r="D6" s="264" t="s">
        <v>0</v>
      </c>
      <c r="E6" s="264" t="s">
        <v>1</v>
      </c>
      <c r="F6" s="264" t="s">
        <v>3</v>
      </c>
      <c r="G6" s="160"/>
      <c r="H6" s="262"/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Mombasa!G8</f>
        <v>1.1599999999999999</v>
      </c>
      <c r="H8" s="262" t="s">
        <v>42</v>
      </c>
      <c r="I8" s="262"/>
      <c r="J8" s="262"/>
      <c r="K8" s="262"/>
    </row>
    <row r="9" spans="2:11" ht="15" thickBot="1">
      <c r="C9" s="263" t="s">
        <v>20</v>
      </c>
      <c r="D9" s="195">
        <f>$G$10*$G$9*$G$8</f>
        <v>0</v>
      </c>
      <c r="E9" s="195">
        <f>$G$10*$G$9*$G$8</f>
        <v>0</v>
      </c>
      <c r="F9" s="195">
        <f>$G$10*$G$9*$G$8</f>
        <v>0</v>
      </c>
      <c r="G9" s="303">
        <v>0</v>
      </c>
      <c r="H9" s="262" t="s">
        <v>28</v>
      </c>
      <c r="I9" s="262"/>
      <c r="J9" s="262"/>
      <c r="K9" s="262"/>
    </row>
    <row r="10" spans="2:11" ht="15" thickBot="1">
      <c r="C10" s="263"/>
      <c r="D10" s="274"/>
      <c r="E10" s="274"/>
      <c r="F10" s="274"/>
      <c r="G10" s="304">
        <v>0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195">
        <f>$G$11*G12*$G$8</f>
        <v>0</v>
      </c>
      <c r="E11" s="195">
        <f>$G$11*G12*$G$8</f>
        <v>0</v>
      </c>
      <c r="F11" s="195">
        <f>$G$11*G12*$G$8</f>
        <v>0</v>
      </c>
      <c r="G11" s="305">
        <f>8.14*G14/1000</f>
        <v>0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0</v>
      </c>
      <c r="E13" s="277">
        <f>$G$13*E7</f>
        <v>0</v>
      </c>
      <c r="F13" s="277">
        <f>$G$13*F7</f>
        <v>0</v>
      </c>
      <c r="G13" s="278">
        <v>0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0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Mombasa!D18</f>
        <v>4.2039999999999997</v>
      </c>
      <c r="E17" s="280">
        <f>Mombasa!E18</f>
        <v>4.1739999999999995</v>
      </c>
      <c r="F17" s="280">
        <f>Mombasa!F18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145.79849820066073</v>
      </c>
      <c r="E19" s="282">
        <f>SUM(E7:E18)</f>
        <v>148.24726824540289</v>
      </c>
      <c r="F19" s="282">
        <f>SUM(F7:F18)</f>
        <v>145.67854679553881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Mombasa!D22</f>
        <v>8.19</v>
      </c>
      <c r="E21" s="168">
        <f>Mombasa!E22</f>
        <v>8.19</v>
      </c>
      <c r="F21" s="168">
        <f>Mombasa!F22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0.62360663649487535</v>
      </c>
      <c r="E23" s="283">
        <f t="shared" ref="E23:F23" si="0">$G$23*$G$8</f>
        <v>0.62360663649487535</v>
      </c>
      <c r="F23" s="283">
        <f t="shared" si="0"/>
        <v>0.62360663649487535</v>
      </c>
      <c r="G23" s="284">
        <f>Mombasa!G24</f>
        <v>0.53759192801282363</v>
      </c>
      <c r="H23" s="262" t="s">
        <v>21</v>
      </c>
      <c r="I23" s="262"/>
      <c r="J23" s="262"/>
      <c r="K23" s="262"/>
    </row>
    <row r="24" spans="3:11">
      <c r="C24" s="263"/>
      <c r="D24" s="283"/>
      <c r="E24" s="283"/>
      <c r="F24" s="283"/>
      <c r="G24" s="307"/>
      <c r="H24" s="262"/>
      <c r="I24" s="262"/>
      <c r="J24" s="262"/>
      <c r="K24" s="262"/>
    </row>
    <row r="25" spans="3:11">
      <c r="C25" s="263" t="s">
        <v>20</v>
      </c>
      <c r="D25" s="283">
        <v>0.33</v>
      </c>
      <c r="E25" s="283">
        <v>0.33</v>
      </c>
      <c r="F25" s="283">
        <v>0.33</v>
      </c>
      <c r="G25" s="307"/>
      <c r="H25" s="262" t="s">
        <v>137</v>
      </c>
      <c r="I25" s="262"/>
      <c r="J25" s="262"/>
      <c r="K25" s="262"/>
    </row>
    <row r="26" spans="3:11">
      <c r="C26" s="263"/>
      <c r="D26" s="263"/>
      <c r="E26" s="263"/>
      <c r="F26" s="263"/>
      <c r="G26" s="160"/>
      <c r="H26" s="262"/>
      <c r="I26" s="262"/>
      <c r="J26" s="262"/>
      <c r="K26" s="262"/>
    </row>
    <row r="27" spans="3:11">
      <c r="C27" s="263" t="s">
        <v>20</v>
      </c>
      <c r="D27" s="306">
        <f>D19+D21+D23+D25</f>
        <v>154.94210483715563</v>
      </c>
      <c r="E27" s="306">
        <f>E19+E21+E23+E25</f>
        <v>157.39087488189779</v>
      </c>
      <c r="F27" s="306">
        <f>F19+F21+F23+F25</f>
        <v>154.8221534320337</v>
      </c>
      <c r="G27" s="160"/>
      <c r="H27" s="262" t="s">
        <v>19</v>
      </c>
      <c r="I27" s="262"/>
      <c r="J27" s="262"/>
      <c r="K27" s="262"/>
    </row>
    <row r="28" spans="3:11">
      <c r="C28" s="160"/>
      <c r="D28" s="286"/>
      <c r="E28" s="160"/>
      <c r="F28" s="160"/>
      <c r="G28" s="160"/>
    </row>
    <row r="29" spans="3:11">
      <c r="C29" s="160"/>
      <c r="D29" s="286"/>
      <c r="E29" s="160"/>
      <c r="F29" s="160"/>
      <c r="G29" s="160"/>
    </row>
    <row r="30" spans="3:11">
      <c r="C30" s="160"/>
      <c r="D30" s="286"/>
      <c r="E30" s="160"/>
      <c r="F30" s="160"/>
      <c r="G30" s="160"/>
    </row>
    <row r="31" spans="3:11">
      <c r="C31" s="666"/>
      <c r="D31" s="700"/>
      <c r="E31" s="700"/>
      <c r="F31" s="700"/>
    </row>
    <row r="32" spans="3:11">
      <c r="D32" s="700"/>
      <c r="E32" s="700"/>
      <c r="F32" s="700"/>
    </row>
    <row r="33" spans="4:6">
      <c r="D33" s="700"/>
      <c r="E33" s="700"/>
      <c r="F33" s="700"/>
    </row>
    <row r="35" spans="4:6">
      <c r="E35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45418" r:id="rId4">
          <objectPr defaultSize="0" autoPict="0" r:id="rId5">
            <anchor>
              <from>
                <xdr:col>1</xdr:col>
                <xdr:colOff>88900</xdr:colOff>
                <xdr:row>18</xdr:row>
                <xdr:rowOff>12700</xdr:rowOff>
              </from>
              <to>
                <xdr:col>1</xdr:col>
                <xdr:colOff>552450</xdr:colOff>
                <xdr:row>19</xdr:row>
                <xdr:rowOff>12700</xdr:rowOff>
              </to>
            </anchor>
          </objectPr>
        </oleObject>
      </mc:Choice>
      <mc:Fallback>
        <oleObject progId="Equation.3" shapeId="145418" r:id="rId4"/>
      </mc:Fallback>
    </mc:AlternateContent>
  </oleObjec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0000FF"/>
  </sheetPr>
  <dimension ref="A2:K51"/>
  <sheetViews>
    <sheetView topLeftCell="A31" workbookViewId="0">
      <selection activeCell="C43" sqref="C43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8" width="15.453125" style="159" customWidth="1"/>
    <col min="9" max="9" width="3.26953125" style="159" customWidth="1"/>
    <col min="10" max="10" width="17.26953125" style="159" customWidth="1"/>
    <col min="11" max="16384" width="9.1796875" style="159"/>
  </cols>
  <sheetData>
    <row r="2" spans="1:8" ht="15" thickBot="1"/>
    <row r="3" spans="1:8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8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8" ht="28.5" customHeight="1" thickBot="1">
      <c r="B5" s="593" t="s">
        <v>439</v>
      </c>
      <c r="C5" s="594" t="s">
        <v>431</v>
      </c>
      <c r="D5" s="204" t="s">
        <v>430</v>
      </c>
      <c r="E5" s="594" t="s">
        <v>431</v>
      </c>
      <c r="F5" s="204" t="s">
        <v>430</v>
      </c>
      <c r="G5" s="594" t="s">
        <v>431</v>
      </c>
      <c r="H5" s="204" t="s">
        <v>430</v>
      </c>
    </row>
    <row r="6" spans="1:8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8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8" s="163" customFormat="1">
      <c r="B8" s="601" t="s">
        <v>420</v>
      </c>
      <c r="C8" s="602">
        <f>'PMS SUMMARY'!D44</f>
        <v>0.64584380006463771</v>
      </c>
      <c r="D8" s="603"/>
      <c r="E8" s="602">
        <f>'AGO SUMMARY'!E46</f>
        <v>0.57376440122077432</v>
      </c>
      <c r="F8" s="604"/>
      <c r="G8" s="850">
        <f>'DPK SUMMARY'!D43</f>
        <v>0.74013887912213949</v>
      </c>
      <c r="H8" s="603"/>
    </row>
    <row r="9" spans="1:8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8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8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8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8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8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8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v>0</v>
      </c>
      <c r="H15" s="610"/>
    </row>
    <row r="16" spans="1:8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10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  <c r="J17" s="162"/>
    </row>
    <row r="18" spans="1:10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10">
      <c r="A19" s="605"/>
      <c r="B19" s="614" t="s">
        <v>319</v>
      </c>
      <c r="C19" s="613">
        <f>'Breakdown for PMS, AGO &amp; DPK'!D23</f>
        <v>1.7335007701822511</v>
      </c>
      <c r="D19" s="610"/>
      <c r="E19" s="613">
        <f>'Breakdown for PMS, AGO &amp; DPK'!E23</f>
        <v>1.994329137255715</v>
      </c>
      <c r="F19" s="616"/>
      <c r="G19" s="613">
        <f>'Breakdown for PMS, AGO &amp; DPK'!F23</f>
        <v>2.0134755528419217</v>
      </c>
      <c r="H19" s="610"/>
    </row>
    <row r="20" spans="1:10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10">
      <c r="A21" s="605" t="s">
        <v>403</v>
      </c>
      <c r="B21" s="620" t="s">
        <v>421</v>
      </c>
      <c r="C21" s="618">
        <f>SUM(C$22:C$23)</f>
        <v>0.70445023980428223</v>
      </c>
      <c r="D21" s="573"/>
      <c r="E21" s="618">
        <f>SUM(E$22:E$23)</f>
        <v>0.43092702366521302</v>
      </c>
      <c r="F21" s="621"/>
      <c r="G21" s="618">
        <f>SUM(G$22:G$23)</f>
        <v>0.42324390866063455</v>
      </c>
      <c r="H21" s="573"/>
    </row>
    <row r="22" spans="1:10">
      <c r="A22" s="605"/>
      <c r="B22" s="614" t="s">
        <v>455</v>
      </c>
      <c r="C22" s="613">
        <f>SUM(C$24:C$25)</f>
        <v>0</v>
      </c>
      <c r="D22" s="573"/>
      <c r="E22" s="613">
        <f>SUM(E$24:E$25)</f>
        <v>0</v>
      </c>
      <c r="F22" s="621"/>
      <c r="G22" s="613">
        <f>SUM(G$24:G$25)</f>
        <v>0</v>
      </c>
      <c r="H22" s="573"/>
    </row>
    <row r="23" spans="1:10">
      <c r="A23" s="605"/>
      <c r="B23" s="614" t="s">
        <v>456</v>
      </c>
      <c r="C23" s="613">
        <f>C$26+C$27</f>
        <v>0.70445023980428223</v>
      </c>
      <c r="D23" s="573"/>
      <c r="E23" s="613">
        <f>E$26+E$27</f>
        <v>0.43092702366521302</v>
      </c>
      <c r="F23" s="621"/>
      <c r="G23" s="613">
        <f>G$26+G$27</f>
        <v>0.42324390866063455</v>
      </c>
      <c r="H23" s="573"/>
    </row>
    <row r="24" spans="1:10">
      <c r="A24" s="605"/>
      <c r="B24" s="622" t="s">
        <v>461</v>
      </c>
      <c r="C24" s="602">
        <f>'Likoni Mainland'!D9</f>
        <v>0</v>
      </c>
      <c r="D24" s="623"/>
      <c r="E24" s="602">
        <f>'Likoni Mainland'!E9</f>
        <v>0</v>
      </c>
      <c r="F24" s="624"/>
      <c r="G24" s="602">
        <f>'Likoni Mainland'!F9</f>
        <v>0</v>
      </c>
      <c r="H24" s="573"/>
    </row>
    <row r="25" spans="1:10">
      <c r="A25" s="605"/>
      <c r="B25" s="622" t="s">
        <v>462</v>
      </c>
      <c r="C25" s="602">
        <f>'Likoni Mainland'!D11</f>
        <v>0</v>
      </c>
      <c r="D25" s="623"/>
      <c r="E25" s="602">
        <f>'Likoni Mainland'!E11</f>
        <v>0</v>
      </c>
      <c r="F25" s="624"/>
      <c r="G25" s="602">
        <f>'Likoni Mainland'!F11</f>
        <v>0</v>
      </c>
      <c r="H25" s="573"/>
    </row>
    <row r="26" spans="1:10">
      <c r="A26" s="605"/>
      <c r="B26" s="622" t="s">
        <v>334</v>
      </c>
      <c r="C26" s="602">
        <f>'Likoni Mainland'!D13</f>
        <v>0</v>
      </c>
      <c r="D26" s="623"/>
      <c r="E26" s="602">
        <f>'Likoni Mainland'!E13</f>
        <v>0</v>
      </c>
      <c r="F26" s="624"/>
      <c r="G26" s="602">
        <f>'Likoni Mainland'!F13</f>
        <v>0</v>
      </c>
      <c r="H26" s="573"/>
    </row>
    <row r="27" spans="1:10">
      <c r="A27" s="605"/>
      <c r="B27" s="622" t="s">
        <v>332</v>
      </c>
      <c r="C27" s="602">
        <f>'Likoni Mainland'!D15</f>
        <v>0.70445023980428223</v>
      </c>
      <c r="D27" s="623"/>
      <c r="E27" s="602">
        <f>'Likoni Mainland'!E15</f>
        <v>0.43092702366521302</v>
      </c>
      <c r="F27" s="624"/>
      <c r="G27" s="602">
        <f>'Likoni Mainland'!F15</f>
        <v>0.42324390866063455</v>
      </c>
      <c r="H27" s="573"/>
    </row>
    <row r="28" spans="1:10">
      <c r="A28" s="605" t="s">
        <v>404</v>
      </c>
      <c r="B28" s="620" t="s">
        <v>427</v>
      </c>
      <c r="C28" s="618">
        <f>'MOMBASA_PRICE VAT Inclusive'!$C$28</f>
        <v>4.2039999999999997</v>
      </c>
      <c r="D28" s="618"/>
      <c r="E28" s="618">
        <f>'MOMBASA_PRICE VAT Inclusive'!$E$28</f>
        <v>4.1739999999999995</v>
      </c>
      <c r="F28" s="618"/>
      <c r="G28" s="618">
        <f>'MOMBASA_PRICE VAT Inclusive'!$G$28</f>
        <v>4.1739999999999995</v>
      </c>
      <c r="H28" s="573"/>
    </row>
    <row r="29" spans="1:10">
      <c r="A29" s="605"/>
      <c r="B29" s="620" t="s">
        <v>440</v>
      </c>
      <c r="C29" s="618">
        <f>C$9+C$20+C$22+C$23+C$28</f>
        <v>145.6947613997495</v>
      </c>
      <c r="D29" s="625"/>
      <c r="E29" s="626">
        <f>E$9+E$20+E$22+E$23+E$28</f>
        <v>148.15515254759296</v>
      </c>
      <c r="F29" s="625"/>
      <c r="G29" s="618">
        <f>G$9+G$20+G$22+G$23+G$28</f>
        <v>145.55983679661824</v>
      </c>
      <c r="H29" s="625"/>
    </row>
    <row r="30" spans="1:10">
      <c r="A30" s="605"/>
      <c r="B30" s="494" t="s">
        <v>444</v>
      </c>
      <c r="C30" s="606"/>
      <c r="D30" s="627" t="str">
        <f>CONCATENATE("+ ",ROUND((C$29*0.08),2))</f>
        <v>+ 11.66</v>
      </c>
      <c r="E30" s="628"/>
      <c r="F30" s="627" t="str">
        <f>CONCATENATE("+ ",ROUND((E$29*0.08),2))</f>
        <v>+ 11.85</v>
      </c>
      <c r="G30" s="606"/>
      <c r="H30" s="627" t="str">
        <f>CONCATENATE("+ ",ROUND((G$29*0.08),2))</f>
        <v>+ 11.64</v>
      </c>
    </row>
    <row r="31" spans="1:10">
      <c r="A31" s="605"/>
      <c r="B31" s="620" t="s">
        <v>436</v>
      </c>
      <c r="C31" s="606">
        <f>C$9+C$20+C$21+C$28</f>
        <v>145.6947613997495</v>
      </c>
      <c r="D31" s="629"/>
      <c r="E31" s="628">
        <f>E$9+E$20+E$21+E$28</f>
        <v>148.15515254759296</v>
      </c>
      <c r="F31" s="629"/>
      <c r="G31" s="606">
        <f>G$9+G$20+G$21+G$28</f>
        <v>145.55983679661824</v>
      </c>
      <c r="H31" s="629"/>
    </row>
    <row r="32" spans="1:10" ht="15" thickBot="1">
      <c r="A32" s="605"/>
      <c r="B32" s="630" t="s">
        <v>448</v>
      </c>
      <c r="C32" s="631" t="str">
        <f>D30</f>
        <v>+ 11.66</v>
      </c>
      <c r="D32" s="632"/>
      <c r="E32" s="631" t="str">
        <f>F30</f>
        <v>+ 11.85</v>
      </c>
      <c r="F32" s="632"/>
      <c r="G32" s="631" t="str">
        <f>H30</f>
        <v>+ 11.64</v>
      </c>
      <c r="H32" s="632"/>
    </row>
    <row r="33" spans="1:11" ht="15" thickBot="1">
      <c r="A33" s="605"/>
      <c r="B33" s="633" t="s">
        <v>418</v>
      </c>
      <c r="C33" s="634">
        <f>C31+C32</f>
        <v>157.35476139974949</v>
      </c>
      <c r="D33" s="634">
        <f>+D10+D30</f>
        <v>4.4290649032433258</v>
      </c>
      <c r="E33" s="635">
        <f>E31+E32</f>
        <v>160.00515254759296</v>
      </c>
      <c r="F33" s="634">
        <f>F10+F30</f>
        <v>3.6090574521374865</v>
      </c>
      <c r="G33" s="634">
        <f>G31+G32</f>
        <v>157.19983679661823</v>
      </c>
      <c r="H33" s="636">
        <f>H10+H30</f>
        <v>3.2077517448881281</v>
      </c>
      <c r="K33" s="162"/>
    </row>
    <row r="34" spans="1:11" ht="15" thickBot="1"/>
    <row r="35" spans="1:11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11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11">
      <c r="A37" s="605" t="s">
        <v>428</v>
      </c>
      <c r="B37" s="503" t="s">
        <v>422</v>
      </c>
      <c r="C37" s="236">
        <f>C33</f>
        <v>157.35476139974949</v>
      </c>
      <c r="D37" s="573"/>
      <c r="E37" s="236">
        <f>E33</f>
        <v>160.00515254759296</v>
      </c>
      <c r="F37" s="573"/>
      <c r="G37" s="236">
        <f>G33</f>
        <v>157.19983679661823</v>
      </c>
      <c r="H37" s="629"/>
    </row>
    <row r="38" spans="1:11">
      <c r="A38" s="605"/>
      <c r="B38" s="637" t="s">
        <v>425</v>
      </c>
      <c r="C38" s="638"/>
      <c r="D38" s="609">
        <f>-C32</f>
        <v>-11.66</v>
      </c>
      <c r="E38" s="639"/>
      <c r="F38" s="609">
        <f>-E32</f>
        <v>-11.85</v>
      </c>
      <c r="G38" s="638"/>
      <c r="H38" s="609">
        <f>-G32</f>
        <v>-11.64</v>
      </c>
    </row>
    <row r="39" spans="1:11">
      <c r="A39" s="605" t="s">
        <v>429</v>
      </c>
      <c r="B39" s="503" t="s">
        <v>649</v>
      </c>
      <c r="C39" s="613"/>
      <c r="D39" s="943"/>
      <c r="E39" s="879"/>
      <c r="F39" s="943"/>
      <c r="G39" s="613"/>
      <c r="H39" s="943"/>
    </row>
    <row r="40" spans="1:11">
      <c r="A40" s="605"/>
      <c r="B40" s="948" t="s">
        <v>645</v>
      </c>
      <c r="C40" s="613">
        <f>'Likoni Mainland'!G23</f>
        <v>0.53759192801282363</v>
      </c>
      <c r="D40" s="943"/>
      <c r="E40" s="880">
        <f>C40</f>
        <v>0.53759192801282363</v>
      </c>
      <c r="F40" s="943"/>
      <c r="G40" s="613">
        <f>E40</f>
        <v>0.53759192801282363</v>
      </c>
      <c r="H40" s="943"/>
    </row>
    <row r="41" spans="1:11">
      <c r="A41" s="605"/>
      <c r="B41" s="948" t="s">
        <v>463</v>
      </c>
      <c r="C41" s="613">
        <f>'Likoni Mainland'!D25</f>
        <v>0.33</v>
      </c>
      <c r="D41" s="943"/>
      <c r="E41" s="880">
        <f>C41</f>
        <v>0.33</v>
      </c>
      <c r="F41" s="943"/>
      <c r="G41" s="613">
        <f>E41</f>
        <v>0.33</v>
      </c>
      <c r="H41" s="943"/>
    </row>
    <row r="42" spans="1:11" s="392" customFormat="1">
      <c r="A42" s="605"/>
      <c r="B42" s="640" t="s">
        <v>647</v>
      </c>
      <c r="C42" s="236">
        <f>C40+C41</f>
        <v>0.8675919280128237</v>
      </c>
      <c r="D42" s="573"/>
      <c r="E42" s="236">
        <f>E40+E41</f>
        <v>0.8675919280128237</v>
      </c>
      <c r="F42" s="573"/>
      <c r="G42" s="236">
        <f>G40+G41</f>
        <v>0.8675919280128237</v>
      </c>
      <c r="H42" s="944"/>
    </row>
    <row r="43" spans="1:11">
      <c r="A43" s="605" t="s">
        <v>648</v>
      </c>
      <c r="B43" s="503" t="s">
        <v>426</v>
      </c>
      <c r="C43" s="236">
        <f>'MOMBASA_PRICE VAT Inclusive'!C42</f>
        <v>8.19</v>
      </c>
      <c r="D43" s="573"/>
      <c r="E43" s="236">
        <f>'MOMBASA_PRICE VAT Inclusive'!E42</f>
        <v>8.19</v>
      </c>
      <c r="F43" s="573"/>
      <c r="G43" s="236">
        <f>'MOMBASA_PRICE VAT Inclusive'!G42</f>
        <v>8.19</v>
      </c>
      <c r="H43" s="629"/>
    </row>
    <row r="44" spans="1:11">
      <c r="B44" s="620" t="s">
        <v>447</v>
      </c>
      <c r="C44" s="613">
        <f>C$37+C$43+C$42</f>
        <v>166.4123533277623</v>
      </c>
      <c r="D44" s="610"/>
      <c r="E44" s="613">
        <f>E$37+E$43+E$42</f>
        <v>169.06274447560577</v>
      </c>
      <c r="F44" s="610"/>
      <c r="G44" s="236">
        <f>G$37+G$43+G$42</f>
        <v>166.25742872463104</v>
      </c>
      <c r="H44" s="573"/>
    </row>
    <row r="45" spans="1:11">
      <c r="B45" s="640" t="s">
        <v>458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11">
      <c r="B46" s="643" t="s">
        <v>457</v>
      </c>
      <c r="C46" s="641">
        <v>0</v>
      </c>
      <c r="D46" s="610"/>
      <c r="E46" s="641">
        <v>0</v>
      </c>
      <c r="F46" s="610"/>
      <c r="G46" s="642">
        <v>0</v>
      </c>
      <c r="H46" s="573"/>
    </row>
    <row r="47" spans="1:11">
      <c r="B47" s="620" t="s">
        <v>432</v>
      </c>
      <c r="C47" s="641">
        <f>C$44-C45-C46+D$38</f>
        <v>154.75235332776231</v>
      </c>
      <c r="D47" s="641"/>
      <c r="E47" s="641">
        <f>E$44-E45-E46+F$38</f>
        <v>157.21274447560577</v>
      </c>
      <c r="F47" s="641"/>
      <c r="G47" s="641">
        <f>G$44-G45-G46+H$38</f>
        <v>154.61742872463105</v>
      </c>
      <c r="H47" s="573"/>
    </row>
    <row r="48" spans="1:11">
      <c r="B48" s="503" t="s">
        <v>445</v>
      </c>
      <c r="C48" s="644"/>
      <c r="D48" s="627" t="str">
        <f>CONCATENATE("+ ",ROUND((C$47*0.08),2))</f>
        <v>+ 12.38</v>
      </c>
      <c r="E48" s="644"/>
      <c r="F48" s="627" t="str">
        <f>CONCATENATE("+ ",ROUND((E$47*0.08),2))</f>
        <v>+ 12.58</v>
      </c>
      <c r="G48" s="645"/>
      <c r="H48" s="627" t="str">
        <f>CONCATENATE("+ ",ROUND((G$47*0.08),2))</f>
        <v>+ 12.37</v>
      </c>
    </row>
    <row r="49" spans="2:8" ht="15" thickBot="1">
      <c r="B49" s="646" t="s">
        <v>449</v>
      </c>
      <c r="C49" s="631" t="str">
        <f>D48</f>
        <v>+ 12.38</v>
      </c>
      <c r="D49" s="632"/>
      <c r="E49" s="631" t="str">
        <f>F48</f>
        <v>+ 12.58</v>
      </c>
      <c r="F49" s="632"/>
      <c r="G49" s="631" t="str">
        <f>H48</f>
        <v>+ 12.37</v>
      </c>
      <c r="H49" s="632"/>
    </row>
    <row r="50" spans="2:8" s="392" customFormat="1" ht="15" thickBot="1">
      <c r="B50" s="647" t="s">
        <v>452</v>
      </c>
      <c r="C50" s="648">
        <f>C$47+C$49+C$45+C$46</f>
        <v>167.1323533277623</v>
      </c>
      <c r="D50" s="701">
        <f>D38+D48</f>
        <v>0.72000000000000064</v>
      </c>
      <c r="E50" s="648">
        <f>E$47+E$49+E$45+E$46</f>
        <v>169.79274447560579</v>
      </c>
      <c r="F50" s="701">
        <f>F38+F48</f>
        <v>0.73000000000000043</v>
      </c>
      <c r="G50" s="650">
        <f>G$47+G$49+G$45+G$46</f>
        <v>166.98742872463106</v>
      </c>
      <c r="H50" s="651">
        <f>H38+H48</f>
        <v>0.72999999999999865</v>
      </c>
    </row>
    <row r="51" spans="2:8" s="392" customFormat="1">
      <c r="B51" s="652"/>
      <c r="C51" s="653"/>
      <c r="D51" s="652"/>
      <c r="E51" s="653"/>
      <c r="F51" s="652"/>
      <c r="G51" s="653"/>
      <c r="H51" s="653"/>
    </row>
  </sheetData>
  <mergeCells count="8">
    <mergeCell ref="B35:H35"/>
    <mergeCell ref="C36:D36"/>
    <mergeCell ref="E36:F36"/>
    <mergeCell ref="G36:H36"/>
    <mergeCell ref="B3:H3"/>
    <mergeCell ref="C4:D4"/>
    <mergeCell ref="E4:F4"/>
    <mergeCell ref="G4:H4"/>
  </mergeCells>
  <pageMargins left="0.7" right="0.7" top="0.75" bottom="0.75" header="0.3" footer="0.3"/>
  <pageSetup orientation="portrait" r:id="rId1"/>
  <ignoredErrors>
    <ignoredError sqref="D33:G33" formula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rgb="FF00CC00"/>
  </sheetPr>
  <dimension ref="B2:K33"/>
  <sheetViews>
    <sheetView topLeftCell="A5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.1796875" style="159" customWidth="1"/>
    <col min="9" max="16384" width="9.1796875" style="159"/>
  </cols>
  <sheetData>
    <row r="2" spans="2:11">
      <c r="C2" s="258" t="s">
        <v>180</v>
      </c>
      <c r="G2" s="160"/>
    </row>
    <row r="3" spans="2:11">
      <c r="C3" s="258" t="s">
        <v>27</v>
      </c>
      <c r="G3" s="160"/>
    </row>
    <row r="4" spans="2:11">
      <c r="C4" s="259" t="str">
        <f>'Likoni Mainland'!C4</f>
        <v>March 15 - April 14, 2023</v>
      </c>
      <c r="D4" s="258"/>
      <c r="E4" s="160"/>
      <c r="F4" s="160"/>
      <c r="G4" s="260"/>
    </row>
    <row r="5" spans="2:11">
      <c r="C5" s="160"/>
      <c r="D5" s="160"/>
      <c r="E5" s="160"/>
      <c r="F5" s="160"/>
      <c r="G5" s="261"/>
      <c r="H5" s="262"/>
      <c r="I5" s="262"/>
      <c r="J5" s="262"/>
      <c r="K5" s="262"/>
    </row>
    <row r="6" spans="2:11">
      <c r="C6" s="263"/>
      <c r="D6" s="264" t="s">
        <v>0</v>
      </c>
      <c r="E6" s="264" t="s">
        <v>1</v>
      </c>
      <c r="F6" s="264" t="s">
        <v>3</v>
      </c>
      <c r="G6" s="160"/>
      <c r="H6" s="262"/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Mombasa!G8</f>
        <v>1.1599999999999999</v>
      </c>
      <c r="H8" s="262" t="s">
        <v>42</v>
      </c>
      <c r="I8" s="262"/>
      <c r="J8" s="262"/>
      <c r="K8" s="262"/>
    </row>
    <row r="9" spans="2:11" ht="15" thickBot="1">
      <c r="C9" s="263" t="s">
        <v>20</v>
      </c>
      <c r="D9" s="195">
        <f>$G$10*$G$9*$G$8</f>
        <v>0</v>
      </c>
      <c r="E9" s="195">
        <f>$G$10*$G$9*$G$8</f>
        <v>0</v>
      </c>
      <c r="F9" s="195">
        <f>$G$10*$G$9*$G$8</f>
        <v>0</v>
      </c>
      <c r="G9" s="303">
        <v>0</v>
      </c>
      <c r="H9" s="262" t="s">
        <v>28</v>
      </c>
      <c r="I9" s="262"/>
      <c r="J9" s="262"/>
      <c r="K9" s="262"/>
    </row>
    <row r="10" spans="2:11" ht="15" thickBot="1">
      <c r="C10" s="263"/>
      <c r="D10" s="274"/>
      <c r="E10" s="274"/>
      <c r="F10" s="274"/>
      <c r="G10" s="304">
        <v>0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195">
        <f>$G$11*G12*$G$8</f>
        <v>0</v>
      </c>
      <c r="E11" s="195">
        <f>$G$11*G12*$G$8</f>
        <v>0</v>
      </c>
      <c r="F11" s="195">
        <f>$G$11*G12*$G$8</f>
        <v>0</v>
      </c>
      <c r="G11" s="305">
        <f>8.14*G14/1000</f>
        <v>0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0</v>
      </c>
      <c r="E13" s="277">
        <f>$G$13*E7</f>
        <v>0</v>
      </c>
      <c r="F13" s="277">
        <f>$G$13*F7</f>
        <v>0</v>
      </c>
      <c r="G13" s="278">
        <v>0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0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Mombasa!D18</f>
        <v>4.2039999999999997</v>
      </c>
      <c r="E17" s="280">
        <f>Mombasa!E18</f>
        <v>4.1739999999999995</v>
      </c>
      <c r="F17" s="280">
        <f>Mombasa!F18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145.79849820066073</v>
      </c>
      <c r="E19" s="282">
        <f>SUM(E7:E18)</f>
        <v>148.24726824540289</v>
      </c>
      <c r="F19" s="282">
        <f>SUM(F7:F18)</f>
        <v>145.67854679553881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Mombasa!D22</f>
        <v>8.19</v>
      </c>
      <c r="E21" s="168">
        <f>Mombasa!E22</f>
        <v>8.19</v>
      </c>
      <c r="F21" s="168">
        <f>Mombasa!F22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1.3891159545769578</v>
      </c>
      <c r="E23" s="283">
        <f t="shared" ref="E23:F23" si="0">$G$23*$G$8</f>
        <v>1.3891159545769578</v>
      </c>
      <c r="F23" s="283">
        <f t="shared" si="0"/>
        <v>1.3891159545769578</v>
      </c>
      <c r="G23" s="284">
        <f>'Delivery &gt;40km-Sept 2013'!E24*I23/1000</f>
        <v>1.1975137539456533</v>
      </c>
      <c r="H23" s="262" t="s">
        <v>126</v>
      </c>
      <c r="I23" s="259">
        <v>100</v>
      </c>
      <c r="J23" s="262"/>
      <c r="K23" s="262"/>
    </row>
    <row r="24" spans="3:11">
      <c r="C24" s="263"/>
      <c r="D24" s="283"/>
      <c r="E24" s="283"/>
      <c r="F24" s="283"/>
      <c r="G24" s="307"/>
      <c r="H24" s="262"/>
      <c r="I24" s="259"/>
      <c r="J24" s="262"/>
      <c r="K24" s="262"/>
    </row>
    <row r="25" spans="3:11">
      <c r="C25" s="263" t="s">
        <v>20</v>
      </c>
      <c r="D25" s="283">
        <v>0.33</v>
      </c>
      <c r="E25" s="283">
        <v>0.33</v>
      </c>
      <c r="F25" s="283">
        <v>0.33</v>
      </c>
      <c r="G25" s="307"/>
      <c r="H25" s="262" t="s">
        <v>137</v>
      </c>
      <c r="I25" s="259"/>
      <c r="J25" s="262"/>
      <c r="K25" s="262"/>
    </row>
    <row r="26" spans="3:11">
      <c r="C26" s="263"/>
      <c r="D26" s="263"/>
      <c r="E26" s="263"/>
      <c r="F26" s="263"/>
      <c r="G26" s="160"/>
      <c r="H26" s="262"/>
      <c r="I26" s="262"/>
      <c r="J26" s="262"/>
      <c r="K26" s="262"/>
    </row>
    <row r="27" spans="3:11">
      <c r="C27" s="263" t="s">
        <v>20</v>
      </c>
      <c r="D27" s="306">
        <f>D19+D21+D23+D25</f>
        <v>155.70761415523771</v>
      </c>
      <c r="E27" s="306">
        <f>E19+E21+E23+E25</f>
        <v>158.15638419997987</v>
      </c>
      <c r="F27" s="306">
        <f>F19+F21+F23+F25</f>
        <v>155.58766275011578</v>
      </c>
      <c r="G27" s="160"/>
      <c r="H27" s="262" t="s">
        <v>19</v>
      </c>
      <c r="I27" s="262"/>
      <c r="J27" s="262"/>
      <c r="K27" s="262"/>
    </row>
    <row r="28" spans="3:11">
      <c r="C28" s="160"/>
      <c r="D28" s="286"/>
      <c r="E28" s="160"/>
      <c r="F28" s="160"/>
      <c r="G28" s="160"/>
    </row>
    <row r="29" spans="3:11">
      <c r="C29" s="666"/>
      <c r="D29" s="700"/>
      <c r="E29" s="700"/>
      <c r="F29" s="700"/>
    </row>
    <row r="30" spans="3:11">
      <c r="D30" s="700"/>
      <c r="E30" s="700"/>
      <c r="F30" s="700"/>
    </row>
    <row r="31" spans="3:11">
      <c r="D31" s="700"/>
      <c r="E31" s="700"/>
      <c r="F31" s="700"/>
    </row>
    <row r="33" spans="5:5">
      <c r="E33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311306" r:id="rId4">
          <objectPr defaultSize="0" autoPict="0" r:id="rId5">
            <anchor>
              <from>
                <xdr:col>1</xdr:col>
                <xdr:colOff>57150</xdr:colOff>
                <xdr:row>18</xdr:row>
                <xdr:rowOff>171450</xdr:rowOff>
              </from>
              <to>
                <xdr:col>1</xdr:col>
                <xdr:colOff>527050</xdr:colOff>
                <xdr:row>19</xdr:row>
                <xdr:rowOff>171450</xdr:rowOff>
              </to>
            </anchor>
          </objectPr>
        </oleObject>
      </mc:Choice>
      <mc:Fallback>
        <oleObject progId="Equation.3" shapeId="311306" r:id="rId4"/>
      </mc:Fallback>
    </mc:AlternateContent>
  </oleObjec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rgb="FF0000FF"/>
  </sheetPr>
  <dimension ref="A2:K51"/>
  <sheetViews>
    <sheetView topLeftCell="A31" workbookViewId="0">
      <selection activeCell="E43" sqref="E43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8" width="15.453125" style="159" customWidth="1"/>
    <col min="9" max="9" width="3.26953125" style="159" customWidth="1"/>
    <col min="10" max="10" width="17.26953125" style="159" customWidth="1"/>
    <col min="11" max="16384" width="9.1796875" style="159"/>
  </cols>
  <sheetData>
    <row r="2" spans="1:8" ht="15" thickBot="1"/>
    <row r="3" spans="1:8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8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8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8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8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8" s="163" customFormat="1">
      <c r="B8" s="601" t="s">
        <v>420</v>
      </c>
      <c r="C8" s="602">
        <f>'PMS SUMMARY'!D44</f>
        <v>0.64584380006463771</v>
      </c>
      <c r="D8" s="603"/>
      <c r="E8" s="602">
        <f>'AGO SUMMARY'!E46</f>
        <v>0.57376440122077432</v>
      </c>
      <c r="F8" s="604"/>
      <c r="G8" s="850">
        <f>'DPK SUMMARY'!D43</f>
        <v>0.74013887912213949</v>
      </c>
      <c r="H8" s="603"/>
    </row>
    <row r="9" spans="1:8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8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8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8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8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8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8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v>0</v>
      </c>
      <c r="H15" s="610"/>
    </row>
    <row r="16" spans="1:8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10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  <c r="J17" s="162"/>
    </row>
    <row r="18" spans="1:10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10">
      <c r="A19" s="605"/>
      <c r="B19" s="614" t="s">
        <v>319</v>
      </c>
      <c r="C19" s="613">
        <f>'Breakdown for PMS, AGO &amp; DPK'!D23</f>
        <v>1.7335007701822511</v>
      </c>
      <c r="D19" s="610"/>
      <c r="E19" s="613">
        <f>'Breakdown for PMS, AGO &amp; DPK'!E23</f>
        <v>1.994329137255715</v>
      </c>
      <c r="F19" s="616"/>
      <c r="G19" s="613">
        <f>'Breakdown for PMS, AGO &amp; DPK'!F23</f>
        <v>2.0134755528419217</v>
      </c>
      <c r="H19" s="610"/>
    </row>
    <row r="20" spans="1:10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10">
      <c r="A21" s="605" t="s">
        <v>403</v>
      </c>
      <c r="B21" s="620" t="s">
        <v>421</v>
      </c>
      <c r="C21" s="618">
        <f>SUM(C$22:C$23)</f>
        <v>0.70445023980428223</v>
      </c>
      <c r="D21" s="573"/>
      <c r="E21" s="618">
        <f>SUM(E$22:E$23)</f>
        <v>0.43092702366521302</v>
      </c>
      <c r="F21" s="621"/>
      <c r="G21" s="618">
        <f>SUM(G$22:G$23)</f>
        <v>0.42324390866063455</v>
      </c>
      <c r="H21" s="573"/>
    </row>
    <row r="22" spans="1:10">
      <c r="A22" s="605"/>
      <c r="B22" s="614" t="s">
        <v>455</v>
      </c>
      <c r="C22" s="613">
        <f>SUM(C$24:C$25)</f>
        <v>0</v>
      </c>
      <c r="D22" s="573"/>
      <c r="E22" s="613">
        <f>SUM(E$24:E$25)</f>
        <v>0</v>
      </c>
      <c r="F22" s="621"/>
      <c r="G22" s="613">
        <f>SUM(G$24:G$25)</f>
        <v>0</v>
      </c>
      <c r="H22" s="573"/>
    </row>
    <row r="23" spans="1:10">
      <c r="A23" s="605"/>
      <c r="B23" s="614" t="s">
        <v>456</v>
      </c>
      <c r="C23" s="613">
        <f>C$26+C$27</f>
        <v>0.70445023980428223</v>
      </c>
      <c r="D23" s="573"/>
      <c r="E23" s="613">
        <f>E$26+E$27</f>
        <v>0.43092702366521302</v>
      </c>
      <c r="F23" s="621"/>
      <c r="G23" s="613">
        <f>G$26+G$27</f>
        <v>0.42324390866063455</v>
      </c>
      <c r="H23" s="573"/>
    </row>
    <row r="24" spans="1:10">
      <c r="A24" s="605"/>
      <c r="B24" s="622" t="s">
        <v>461</v>
      </c>
      <c r="C24" s="602">
        <f>'Likoni Mainland'!D9</f>
        <v>0</v>
      </c>
      <c r="D24" s="623"/>
      <c r="E24" s="602">
        <f>'Likoni Mainland'!E9</f>
        <v>0</v>
      </c>
      <c r="F24" s="624"/>
      <c r="G24" s="602">
        <f>'Likoni Mainland'!F9</f>
        <v>0</v>
      </c>
      <c r="H24" s="573"/>
    </row>
    <row r="25" spans="1:10">
      <c r="A25" s="605"/>
      <c r="B25" s="622" t="s">
        <v>462</v>
      </c>
      <c r="C25" s="602">
        <f>'Likoni Mainland'!D11</f>
        <v>0</v>
      </c>
      <c r="D25" s="623"/>
      <c r="E25" s="602">
        <f>'Likoni Mainland'!E11</f>
        <v>0</v>
      </c>
      <c r="F25" s="624"/>
      <c r="G25" s="602">
        <f>'Likoni Mainland'!F11</f>
        <v>0</v>
      </c>
      <c r="H25" s="573"/>
    </row>
    <row r="26" spans="1:10">
      <c r="A26" s="605"/>
      <c r="B26" s="622" t="s">
        <v>334</v>
      </c>
      <c r="C26" s="602">
        <f>'Likoni Mainland'!D13</f>
        <v>0</v>
      </c>
      <c r="D26" s="623"/>
      <c r="E26" s="602">
        <f>'Likoni Mainland'!E13</f>
        <v>0</v>
      </c>
      <c r="F26" s="624"/>
      <c r="G26" s="602">
        <f>'Likoni Mainland'!F13</f>
        <v>0</v>
      </c>
      <c r="H26" s="573"/>
    </row>
    <row r="27" spans="1:10">
      <c r="A27" s="605"/>
      <c r="B27" s="622" t="s">
        <v>332</v>
      </c>
      <c r="C27" s="602">
        <f>'Likoni Mainland'!D15</f>
        <v>0.70445023980428223</v>
      </c>
      <c r="D27" s="623"/>
      <c r="E27" s="602">
        <f>'Likoni Mainland'!E15</f>
        <v>0.43092702366521302</v>
      </c>
      <c r="F27" s="624"/>
      <c r="G27" s="602">
        <f>'Likoni Mainland'!F15</f>
        <v>0.42324390866063455</v>
      </c>
      <c r="H27" s="573"/>
    </row>
    <row r="28" spans="1:10">
      <c r="A28" s="605" t="s">
        <v>404</v>
      </c>
      <c r="B28" s="620" t="s">
        <v>427</v>
      </c>
      <c r="C28" s="618">
        <f>'MOMBASA_PRICE VAT Inclusive'!$C$28</f>
        <v>4.2039999999999997</v>
      </c>
      <c r="D28" s="618"/>
      <c r="E28" s="618">
        <f>'MOMBASA_PRICE VAT Inclusive'!$E$28</f>
        <v>4.1739999999999995</v>
      </c>
      <c r="F28" s="618"/>
      <c r="G28" s="618">
        <f>'MOMBASA_PRICE VAT Inclusive'!$G$28</f>
        <v>4.1739999999999995</v>
      </c>
      <c r="H28" s="573"/>
    </row>
    <row r="29" spans="1:10">
      <c r="A29" s="605"/>
      <c r="B29" s="620" t="s">
        <v>440</v>
      </c>
      <c r="C29" s="618">
        <f>C$9+C$20+C$22+C$23+C$28</f>
        <v>145.6947613997495</v>
      </c>
      <c r="D29" s="625"/>
      <c r="E29" s="626">
        <f>E$9+E$20+E$22+E$23+E$28</f>
        <v>148.15515254759296</v>
      </c>
      <c r="F29" s="625"/>
      <c r="G29" s="618">
        <f>G$9+G$20+G$22+G$23+G$28</f>
        <v>145.55983679661824</v>
      </c>
      <c r="H29" s="625"/>
    </row>
    <row r="30" spans="1:10">
      <c r="A30" s="605"/>
      <c r="B30" s="494" t="s">
        <v>444</v>
      </c>
      <c r="C30" s="606"/>
      <c r="D30" s="627" t="str">
        <f>CONCATENATE("+ ",ROUND((C$29*0.08),2))</f>
        <v>+ 11.66</v>
      </c>
      <c r="E30" s="628"/>
      <c r="F30" s="627" t="str">
        <f>CONCATENATE("+ ",ROUND((E$29*0.08),2))</f>
        <v>+ 11.85</v>
      </c>
      <c r="G30" s="606"/>
      <c r="H30" s="627" t="str">
        <f>CONCATENATE("+ ",ROUND((G$29*0.08),2))</f>
        <v>+ 11.64</v>
      </c>
    </row>
    <row r="31" spans="1:10">
      <c r="A31" s="605"/>
      <c r="B31" s="620" t="s">
        <v>436</v>
      </c>
      <c r="C31" s="606">
        <f>C$9+C$20+C$21+C$28</f>
        <v>145.6947613997495</v>
      </c>
      <c r="D31" s="629"/>
      <c r="E31" s="628">
        <f>E$9+E$20+E$21+E$28</f>
        <v>148.15515254759296</v>
      </c>
      <c r="F31" s="629"/>
      <c r="G31" s="606">
        <f>G$9+G$20+G$21+G$28</f>
        <v>145.55983679661824</v>
      </c>
      <c r="H31" s="629"/>
    </row>
    <row r="32" spans="1:10" ht="15" thickBot="1">
      <c r="A32" s="605"/>
      <c r="B32" s="630" t="s">
        <v>448</v>
      </c>
      <c r="C32" s="631" t="str">
        <f>D30</f>
        <v>+ 11.66</v>
      </c>
      <c r="D32" s="632"/>
      <c r="E32" s="631" t="str">
        <f>F30</f>
        <v>+ 11.85</v>
      </c>
      <c r="F32" s="632"/>
      <c r="G32" s="631" t="str">
        <f>H30</f>
        <v>+ 11.64</v>
      </c>
      <c r="H32" s="632"/>
    </row>
    <row r="33" spans="1:11" ht="15" thickBot="1">
      <c r="A33" s="605"/>
      <c r="B33" s="633" t="s">
        <v>418</v>
      </c>
      <c r="C33" s="634">
        <f>C31+C32</f>
        <v>157.35476139974949</v>
      </c>
      <c r="D33" s="634">
        <f>+D10+D30</f>
        <v>4.4290649032433258</v>
      </c>
      <c r="E33" s="635">
        <f>E31+E32</f>
        <v>160.00515254759296</v>
      </c>
      <c r="F33" s="634">
        <f>F10+F30</f>
        <v>3.6090574521374865</v>
      </c>
      <c r="G33" s="634">
        <f>G31+G32</f>
        <v>157.19983679661823</v>
      </c>
      <c r="H33" s="636">
        <f>H10+H30</f>
        <v>3.2077517448881281</v>
      </c>
      <c r="K33" s="162"/>
    </row>
    <row r="34" spans="1:11" ht="15" thickBot="1"/>
    <row r="35" spans="1:11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11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11">
      <c r="A37" s="605" t="s">
        <v>428</v>
      </c>
      <c r="B37" s="503" t="s">
        <v>422</v>
      </c>
      <c r="C37" s="236">
        <f>C33</f>
        <v>157.35476139974949</v>
      </c>
      <c r="D37" s="573"/>
      <c r="E37" s="236">
        <f>E33</f>
        <v>160.00515254759296</v>
      </c>
      <c r="F37" s="573"/>
      <c r="G37" s="236">
        <f>G33</f>
        <v>157.19983679661823</v>
      </c>
      <c r="H37" s="629"/>
    </row>
    <row r="38" spans="1:11">
      <c r="A38" s="605"/>
      <c r="B38" s="637" t="s">
        <v>425</v>
      </c>
      <c r="C38" s="638"/>
      <c r="D38" s="609">
        <f>-C32</f>
        <v>-11.66</v>
      </c>
      <c r="E38" s="639"/>
      <c r="F38" s="609">
        <f>-E32</f>
        <v>-11.85</v>
      </c>
      <c r="G38" s="638"/>
      <c r="H38" s="609">
        <f>-G32</f>
        <v>-11.64</v>
      </c>
    </row>
    <row r="39" spans="1:11">
      <c r="A39" s="605" t="s">
        <v>429</v>
      </c>
      <c r="B39" s="503" t="s">
        <v>649</v>
      </c>
      <c r="C39" s="613"/>
      <c r="D39" s="943"/>
      <c r="E39" s="879"/>
      <c r="F39" s="943"/>
      <c r="G39" s="613"/>
      <c r="H39" s="943"/>
    </row>
    <row r="40" spans="1:11">
      <c r="A40" s="605"/>
      <c r="B40" s="948" t="s">
        <v>645</v>
      </c>
      <c r="C40" s="613">
        <f>Lungalunga!G23</f>
        <v>1.1975137539456533</v>
      </c>
      <c r="D40" s="943"/>
      <c r="E40" s="880">
        <f>C40</f>
        <v>1.1975137539456533</v>
      </c>
      <c r="F40" s="943"/>
      <c r="G40" s="613">
        <f>E40</f>
        <v>1.1975137539456533</v>
      </c>
      <c r="H40" s="943"/>
    </row>
    <row r="41" spans="1:11">
      <c r="A41" s="605"/>
      <c r="B41" s="948" t="s">
        <v>463</v>
      </c>
      <c r="C41" s="613">
        <f>'Likoni Mainland'!D25</f>
        <v>0.33</v>
      </c>
      <c r="D41" s="943"/>
      <c r="E41" s="880">
        <f>C41</f>
        <v>0.33</v>
      </c>
      <c r="F41" s="943"/>
      <c r="G41" s="613">
        <f>E41</f>
        <v>0.33</v>
      </c>
      <c r="H41" s="943"/>
    </row>
    <row r="42" spans="1:11" s="392" customFormat="1">
      <c r="A42" s="605"/>
      <c r="B42" s="640" t="s">
        <v>647</v>
      </c>
      <c r="C42" s="236">
        <f>C40+C41</f>
        <v>1.5275137539456534</v>
      </c>
      <c r="D42" s="573"/>
      <c r="E42" s="236">
        <f>E40+E41</f>
        <v>1.5275137539456534</v>
      </c>
      <c r="F42" s="573"/>
      <c r="G42" s="236">
        <f>G40+G41</f>
        <v>1.5275137539456534</v>
      </c>
      <c r="H42" s="944"/>
    </row>
    <row r="43" spans="1:11">
      <c r="A43" s="605" t="s">
        <v>648</v>
      </c>
      <c r="B43" s="503" t="s">
        <v>426</v>
      </c>
      <c r="C43" s="236">
        <f>'MOMBASA_PRICE VAT Inclusive'!C42</f>
        <v>8.19</v>
      </c>
      <c r="D43" s="573"/>
      <c r="E43" s="236">
        <f>'MOMBASA_PRICE VAT Inclusive'!E42</f>
        <v>8.19</v>
      </c>
      <c r="F43" s="573"/>
      <c r="G43" s="236">
        <f>'MOMBASA_PRICE VAT Inclusive'!G42</f>
        <v>8.19</v>
      </c>
      <c r="H43" s="629"/>
    </row>
    <row r="44" spans="1:11">
      <c r="B44" s="620" t="s">
        <v>447</v>
      </c>
      <c r="C44" s="613">
        <f>C$37+C$43+C$42</f>
        <v>167.07227515369513</v>
      </c>
      <c r="D44" s="610"/>
      <c r="E44" s="613">
        <f>E$37+E$43+E$42</f>
        <v>169.7226663015386</v>
      </c>
      <c r="F44" s="610"/>
      <c r="G44" s="236">
        <f>G$37+G$43+G$42</f>
        <v>166.91735055056387</v>
      </c>
      <c r="H44" s="573"/>
    </row>
    <row r="45" spans="1:11">
      <c r="B45" s="640" t="s">
        <v>458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11">
      <c r="B46" s="643" t="s">
        <v>457</v>
      </c>
      <c r="C46" s="641">
        <v>0</v>
      </c>
      <c r="D46" s="610"/>
      <c r="E46" s="641">
        <v>0</v>
      </c>
      <c r="F46" s="610"/>
      <c r="G46" s="642">
        <v>0</v>
      </c>
      <c r="H46" s="573"/>
    </row>
    <row r="47" spans="1:11">
      <c r="B47" s="620" t="s">
        <v>432</v>
      </c>
      <c r="C47" s="641">
        <f>C$44-C45-C46+D$38</f>
        <v>155.41227515369513</v>
      </c>
      <c r="D47" s="641"/>
      <c r="E47" s="641">
        <f>E$44-E45-E46+F$38</f>
        <v>157.8726663015386</v>
      </c>
      <c r="F47" s="641"/>
      <c r="G47" s="641">
        <f>G$44-G45-G46+H$38</f>
        <v>155.27735055056388</v>
      </c>
      <c r="H47" s="573"/>
    </row>
    <row r="48" spans="1:11">
      <c r="B48" s="503" t="s">
        <v>445</v>
      </c>
      <c r="C48" s="644"/>
      <c r="D48" s="627" t="str">
        <f>CONCATENATE("+ ",ROUND((C$47*0.08),2))</f>
        <v>+ 12.43</v>
      </c>
      <c r="E48" s="644"/>
      <c r="F48" s="627" t="str">
        <f>CONCATENATE("+ ",ROUND((E$47*0.08),2))</f>
        <v>+ 12.63</v>
      </c>
      <c r="G48" s="645"/>
      <c r="H48" s="627" t="str">
        <f>CONCATENATE("+ ",ROUND((G$47*0.08),2))</f>
        <v>+ 12.42</v>
      </c>
    </row>
    <row r="49" spans="2:8" ht="15" thickBot="1">
      <c r="B49" s="646" t="s">
        <v>449</v>
      </c>
      <c r="C49" s="631" t="str">
        <f>D48</f>
        <v>+ 12.43</v>
      </c>
      <c r="D49" s="632"/>
      <c r="E49" s="631" t="str">
        <f>F48</f>
        <v>+ 12.63</v>
      </c>
      <c r="F49" s="632"/>
      <c r="G49" s="631" t="str">
        <f>H48</f>
        <v>+ 12.42</v>
      </c>
      <c r="H49" s="632"/>
    </row>
    <row r="50" spans="2:8" s="392" customFormat="1" ht="15" thickBot="1">
      <c r="B50" s="647" t="s">
        <v>452</v>
      </c>
      <c r="C50" s="648">
        <f>C$47+C$49+C$45+C$46</f>
        <v>167.84227515369514</v>
      </c>
      <c r="D50" s="701">
        <f>D38+D48</f>
        <v>0.76999999999999957</v>
      </c>
      <c r="E50" s="648">
        <f>E$47+E$49+E$45+E$46</f>
        <v>170.5026663015386</v>
      </c>
      <c r="F50" s="701">
        <f>F38+F48</f>
        <v>0.78000000000000114</v>
      </c>
      <c r="G50" s="650">
        <f>G$47+G$49+G$45+G$46</f>
        <v>167.69735055056387</v>
      </c>
      <c r="H50" s="651">
        <f>H38+H48</f>
        <v>0.77999999999999936</v>
      </c>
    </row>
    <row r="51" spans="2:8" s="392" customFormat="1">
      <c r="B51" s="652"/>
      <c r="C51" s="653"/>
      <c r="D51" s="652"/>
      <c r="E51" s="653"/>
      <c r="F51" s="652"/>
      <c r="G51" s="653"/>
      <c r="H51" s="653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tabColor rgb="FF00CC00"/>
  </sheetPr>
  <dimension ref="B2:K33"/>
  <sheetViews>
    <sheetView topLeftCell="A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.1796875" style="159" customWidth="1"/>
    <col min="9" max="16384" width="9.1796875" style="159"/>
  </cols>
  <sheetData>
    <row r="2" spans="2:11">
      <c r="C2" s="258" t="s">
        <v>123</v>
      </c>
      <c r="G2" s="160"/>
    </row>
    <row r="3" spans="2:11">
      <c r="C3" s="258" t="s">
        <v>27</v>
      </c>
      <c r="G3" s="160"/>
    </row>
    <row r="4" spans="2:11">
      <c r="C4" s="259" t="str">
        <f>'Likoni Mainland'!C4</f>
        <v>March 15 - April 14, 2023</v>
      </c>
      <c r="D4" s="258"/>
      <c r="E4" s="160"/>
      <c r="F4" s="160"/>
      <c r="G4" s="260"/>
    </row>
    <row r="5" spans="2:11">
      <c r="C5" s="160"/>
      <c r="D5" s="160"/>
      <c r="E5" s="160"/>
      <c r="F5" s="160"/>
      <c r="G5" s="261"/>
      <c r="H5" s="262"/>
      <c r="I5" s="262"/>
      <c r="J5" s="262"/>
      <c r="K5" s="262"/>
    </row>
    <row r="6" spans="2:11">
      <c r="C6" s="263"/>
      <c r="D6" s="264" t="s">
        <v>0</v>
      </c>
      <c r="E6" s="264" t="s">
        <v>1</v>
      </c>
      <c r="F6" s="264" t="s">
        <v>3</v>
      </c>
      <c r="G6" s="160"/>
      <c r="H6" s="262"/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Mombasa!G8</f>
        <v>1.1599999999999999</v>
      </c>
      <c r="H8" s="262" t="s">
        <v>42</v>
      </c>
      <c r="I8" s="262"/>
      <c r="J8" s="262"/>
      <c r="K8" s="262"/>
    </row>
    <row r="9" spans="2:11" ht="15" thickBot="1">
      <c r="C9" s="263" t="s">
        <v>20</v>
      </c>
      <c r="D9" s="195">
        <f>$G$10*$G$9*$G$8</f>
        <v>0</v>
      </c>
      <c r="E9" s="195">
        <f>$G$10*$G$9*$G$8</f>
        <v>0</v>
      </c>
      <c r="F9" s="195">
        <f>$G$10*$G$9*$G$8</f>
        <v>0</v>
      </c>
      <c r="G9" s="303">
        <v>0</v>
      </c>
      <c r="H9" s="262" t="s">
        <v>28</v>
      </c>
      <c r="I9" s="262"/>
      <c r="J9" s="262"/>
      <c r="K9" s="262"/>
    </row>
    <row r="10" spans="2:11" ht="15" thickBot="1">
      <c r="C10" s="263"/>
      <c r="D10" s="274"/>
      <c r="E10" s="274"/>
      <c r="F10" s="274"/>
      <c r="G10" s="304">
        <v>0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195">
        <f>$G$11*G12*$G$8</f>
        <v>0</v>
      </c>
      <c r="E11" s="195">
        <f>$G$11*G12*$G$8</f>
        <v>0</v>
      </c>
      <c r="F11" s="195">
        <f>$G$11*G12*$G$8</f>
        <v>0</v>
      </c>
      <c r="G11" s="305">
        <f>8.14*G14/1000</f>
        <v>0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0</v>
      </c>
      <c r="E13" s="277">
        <f>$G$13*E7</f>
        <v>0</v>
      </c>
      <c r="F13" s="277">
        <f>$G$13*F7</f>
        <v>0</v>
      </c>
      <c r="G13" s="278">
        <v>0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0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Mombasa!D18</f>
        <v>4.2039999999999997</v>
      </c>
      <c r="E17" s="280">
        <f>Mombasa!E18</f>
        <v>4.1739999999999995</v>
      </c>
      <c r="F17" s="280">
        <f>Mombasa!F18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145.79849820066073</v>
      </c>
      <c r="E19" s="282">
        <f>SUM(E7:E18)</f>
        <v>148.24726824540289</v>
      </c>
      <c r="F19" s="282">
        <f>SUM(F7:F18)</f>
        <v>145.67854679553881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Mombasa!D22</f>
        <v>8.19</v>
      </c>
      <c r="E21" s="168">
        <f>Mombasa!E22</f>
        <v>8.19</v>
      </c>
      <c r="F21" s="168">
        <f>Mombasa!F22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0.62360663649487535</v>
      </c>
      <c r="E23" s="283">
        <f t="shared" ref="E23:F23" si="0">$G$23*$G$8</f>
        <v>0.62360663649487535</v>
      </c>
      <c r="F23" s="283">
        <f t="shared" si="0"/>
        <v>0.62360663649487535</v>
      </c>
      <c r="G23" s="284">
        <f>Mombasa!G24</f>
        <v>0.53759192801282363</v>
      </c>
      <c r="H23" s="262" t="s">
        <v>126</v>
      </c>
      <c r="I23" s="259">
        <v>45</v>
      </c>
      <c r="J23" s="262" t="s">
        <v>21</v>
      </c>
      <c r="K23" s="262"/>
    </row>
    <row r="24" spans="3:11">
      <c r="C24" s="263"/>
      <c r="D24" s="283"/>
      <c r="E24" s="283"/>
      <c r="F24" s="283"/>
      <c r="G24" s="307"/>
      <c r="H24" s="262"/>
      <c r="I24" s="259"/>
      <c r="J24" s="262"/>
      <c r="K24" s="262"/>
    </row>
    <row r="25" spans="3:11">
      <c r="C25" s="263" t="s">
        <v>20</v>
      </c>
      <c r="D25" s="283">
        <v>0.33</v>
      </c>
      <c r="E25" s="283">
        <v>0.33</v>
      </c>
      <c r="F25" s="283">
        <v>0.33</v>
      </c>
      <c r="G25" s="307"/>
      <c r="H25" s="262" t="s">
        <v>137</v>
      </c>
      <c r="I25" s="259"/>
      <c r="J25" s="262"/>
      <c r="K25" s="262"/>
    </row>
    <row r="26" spans="3:11">
      <c r="C26" s="263"/>
      <c r="D26" s="263"/>
      <c r="E26" s="263"/>
      <c r="F26" s="263"/>
      <c r="G26" s="160"/>
      <c r="H26" s="262"/>
      <c r="I26" s="262"/>
      <c r="J26" s="262"/>
      <c r="K26" s="262"/>
    </row>
    <row r="27" spans="3:11">
      <c r="C27" s="263" t="s">
        <v>20</v>
      </c>
      <c r="D27" s="306">
        <f>D19+D21+D23+D25</f>
        <v>154.94210483715563</v>
      </c>
      <c r="E27" s="306">
        <f>E19+E21+E23+E25</f>
        <v>157.39087488189779</v>
      </c>
      <c r="F27" s="306">
        <f>F19+F21+F23+F25</f>
        <v>154.8221534320337</v>
      </c>
      <c r="G27" s="160"/>
      <c r="H27" s="262" t="s">
        <v>19</v>
      </c>
      <c r="I27" s="262"/>
      <c r="J27" s="262"/>
      <c r="K27" s="262"/>
    </row>
    <row r="28" spans="3:11">
      <c r="C28" s="160"/>
      <c r="D28" s="286"/>
      <c r="E28" s="160"/>
      <c r="F28" s="160"/>
      <c r="G28" s="160"/>
    </row>
    <row r="29" spans="3:11">
      <c r="C29" s="666"/>
      <c r="D29" s="700"/>
      <c r="E29" s="700"/>
      <c r="F29" s="700"/>
    </row>
    <row r="30" spans="3:11">
      <c r="D30" s="700"/>
      <c r="E30" s="700"/>
      <c r="F30" s="700"/>
    </row>
    <row r="31" spans="3:11">
      <c r="D31" s="700"/>
      <c r="E31" s="700"/>
      <c r="F31" s="700"/>
    </row>
    <row r="33" spans="5:5">
      <c r="E33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410" r:id="rId4">
          <objectPr defaultSize="0" autoPict="0" r:id="rId5">
            <anchor>
              <from>
                <xdr:col>1</xdr:col>
                <xdr:colOff>57150</xdr:colOff>
                <xdr:row>18</xdr:row>
                <xdr:rowOff>171450</xdr:rowOff>
              </from>
              <to>
                <xdr:col>1</xdr:col>
                <xdr:colOff>527050</xdr:colOff>
                <xdr:row>19</xdr:row>
                <xdr:rowOff>171450</xdr:rowOff>
              </to>
            </anchor>
          </objectPr>
        </oleObject>
      </mc:Choice>
      <mc:Fallback>
        <oleObject progId="Equation.3" shapeId="102410" r:id="rId4"/>
      </mc:Fallback>
    </mc:AlternateContent>
  </oleObjec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tabColor rgb="FF0000FF"/>
  </sheetPr>
  <dimension ref="A2:K51"/>
  <sheetViews>
    <sheetView topLeftCell="A31" workbookViewId="0">
      <selection activeCell="D45" sqref="D45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8" width="15.453125" style="159" customWidth="1"/>
    <col min="9" max="9" width="3.26953125" style="159" customWidth="1"/>
    <col min="10" max="10" width="17.26953125" style="159" customWidth="1"/>
    <col min="11" max="16384" width="9.1796875" style="159"/>
  </cols>
  <sheetData>
    <row r="2" spans="1:8" ht="15" thickBot="1"/>
    <row r="3" spans="1:8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8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8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8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8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8" s="163" customFormat="1">
      <c r="B8" s="601" t="s">
        <v>420</v>
      </c>
      <c r="C8" s="602">
        <f>'PMS SUMMARY'!D44</f>
        <v>0.64584380006463771</v>
      </c>
      <c r="D8" s="603"/>
      <c r="E8" s="602">
        <f>'AGO SUMMARY'!E46</f>
        <v>0.57376440122077432</v>
      </c>
      <c r="F8" s="604"/>
      <c r="G8" s="850">
        <f>'DPK SUMMARY'!D43</f>
        <v>0.74013887912213949</v>
      </c>
      <c r="H8" s="603"/>
    </row>
    <row r="9" spans="1:8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8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8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8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8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8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8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v>0</v>
      </c>
      <c r="H15" s="610"/>
    </row>
    <row r="16" spans="1:8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10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  <c r="J17" s="162"/>
    </row>
    <row r="18" spans="1:10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10">
      <c r="A19" s="605"/>
      <c r="B19" s="614" t="s">
        <v>319</v>
      </c>
      <c r="C19" s="613">
        <f>'Breakdown for PMS, AGO &amp; DPK'!D23</f>
        <v>1.7335007701822511</v>
      </c>
      <c r="D19" s="610"/>
      <c r="E19" s="613">
        <f>'Breakdown for PMS, AGO &amp; DPK'!E23</f>
        <v>1.994329137255715</v>
      </c>
      <c r="F19" s="616"/>
      <c r="G19" s="613">
        <f>'Breakdown for PMS, AGO &amp; DPK'!F23</f>
        <v>2.0134755528419217</v>
      </c>
      <c r="H19" s="610"/>
    </row>
    <row r="20" spans="1:10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10">
      <c r="A21" s="605" t="s">
        <v>403</v>
      </c>
      <c r="B21" s="620" t="s">
        <v>421</v>
      </c>
      <c r="C21" s="618">
        <f>SUM(C$22:C$23)</f>
        <v>0.70445023980428223</v>
      </c>
      <c r="D21" s="573"/>
      <c r="E21" s="618">
        <f>SUM(E$22:E$23)</f>
        <v>0.43092702366521302</v>
      </c>
      <c r="F21" s="621"/>
      <c r="G21" s="618">
        <f>SUM(G$22:G$23)</f>
        <v>0.42324390866063455</v>
      </c>
      <c r="H21" s="573"/>
    </row>
    <row r="22" spans="1:10">
      <c r="A22" s="605"/>
      <c r="B22" s="614" t="s">
        <v>455</v>
      </c>
      <c r="C22" s="613">
        <f>SUM(C$24:C$25)</f>
        <v>0</v>
      </c>
      <c r="D22" s="573"/>
      <c r="E22" s="613">
        <f>SUM(E$24:E$25)</f>
        <v>0</v>
      </c>
      <c r="F22" s="621"/>
      <c r="G22" s="613">
        <f>SUM(G$24:G$25)</f>
        <v>0</v>
      </c>
      <c r="H22" s="573"/>
    </row>
    <row r="23" spans="1:10">
      <c r="A23" s="605"/>
      <c r="B23" s="614" t="s">
        <v>456</v>
      </c>
      <c r="C23" s="613">
        <f>C$26+C$27</f>
        <v>0.70445023980428223</v>
      </c>
      <c r="D23" s="573"/>
      <c r="E23" s="613">
        <f>E$26+E$27</f>
        <v>0.43092702366521302</v>
      </c>
      <c r="F23" s="621"/>
      <c r="G23" s="613">
        <f>G$26+G$27</f>
        <v>0.42324390866063455</v>
      </c>
      <c r="H23" s="573"/>
    </row>
    <row r="24" spans="1:10">
      <c r="A24" s="605"/>
      <c r="B24" s="622" t="s">
        <v>461</v>
      </c>
      <c r="C24" s="602">
        <f>'Likoni Mainland'!D9</f>
        <v>0</v>
      </c>
      <c r="D24" s="623"/>
      <c r="E24" s="602">
        <f>'Likoni Mainland'!E9</f>
        <v>0</v>
      </c>
      <c r="F24" s="624"/>
      <c r="G24" s="602">
        <f>'Likoni Mainland'!F9</f>
        <v>0</v>
      </c>
      <c r="H24" s="573"/>
    </row>
    <row r="25" spans="1:10">
      <c r="A25" s="605"/>
      <c r="B25" s="622" t="s">
        <v>462</v>
      </c>
      <c r="C25" s="602">
        <f>'Likoni Mainland'!D11</f>
        <v>0</v>
      </c>
      <c r="D25" s="623"/>
      <c r="E25" s="602">
        <f>'Likoni Mainland'!E11</f>
        <v>0</v>
      </c>
      <c r="F25" s="624"/>
      <c r="G25" s="602">
        <f>'Likoni Mainland'!F11</f>
        <v>0</v>
      </c>
      <c r="H25" s="573"/>
    </row>
    <row r="26" spans="1:10">
      <c r="A26" s="605"/>
      <c r="B26" s="622" t="s">
        <v>334</v>
      </c>
      <c r="C26" s="602">
        <f>'Likoni Mainland'!D13</f>
        <v>0</v>
      </c>
      <c r="D26" s="623"/>
      <c r="E26" s="602">
        <f>'Likoni Mainland'!E13</f>
        <v>0</v>
      </c>
      <c r="F26" s="624"/>
      <c r="G26" s="602">
        <f>'Likoni Mainland'!F13</f>
        <v>0</v>
      </c>
      <c r="H26" s="573"/>
    </row>
    <row r="27" spans="1:10">
      <c r="A27" s="605"/>
      <c r="B27" s="622" t="s">
        <v>332</v>
      </c>
      <c r="C27" s="602">
        <f>'Likoni Mainland'!D15</f>
        <v>0.70445023980428223</v>
      </c>
      <c r="D27" s="623"/>
      <c r="E27" s="602">
        <f>'Likoni Mainland'!E15</f>
        <v>0.43092702366521302</v>
      </c>
      <c r="F27" s="624"/>
      <c r="G27" s="602">
        <f>'Likoni Mainland'!F15</f>
        <v>0.42324390866063455</v>
      </c>
      <c r="H27" s="573"/>
    </row>
    <row r="28" spans="1:10">
      <c r="A28" s="605" t="s">
        <v>404</v>
      </c>
      <c r="B28" s="620" t="s">
        <v>427</v>
      </c>
      <c r="C28" s="618">
        <f>'MOMBASA_PRICE VAT Inclusive'!$C$28</f>
        <v>4.2039999999999997</v>
      </c>
      <c r="D28" s="618"/>
      <c r="E28" s="618">
        <f>'MOMBASA_PRICE VAT Inclusive'!$E$28</f>
        <v>4.1739999999999995</v>
      </c>
      <c r="F28" s="618"/>
      <c r="G28" s="618">
        <f>'MOMBASA_PRICE VAT Inclusive'!$G$28</f>
        <v>4.1739999999999995</v>
      </c>
      <c r="H28" s="573"/>
    </row>
    <row r="29" spans="1:10">
      <c r="A29" s="605"/>
      <c r="B29" s="620" t="s">
        <v>440</v>
      </c>
      <c r="C29" s="618">
        <f>C$9+C$20+C$22+C$23+C$28</f>
        <v>145.6947613997495</v>
      </c>
      <c r="D29" s="625"/>
      <c r="E29" s="626">
        <f>E$9+E$20+E$22+E$23+E$28</f>
        <v>148.15515254759296</v>
      </c>
      <c r="F29" s="625"/>
      <c r="G29" s="618">
        <f>G$9+G$20+G$22+G$23+G$28</f>
        <v>145.55983679661824</v>
      </c>
      <c r="H29" s="625"/>
    </row>
    <row r="30" spans="1:10">
      <c r="A30" s="605"/>
      <c r="B30" s="494" t="s">
        <v>444</v>
      </c>
      <c r="C30" s="606"/>
      <c r="D30" s="627" t="str">
        <f>CONCATENATE("+ ",ROUND((C$29*0.08),2))</f>
        <v>+ 11.66</v>
      </c>
      <c r="E30" s="628"/>
      <c r="F30" s="627" t="str">
        <f>CONCATENATE("+ ",ROUND((E$29*0.08),2))</f>
        <v>+ 11.85</v>
      </c>
      <c r="G30" s="606"/>
      <c r="H30" s="627" t="str">
        <f>CONCATENATE("+ ",ROUND((G$29*0.08),2))</f>
        <v>+ 11.64</v>
      </c>
    </row>
    <row r="31" spans="1:10">
      <c r="A31" s="605"/>
      <c r="B31" s="620" t="s">
        <v>436</v>
      </c>
      <c r="C31" s="606">
        <f>C$9+C$20+C$21+C$28</f>
        <v>145.6947613997495</v>
      </c>
      <c r="D31" s="629"/>
      <c r="E31" s="628">
        <f>E$9+E$20+E$21+E$28</f>
        <v>148.15515254759296</v>
      </c>
      <c r="F31" s="629"/>
      <c r="G31" s="606">
        <f>G$9+G$20+G$21+G$28</f>
        <v>145.55983679661824</v>
      </c>
      <c r="H31" s="629"/>
    </row>
    <row r="32" spans="1:10" ht="15" thickBot="1">
      <c r="A32" s="605"/>
      <c r="B32" s="630" t="s">
        <v>448</v>
      </c>
      <c r="C32" s="631" t="str">
        <f>D30</f>
        <v>+ 11.66</v>
      </c>
      <c r="D32" s="632"/>
      <c r="E32" s="631" t="str">
        <f>F30</f>
        <v>+ 11.85</v>
      </c>
      <c r="F32" s="632"/>
      <c r="G32" s="631" t="str">
        <f>H30</f>
        <v>+ 11.64</v>
      </c>
      <c r="H32" s="632"/>
    </row>
    <row r="33" spans="1:11" ht="15" thickBot="1">
      <c r="A33" s="605"/>
      <c r="B33" s="633" t="s">
        <v>418</v>
      </c>
      <c r="C33" s="634">
        <f>C31+C32</f>
        <v>157.35476139974949</v>
      </c>
      <c r="D33" s="634">
        <f>+D10+D30</f>
        <v>4.4290649032433258</v>
      </c>
      <c r="E33" s="635">
        <f>E31+E32</f>
        <v>160.00515254759296</v>
      </c>
      <c r="F33" s="634">
        <f>F10+F30</f>
        <v>3.6090574521374865</v>
      </c>
      <c r="G33" s="634">
        <f>G31+G32</f>
        <v>157.19983679661823</v>
      </c>
      <c r="H33" s="636">
        <f>H10+H30</f>
        <v>3.2077517448881281</v>
      </c>
      <c r="K33" s="162"/>
    </row>
    <row r="34" spans="1:11" ht="15" thickBot="1"/>
    <row r="35" spans="1:11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11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11">
      <c r="A37" s="605" t="s">
        <v>428</v>
      </c>
      <c r="B37" s="503" t="s">
        <v>422</v>
      </c>
      <c r="C37" s="236">
        <f>C33</f>
        <v>157.35476139974949</v>
      </c>
      <c r="D37" s="573"/>
      <c r="E37" s="236">
        <f>E33</f>
        <v>160.00515254759296</v>
      </c>
      <c r="F37" s="573"/>
      <c r="G37" s="236">
        <f>G33</f>
        <v>157.19983679661823</v>
      </c>
      <c r="H37" s="629"/>
    </row>
    <row r="38" spans="1:11">
      <c r="A38" s="605"/>
      <c r="B38" s="637" t="s">
        <v>425</v>
      </c>
      <c r="C38" s="638"/>
      <c r="D38" s="609">
        <f>-C32</f>
        <v>-11.66</v>
      </c>
      <c r="E38" s="639"/>
      <c r="F38" s="609">
        <f>-E32</f>
        <v>-11.85</v>
      </c>
      <c r="G38" s="638"/>
      <c r="H38" s="609">
        <f>-G32</f>
        <v>-11.64</v>
      </c>
    </row>
    <row r="39" spans="1:11">
      <c r="A39" s="605" t="s">
        <v>429</v>
      </c>
      <c r="B39" s="503" t="s">
        <v>649</v>
      </c>
      <c r="C39" s="613"/>
      <c r="D39" s="943"/>
      <c r="E39" s="879"/>
      <c r="F39" s="943"/>
      <c r="G39" s="613"/>
      <c r="H39" s="943"/>
    </row>
    <row r="40" spans="1:11">
      <c r="A40" s="605"/>
      <c r="B40" s="948" t="s">
        <v>645</v>
      </c>
      <c r="C40" s="613">
        <f>Kwale!G23</f>
        <v>0.53759192801282363</v>
      </c>
      <c r="D40" s="943"/>
      <c r="E40" s="880">
        <f>C40</f>
        <v>0.53759192801282363</v>
      </c>
      <c r="F40" s="943"/>
      <c r="G40" s="613">
        <f>E40</f>
        <v>0.53759192801282363</v>
      </c>
      <c r="H40" s="943"/>
    </row>
    <row r="41" spans="1:11">
      <c r="A41" s="605"/>
      <c r="B41" s="948" t="s">
        <v>463</v>
      </c>
      <c r="C41" s="613">
        <f>'Likoni Mainland'!D25</f>
        <v>0.33</v>
      </c>
      <c r="D41" s="943"/>
      <c r="E41" s="880">
        <f>C41</f>
        <v>0.33</v>
      </c>
      <c r="F41" s="943"/>
      <c r="G41" s="613">
        <f>E41</f>
        <v>0.33</v>
      </c>
      <c r="H41" s="943"/>
    </row>
    <row r="42" spans="1:11" s="392" customFormat="1">
      <c r="A42" s="605"/>
      <c r="B42" s="640" t="s">
        <v>647</v>
      </c>
      <c r="C42" s="236">
        <f>C40+C41</f>
        <v>0.8675919280128237</v>
      </c>
      <c r="D42" s="573"/>
      <c r="E42" s="236">
        <f>E40+E41</f>
        <v>0.8675919280128237</v>
      </c>
      <c r="F42" s="573"/>
      <c r="G42" s="236">
        <f>G40+G41</f>
        <v>0.8675919280128237</v>
      </c>
      <c r="H42" s="944"/>
    </row>
    <row r="43" spans="1:11">
      <c r="A43" s="605" t="s">
        <v>648</v>
      </c>
      <c r="B43" s="503" t="s">
        <v>426</v>
      </c>
      <c r="C43" s="236">
        <f>'MOMBASA_PRICE VAT Inclusive'!C42</f>
        <v>8.19</v>
      </c>
      <c r="D43" s="573"/>
      <c r="E43" s="236">
        <f>'MOMBASA_PRICE VAT Inclusive'!E42</f>
        <v>8.19</v>
      </c>
      <c r="F43" s="573"/>
      <c r="G43" s="236">
        <f>'MOMBASA_PRICE VAT Inclusive'!G42</f>
        <v>8.19</v>
      </c>
      <c r="H43" s="629"/>
    </row>
    <row r="44" spans="1:11">
      <c r="B44" s="620" t="s">
        <v>447</v>
      </c>
      <c r="C44" s="613">
        <f>C$37+C$43+C$42</f>
        <v>166.4123533277623</v>
      </c>
      <c r="D44" s="610"/>
      <c r="E44" s="613">
        <f>E$37+E$43+E$42</f>
        <v>169.06274447560577</v>
      </c>
      <c r="F44" s="610"/>
      <c r="G44" s="236">
        <f>G$37+G$43+G$42</f>
        <v>166.25742872463104</v>
      </c>
      <c r="H44" s="573"/>
    </row>
    <row r="45" spans="1:11">
      <c r="B45" s="640" t="s">
        <v>458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11">
      <c r="B46" s="643" t="s">
        <v>457</v>
      </c>
      <c r="C46" s="641">
        <v>0</v>
      </c>
      <c r="D46" s="610"/>
      <c r="E46" s="641">
        <v>0</v>
      </c>
      <c r="F46" s="610"/>
      <c r="G46" s="642">
        <v>0</v>
      </c>
      <c r="H46" s="573"/>
    </row>
    <row r="47" spans="1:11">
      <c r="B47" s="620" t="s">
        <v>432</v>
      </c>
      <c r="C47" s="641">
        <f>C$44-C45-C46+D$38</f>
        <v>154.75235332776231</v>
      </c>
      <c r="D47" s="641"/>
      <c r="E47" s="641">
        <f>E$44-E45-E46+F$38</f>
        <v>157.21274447560577</v>
      </c>
      <c r="F47" s="641"/>
      <c r="G47" s="641">
        <f>G$44-G45-G46+H$38</f>
        <v>154.61742872463105</v>
      </c>
      <c r="H47" s="573"/>
    </row>
    <row r="48" spans="1:11">
      <c r="B48" s="503" t="s">
        <v>445</v>
      </c>
      <c r="C48" s="644"/>
      <c r="D48" s="627" t="str">
        <f>CONCATENATE("+ ",ROUND((C$47*0.08),2))</f>
        <v>+ 12.38</v>
      </c>
      <c r="E48" s="644"/>
      <c r="F48" s="627" t="str">
        <f>CONCATENATE("+ ",ROUND((E$47*0.08),2))</f>
        <v>+ 12.58</v>
      </c>
      <c r="G48" s="645"/>
      <c r="H48" s="627" t="str">
        <f>CONCATENATE("+ ",ROUND((G$47*0.08),2))</f>
        <v>+ 12.37</v>
      </c>
    </row>
    <row r="49" spans="2:8" ht="15" thickBot="1">
      <c r="B49" s="646" t="s">
        <v>449</v>
      </c>
      <c r="C49" s="631" t="str">
        <f>D48</f>
        <v>+ 12.38</v>
      </c>
      <c r="D49" s="632"/>
      <c r="E49" s="631" t="str">
        <f>F48</f>
        <v>+ 12.58</v>
      </c>
      <c r="F49" s="632"/>
      <c r="G49" s="631" t="str">
        <f>H48</f>
        <v>+ 12.37</v>
      </c>
      <c r="H49" s="632"/>
    </row>
    <row r="50" spans="2:8" s="392" customFormat="1" ht="15" thickBot="1">
      <c r="B50" s="647" t="s">
        <v>452</v>
      </c>
      <c r="C50" s="648">
        <f>C$47+C$49+C$45+C$46</f>
        <v>167.1323533277623</v>
      </c>
      <c r="D50" s="701">
        <f>D38+D48</f>
        <v>0.72000000000000064</v>
      </c>
      <c r="E50" s="648">
        <f>E$47+E$49+E$45+E$46</f>
        <v>169.79274447560579</v>
      </c>
      <c r="F50" s="701">
        <f>F38+F48</f>
        <v>0.73000000000000043</v>
      </c>
      <c r="G50" s="650">
        <f>G$47+G$49+G$45+G$46</f>
        <v>166.98742872463106</v>
      </c>
      <c r="H50" s="651">
        <f>H38+H48</f>
        <v>0.72999999999999865</v>
      </c>
    </row>
    <row r="51" spans="2:8" s="392" customFormat="1">
      <c r="B51" s="652"/>
      <c r="C51" s="653"/>
      <c r="D51" s="652"/>
      <c r="E51" s="653"/>
      <c r="F51" s="652"/>
      <c r="G51" s="653"/>
      <c r="H51" s="653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tabColor rgb="FF00CC00"/>
  </sheetPr>
  <dimension ref="B2:K31"/>
  <sheetViews>
    <sheetView topLeftCell="A14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63.7265625" style="159" bestFit="1" customWidth="1"/>
    <col min="9" max="16384" width="9.1796875" style="159"/>
  </cols>
  <sheetData>
    <row r="2" spans="2:11">
      <c r="C2" s="258" t="s">
        <v>65</v>
      </c>
      <c r="G2" s="160"/>
    </row>
    <row r="3" spans="2:11">
      <c r="C3" s="258" t="s">
        <v>27</v>
      </c>
      <c r="G3" s="160"/>
    </row>
    <row r="4" spans="2:11">
      <c r="C4" s="259" t="str">
        <f>Kwale!C4</f>
        <v>March 15 - April 14, 2023</v>
      </c>
      <c r="D4" s="258"/>
      <c r="E4" s="160"/>
      <c r="F4" s="160"/>
      <c r="G4" s="260"/>
    </row>
    <row r="5" spans="2:11">
      <c r="C5" s="160"/>
      <c r="D5" s="160"/>
      <c r="E5" s="160"/>
      <c r="F5" s="160"/>
      <c r="G5" s="261"/>
      <c r="H5" s="262"/>
      <c r="I5" s="262"/>
      <c r="J5" s="262"/>
      <c r="K5" s="262"/>
    </row>
    <row r="6" spans="2:11">
      <c r="C6" s="263"/>
      <c r="D6" s="264" t="s">
        <v>0</v>
      </c>
      <c r="E6" s="264" t="s">
        <v>1</v>
      </c>
      <c r="F6" s="264" t="s">
        <v>3</v>
      </c>
      <c r="G6" s="160"/>
      <c r="H6" s="262"/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Mombasa!G8</f>
        <v>1.1599999999999999</v>
      </c>
      <c r="H8" s="262" t="s">
        <v>42</v>
      </c>
      <c r="I8" s="262"/>
      <c r="J8" s="262"/>
      <c r="K8" s="262"/>
    </row>
    <row r="9" spans="2:11" ht="15" thickBot="1">
      <c r="C9" s="263" t="s">
        <v>20</v>
      </c>
      <c r="D9" s="195">
        <f>$G$10*$G$9*$G$8</f>
        <v>0</v>
      </c>
      <c r="E9" s="195">
        <f>$G$10*$G$9*$G$8</f>
        <v>0</v>
      </c>
      <c r="F9" s="195">
        <f>$G$10*$G$9*$G$8</f>
        <v>0</v>
      </c>
      <c r="G9" s="303">
        <v>0</v>
      </c>
      <c r="H9" s="262" t="s">
        <v>28</v>
      </c>
      <c r="I9" s="262"/>
      <c r="J9" s="262"/>
      <c r="K9" s="262"/>
    </row>
    <row r="10" spans="2:11" ht="15" thickBot="1">
      <c r="C10" s="263"/>
      <c r="D10" s="274"/>
      <c r="E10" s="274"/>
      <c r="F10" s="274"/>
      <c r="G10" s="304">
        <v>0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195">
        <f>$G$11*G12*$G$8</f>
        <v>0</v>
      </c>
      <c r="E11" s="195">
        <f>$G$11*G12*$G$8</f>
        <v>0</v>
      </c>
      <c r="F11" s="195">
        <f>$G$11*G12*$G$8</f>
        <v>0</v>
      </c>
      <c r="G11" s="305">
        <f>8.14*G14/1000</f>
        <v>0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0</v>
      </c>
      <c r="E13" s="277">
        <f>$G$13*E7</f>
        <v>0</v>
      </c>
      <c r="F13" s="277">
        <f>$G$13*F7</f>
        <v>0</v>
      </c>
      <c r="G13" s="278">
        <v>0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0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Mombasa!D18</f>
        <v>4.2039999999999997</v>
      </c>
      <c r="E17" s="280">
        <f>Mombasa!E18</f>
        <v>4.1739999999999995</v>
      </c>
      <c r="F17" s="280">
        <f>Mombasa!F18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145.79849820066073</v>
      </c>
      <c r="E19" s="282">
        <f>SUM(E7:E18)</f>
        <v>148.24726824540289</v>
      </c>
      <c r="F19" s="282">
        <f>SUM(F7:F18)</f>
        <v>145.67854679553881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Mombasa!D22</f>
        <v>8.19</v>
      </c>
      <c r="E21" s="168">
        <f>Mombasa!E22</f>
        <v>8.19</v>
      </c>
      <c r="F21" s="168">
        <f>Mombasa!F22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1.6113745073092709</v>
      </c>
      <c r="E23" s="283">
        <f t="shared" ref="E23:F23" si="0">$G$23*$G$8</f>
        <v>1.6113745073092709</v>
      </c>
      <c r="F23" s="283">
        <f t="shared" si="0"/>
        <v>1.6113745073092709</v>
      </c>
      <c r="G23" s="284">
        <f>'Delivery &gt;40km-Sept 2013'!E24*I23/1000</f>
        <v>1.3891159545769578</v>
      </c>
      <c r="H23" s="262" t="s">
        <v>126</v>
      </c>
      <c r="I23" s="259">
        <v>116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306">
        <f>D19+D21+D23</f>
        <v>155.59987270797001</v>
      </c>
      <c r="E25" s="306">
        <f>E19+E21+E23</f>
        <v>158.04864275271217</v>
      </c>
      <c r="F25" s="306">
        <f>F19+F21+F23</f>
        <v>155.47992130284808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700"/>
      <c r="E27" s="700"/>
      <c r="F27" s="700"/>
    </row>
    <row r="28" spans="3:11">
      <c r="D28" s="700"/>
      <c r="E28" s="700"/>
      <c r="F28" s="700"/>
    </row>
    <row r="29" spans="3:11">
      <c r="D29" s="700"/>
      <c r="E29" s="700"/>
      <c r="F29" s="70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38922" r:id="rId4">
          <objectPr defaultSize="0" autoPict="0" r:id="rId5">
            <anchor>
              <from>
                <xdr:col>1</xdr:col>
                <xdr:colOff>57150</xdr:colOff>
                <xdr:row>18</xdr:row>
                <xdr:rowOff>171450</xdr:rowOff>
              </from>
              <to>
                <xdr:col>1</xdr:col>
                <xdr:colOff>527050</xdr:colOff>
                <xdr:row>19</xdr:row>
                <xdr:rowOff>171450</xdr:rowOff>
              </to>
            </anchor>
          </objectPr>
        </oleObject>
      </mc:Choice>
      <mc:Fallback>
        <oleObject progId="Equation.3" shapeId="38922" r:id="rId4"/>
      </mc:Fallback>
    </mc:AlternateContent>
  </oleObjec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tabColor rgb="FF0000FF"/>
  </sheetPr>
  <dimension ref="A2:K56"/>
  <sheetViews>
    <sheetView topLeftCell="A19" workbookViewId="0">
      <selection activeCell="C43" sqref="C43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8" width="15.453125" style="159" customWidth="1"/>
    <col min="9" max="9" width="3.26953125" style="159" customWidth="1"/>
    <col min="10" max="10" width="14.7265625" style="159" customWidth="1"/>
    <col min="11" max="16384" width="9.1796875" style="159"/>
  </cols>
  <sheetData>
    <row r="2" spans="1:8" ht="15" thickBot="1"/>
    <row r="3" spans="1:8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8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8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8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8" ht="18" customHeight="1">
      <c r="B7" s="597" t="s">
        <v>400</v>
      </c>
      <c r="C7" s="598">
        <f>'PMS SUMMARY'!D45</f>
        <v>89.740844909393786</v>
      </c>
      <c r="D7" s="599"/>
      <c r="E7" s="849">
        <f>'AGO SUMMARY'!E47</f>
        <v>102.43801744706063</v>
      </c>
      <c r="F7" s="600"/>
      <c r="G7" s="849">
        <f>'DPK SUMMARY'!D44</f>
        <v>104.66296430977627</v>
      </c>
      <c r="H7" s="599"/>
    </row>
    <row r="8" spans="1:8" s="163" customFormat="1">
      <c r="B8" s="601" t="s">
        <v>420</v>
      </c>
      <c r="C8" s="602">
        <f>'PMS SUMMARY'!D44</f>
        <v>0.64584380006463771</v>
      </c>
      <c r="D8" s="603"/>
      <c r="E8" s="850">
        <f>'AGO SUMMARY'!E46</f>
        <v>0.57376440122077432</v>
      </c>
      <c r="F8" s="604"/>
      <c r="G8" s="850">
        <f>'DPK SUMMARY'!D43</f>
        <v>0.74013887912213949</v>
      </c>
      <c r="H8" s="603"/>
    </row>
    <row r="9" spans="1:8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8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8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8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8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8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8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v>0</v>
      </c>
      <c r="H15" s="610"/>
    </row>
    <row r="16" spans="1:8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10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  <c r="J17" s="162"/>
    </row>
    <row r="18" spans="1:10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10">
      <c r="A19" s="605"/>
      <c r="B19" s="614" t="s">
        <v>319</v>
      </c>
      <c r="C19" s="613">
        <f>'Breakdown for PMS, AGO &amp; DPK'!D23</f>
        <v>1.7335007701822511</v>
      </c>
      <c r="D19" s="610"/>
      <c r="E19" s="613">
        <f>'Breakdown for PMS, AGO &amp; DPK'!E23</f>
        <v>1.994329137255715</v>
      </c>
      <c r="F19" s="616"/>
      <c r="G19" s="613">
        <f>'Breakdown for PMS, AGO &amp; DPK'!F23</f>
        <v>2.0134755528419217</v>
      </c>
      <c r="H19" s="610"/>
    </row>
    <row r="20" spans="1:10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10">
      <c r="A21" s="605" t="s">
        <v>403</v>
      </c>
      <c r="B21" s="620" t="s">
        <v>421</v>
      </c>
      <c r="C21" s="618">
        <f>SUM(C$22:C$23)</f>
        <v>0.70445023980428223</v>
      </c>
      <c r="D21" s="573"/>
      <c r="E21" s="618">
        <f>SUM(E$22:E$23)</f>
        <v>0.43092702366521302</v>
      </c>
      <c r="F21" s="621"/>
      <c r="G21" s="618">
        <f>SUM(G$22:G$23)</f>
        <v>0.42324390866063455</v>
      </c>
      <c r="H21" s="573"/>
    </row>
    <row r="22" spans="1:10">
      <c r="A22" s="605"/>
      <c r="B22" s="614" t="s">
        <v>455</v>
      </c>
      <c r="C22" s="613">
        <f>SUM(C$24:C$25)</f>
        <v>0</v>
      </c>
      <c r="D22" s="573"/>
      <c r="E22" s="613">
        <f>SUM(E$24:E$25)</f>
        <v>0</v>
      </c>
      <c r="F22" s="621"/>
      <c r="G22" s="613">
        <f>SUM(G$24:G$25)</f>
        <v>0</v>
      </c>
      <c r="H22" s="573"/>
    </row>
    <row r="23" spans="1:10">
      <c r="A23" s="605"/>
      <c r="B23" s="614" t="s">
        <v>456</v>
      </c>
      <c r="C23" s="613">
        <f>C$26+C$27</f>
        <v>0.70445023980428223</v>
      </c>
      <c r="D23" s="573"/>
      <c r="E23" s="613">
        <f>E$26+E$27</f>
        <v>0.43092702366521302</v>
      </c>
      <c r="F23" s="621"/>
      <c r="G23" s="613">
        <f>G$26+G$27</f>
        <v>0.42324390866063455</v>
      </c>
      <c r="H23" s="573"/>
    </row>
    <row r="24" spans="1:10">
      <c r="A24" s="605"/>
      <c r="B24" s="622" t="s">
        <v>459</v>
      </c>
      <c r="C24" s="602">
        <f>Mombasa!D9</f>
        <v>0</v>
      </c>
      <c r="D24" s="623"/>
      <c r="E24" s="602">
        <f>Mombasa!E9</f>
        <v>0</v>
      </c>
      <c r="F24" s="624"/>
      <c r="G24" s="602">
        <f>Mombasa!F9</f>
        <v>0</v>
      </c>
      <c r="H24" s="573"/>
    </row>
    <row r="25" spans="1:10">
      <c r="A25" s="605"/>
      <c r="B25" s="622" t="s">
        <v>460</v>
      </c>
      <c r="C25" s="602">
        <f>Mombasa!D11</f>
        <v>0</v>
      </c>
      <c r="D25" s="623"/>
      <c r="E25" s="602">
        <f>Mombasa!E11</f>
        <v>0</v>
      </c>
      <c r="F25" s="624"/>
      <c r="G25" s="602">
        <f>Mombasa!F11</f>
        <v>0</v>
      </c>
      <c r="H25" s="573"/>
    </row>
    <row r="26" spans="1:10">
      <c r="A26" s="605"/>
      <c r="B26" s="622" t="s">
        <v>334</v>
      </c>
      <c r="C26" s="602">
        <f>Mombasa!D13</f>
        <v>0</v>
      </c>
      <c r="D26" s="623"/>
      <c r="E26" s="602">
        <f>Mombasa!E13</f>
        <v>0</v>
      </c>
      <c r="F26" s="624"/>
      <c r="G26" s="602">
        <f>Mombasa!F13</f>
        <v>0</v>
      </c>
      <c r="H26" s="573"/>
    </row>
    <row r="27" spans="1:10">
      <c r="A27" s="605"/>
      <c r="B27" s="622" t="s">
        <v>332</v>
      </c>
      <c r="C27" s="602">
        <f>Mombasa!D15</f>
        <v>0.70445023980428223</v>
      </c>
      <c r="D27" s="623"/>
      <c r="E27" s="602">
        <f>Mombasa!E15</f>
        <v>0.43092702366521302</v>
      </c>
      <c r="F27" s="624"/>
      <c r="G27" s="602">
        <f>Mombasa!F15</f>
        <v>0.42324390866063455</v>
      </c>
      <c r="H27" s="573"/>
    </row>
    <row r="28" spans="1:10">
      <c r="A28" s="605" t="s">
        <v>404</v>
      </c>
      <c r="B28" s="620" t="s">
        <v>427</v>
      </c>
      <c r="C28" s="618">
        <f>Mombasa!D18</f>
        <v>4.2039999999999997</v>
      </c>
      <c r="D28" s="618"/>
      <c r="E28" s="618">
        <f>Mombasa!E18</f>
        <v>4.1739999999999995</v>
      </c>
      <c r="F28" s="618"/>
      <c r="G28" s="618">
        <f>Mombasa!F18</f>
        <v>4.1739999999999995</v>
      </c>
      <c r="H28" s="573"/>
    </row>
    <row r="29" spans="1:10">
      <c r="A29" s="605"/>
      <c r="B29" s="620" t="s">
        <v>440</v>
      </c>
      <c r="C29" s="618">
        <f>C$9+C$20+C$22+C$23+C$28</f>
        <v>145.6947613997495</v>
      </c>
      <c r="D29" s="625"/>
      <c r="E29" s="626">
        <f>E$9+E$20+E$22+E$23+E$28</f>
        <v>148.15515254759296</v>
      </c>
      <c r="F29" s="625"/>
      <c r="G29" s="618">
        <f>G$9+G$20+G$22+G$23+G$28</f>
        <v>145.55983679661824</v>
      </c>
      <c r="H29" s="625"/>
    </row>
    <row r="30" spans="1:10">
      <c r="A30" s="605"/>
      <c r="B30" s="494" t="s">
        <v>444</v>
      </c>
      <c r="C30" s="606"/>
      <c r="D30" s="627" t="str">
        <f>CONCATENATE("+ ",ROUND((C$29*0.08),2))</f>
        <v>+ 11.66</v>
      </c>
      <c r="E30" s="628"/>
      <c r="F30" s="627" t="str">
        <f>CONCATENATE("+ ",ROUND((E$29*0.08),2))</f>
        <v>+ 11.85</v>
      </c>
      <c r="G30" s="606"/>
      <c r="H30" s="627" t="str">
        <f>CONCATENATE("+ ",ROUND((G$29*0.08),2))</f>
        <v>+ 11.64</v>
      </c>
    </row>
    <row r="31" spans="1:10">
      <c r="A31" s="605"/>
      <c r="B31" s="620" t="s">
        <v>436</v>
      </c>
      <c r="C31" s="606">
        <f>C$9+C$20+C$21+C$28</f>
        <v>145.6947613997495</v>
      </c>
      <c r="D31" s="629"/>
      <c r="E31" s="628">
        <f>E$9+E$20+E$21+E$28</f>
        <v>148.15515254759296</v>
      </c>
      <c r="F31" s="629"/>
      <c r="G31" s="606">
        <f>G$9+G$20+G$21+G$28</f>
        <v>145.55983679661824</v>
      </c>
      <c r="H31" s="629"/>
    </row>
    <row r="32" spans="1:10" ht="15" thickBot="1">
      <c r="A32" s="605"/>
      <c r="B32" s="630" t="s">
        <v>448</v>
      </c>
      <c r="C32" s="631" t="str">
        <f>D30</f>
        <v>+ 11.66</v>
      </c>
      <c r="D32" s="632"/>
      <c r="E32" s="631" t="str">
        <f>F30</f>
        <v>+ 11.85</v>
      </c>
      <c r="F32" s="632"/>
      <c r="G32" s="631" t="str">
        <f>H30</f>
        <v>+ 11.64</v>
      </c>
      <c r="H32" s="632"/>
    </row>
    <row r="33" spans="1:11" ht="15" thickBot="1">
      <c r="A33" s="605"/>
      <c r="B33" s="633" t="s">
        <v>418</v>
      </c>
      <c r="C33" s="634">
        <f>C31+C32</f>
        <v>157.35476139974949</v>
      </c>
      <c r="D33" s="634">
        <f>+D10+D30</f>
        <v>4.4290649032433258</v>
      </c>
      <c r="E33" s="635">
        <f>E31+E32</f>
        <v>160.00515254759296</v>
      </c>
      <c r="F33" s="634">
        <f>F10+F30</f>
        <v>3.6090574521374865</v>
      </c>
      <c r="G33" s="634">
        <f>G31+G32</f>
        <v>157.19983679661823</v>
      </c>
      <c r="H33" s="636">
        <f>H10+H30</f>
        <v>3.2077517448881281</v>
      </c>
      <c r="K33" s="162"/>
    </row>
    <row r="34" spans="1:11" ht="15" thickBot="1"/>
    <row r="35" spans="1:11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11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11">
      <c r="A37" s="605" t="s">
        <v>428</v>
      </c>
      <c r="B37" s="503" t="s">
        <v>422</v>
      </c>
      <c r="C37" s="236">
        <f>C33</f>
        <v>157.35476139974949</v>
      </c>
      <c r="D37" s="573"/>
      <c r="E37" s="236">
        <f>E33</f>
        <v>160.00515254759296</v>
      </c>
      <c r="F37" s="573"/>
      <c r="G37" s="236">
        <f>G33</f>
        <v>157.19983679661823</v>
      </c>
      <c r="H37" s="629"/>
    </row>
    <row r="38" spans="1:11">
      <c r="A38" s="605"/>
      <c r="B38" s="637" t="s">
        <v>425</v>
      </c>
      <c r="C38" s="638"/>
      <c r="D38" s="609">
        <f>-C32</f>
        <v>-11.66</v>
      </c>
      <c r="E38" s="639"/>
      <c r="F38" s="609">
        <f>-E32</f>
        <v>-11.85</v>
      </c>
      <c r="G38" s="638"/>
      <c r="H38" s="609">
        <f>-G32</f>
        <v>-11.64</v>
      </c>
    </row>
    <row r="39" spans="1:11">
      <c r="A39" s="605" t="s">
        <v>429</v>
      </c>
      <c r="B39" s="613" t="s">
        <v>644</v>
      </c>
      <c r="C39" s="613"/>
      <c r="D39" s="943"/>
      <c r="E39" s="879"/>
      <c r="F39" s="943"/>
      <c r="G39" s="613"/>
      <c r="H39" s="943"/>
    </row>
    <row r="40" spans="1:11">
      <c r="A40" s="605"/>
      <c r="B40" s="948" t="s">
        <v>646</v>
      </c>
      <c r="C40" s="613">
        <f>Malindi!G23</f>
        <v>1.3891159545769578</v>
      </c>
      <c r="D40" s="943"/>
      <c r="E40" s="880">
        <f>C40</f>
        <v>1.3891159545769578</v>
      </c>
      <c r="F40" s="943"/>
      <c r="G40" s="613">
        <f>E40</f>
        <v>1.3891159545769578</v>
      </c>
      <c r="H40" s="943"/>
    </row>
    <row r="41" spans="1:11" s="392" customFormat="1">
      <c r="A41" s="605"/>
      <c r="B41" s="640" t="s">
        <v>647</v>
      </c>
      <c r="C41" s="618">
        <f>SUM(C40)</f>
        <v>1.3891159545769578</v>
      </c>
      <c r="D41" s="944"/>
      <c r="E41" s="626">
        <f>SUM(E40)</f>
        <v>1.3891159545769578</v>
      </c>
      <c r="F41" s="949"/>
      <c r="G41" s="618">
        <f>SUM(G40)</f>
        <v>1.3891159545769578</v>
      </c>
      <c r="H41" s="944"/>
    </row>
    <row r="42" spans="1:11">
      <c r="A42" s="605" t="s">
        <v>642</v>
      </c>
      <c r="B42" s="503" t="s">
        <v>426</v>
      </c>
      <c r="C42" s="236">
        <f>Mombasa!D22</f>
        <v>8.19</v>
      </c>
      <c r="D42" s="573"/>
      <c r="E42" s="236">
        <f>Mombasa!E22</f>
        <v>8.19</v>
      </c>
      <c r="F42" s="573"/>
      <c r="G42" s="236">
        <f>Mombasa!F22</f>
        <v>8.19</v>
      </c>
      <c r="H42" s="629"/>
    </row>
    <row r="43" spans="1:11">
      <c r="B43" s="620" t="s">
        <v>447</v>
      </c>
      <c r="C43" s="613">
        <f>C$37+C$42+C$41</f>
        <v>166.93387735432646</v>
      </c>
      <c r="D43" s="610"/>
      <c r="E43" s="613">
        <f>E$37+E$42+E$41</f>
        <v>169.58426850216992</v>
      </c>
      <c r="F43" s="610"/>
      <c r="G43" s="236">
        <f>G$37+G$42+G$41</f>
        <v>166.77895275119519</v>
      </c>
      <c r="H43" s="573"/>
    </row>
    <row r="44" spans="1:11">
      <c r="B44" s="640" t="s">
        <v>458</v>
      </c>
      <c r="C44" s="641">
        <v>0</v>
      </c>
      <c r="D44" s="610"/>
      <c r="E44" s="641">
        <v>0</v>
      </c>
      <c r="F44" s="610"/>
      <c r="G44" s="642">
        <v>0</v>
      </c>
      <c r="H44" s="573"/>
    </row>
    <row r="45" spans="1:11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11">
      <c r="B46" s="620" t="s">
        <v>432</v>
      </c>
      <c r="C46" s="641">
        <f>C$43-C44-C45+D$38</f>
        <v>155.27387735432646</v>
      </c>
      <c r="D46" s="641"/>
      <c r="E46" s="641">
        <f>E$43-E44-E45+F$38</f>
        <v>157.73426850216993</v>
      </c>
      <c r="F46" s="641"/>
      <c r="G46" s="641">
        <f>G$43-G44-G45+H$38</f>
        <v>155.13895275119518</v>
      </c>
      <c r="H46" s="573"/>
    </row>
    <row r="47" spans="1:11">
      <c r="B47" s="503" t="s">
        <v>445</v>
      </c>
      <c r="C47" s="644"/>
      <c r="D47" s="627" t="str">
        <f>CONCATENATE("+ ",ROUND((C$46*0.08),2))</f>
        <v>+ 12.42</v>
      </c>
      <c r="E47" s="644"/>
      <c r="F47" s="627" t="str">
        <f>CONCATENATE("+ ",ROUND((E$46*0.08),2))</f>
        <v>+ 12.62</v>
      </c>
      <c r="G47" s="645"/>
      <c r="H47" s="627" t="str">
        <f>CONCATENATE("+ ",ROUND((G$46*0.08),2))</f>
        <v>+ 12.41</v>
      </c>
    </row>
    <row r="48" spans="1:11" ht="15" thickBot="1">
      <c r="B48" s="646" t="s">
        <v>449</v>
      </c>
      <c r="C48" s="702" t="str">
        <f>D47</f>
        <v>+ 12.42</v>
      </c>
      <c r="D48" s="632"/>
      <c r="E48" s="631" t="str">
        <f>F47</f>
        <v>+ 12.62</v>
      </c>
      <c r="F48" s="632"/>
      <c r="G48" s="631" t="str">
        <f>H47</f>
        <v>+ 12.41</v>
      </c>
      <c r="H48" s="632"/>
    </row>
    <row r="49" spans="1:8" s="392" customFormat="1" ht="15" thickBot="1">
      <c r="B49" s="647" t="s">
        <v>452</v>
      </c>
      <c r="C49" s="648">
        <f>C$46+C$48+C$44+C$45</f>
        <v>167.69387735432645</v>
      </c>
      <c r="D49" s="649">
        <f>D38+D47</f>
        <v>0.75999999999999979</v>
      </c>
      <c r="E49" s="648">
        <f>E$46+E$48+E$44+E$45</f>
        <v>170.35426850216993</v>
      </c>
      <c r="F49" s="649">
        <f>F38+F47</f>
        <v>0.76999999999999957</v>
      </c>
      <c r="G49" s="650">
        <f>G$46+G$48+G$44+G$45</f>
        <v>167.54895275119517</v>
      </c>
      <c r="H49" s="651">
        <f>H38+H47</f>
        <v>0.76999999999999957</v>
      </c>
    </row>
    <row r="50" spans="1:8" s="392" customFormat="1">
      <c r="B50" s="652"/>
      <c r="C50" s="653"/>
      <c r="D50" s="652"/>
      <c r="E50" s="653"/>
      <c r="F50" s="652"/>
      <c r="G50" s="653"/>
      <c r="H50" s="653"/>
    </row>
    <row r="51" spans="1:8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8" hidden="1"/>
    <row r="53" spans="1:8" hidden="1">
      <c r="B53" s="656" t="s">
        <v>441</v>
      </c>
      <c r="C53" s="657">
        <f>Mombasa!D26</f>
        <v>154.61210483715561</v>
      </c>
      <c r="D53" s="162">
        <f>C9+C20+C21+C28+C42+0.16*C8+0.16*SUM(C24:C25)</f>
        <v>153.98809640775983</v>
      </c>
      <c r="E53" s="657">
        <f>'Breakdown for PMS, AGO &amp; DPK'!E26</f>
        <v>160.05845058085328</v>
      </c>
      <c r="G53" s="657">
        <f>'Breakdown for PMS, AGO &amp; DPK'!F26</f>
        <v>157.48855959511991</v>
      </c>
    </row>
    <row r="54" spans="1:8" ht="15" hidden="1" thickBot="1">
      <c r="B54" s="658" t="s">
        <v>442</v>
      </c>
      <c r="C54" s="659">
        <f>C49-C53</f>
        <v>13.081772517170833</v>
      </c>
      <c r="D54" s="162">
        <f>C53-D53</f>
        <v>0.62400842939578638</v>
      </c>
      <c r="E54" s="659">
        <f>E49-E53</f>
        <v>10.295817921316655</v>
      </c>
      <c r="G54" s="659">
        <f>G49-G53</f>
        <v>10.060393156075264</v>
      </c>
    </row>
    <row r="55" spans="1:8" ht="15" hidden="1" thickBot="1">
      <c r="B55" s="660" t="s">
        <v>443</v>
      </c>
      <c r="C55" s="661">
        <f>C54/C53</f>
        <v>8.4610273761870983E-2</v>
      </c>
      <c r="D55" s="662">
        <f>7-5.55+3.89-3.112</f>
        <v>2.2279999999999998</v>
      </c>
      <c r="E55" s="661">
        <f>E54/E53</f>
        <v>6.4325362915566509E-2</v>
      </c>
      <c r="F55" s="392"/>
      <c r="G55" s="661">
        <f>G54/G53</f>
        <v>6.3880152196064688E-2</v>
      </c>
    </row>
    <row r="56" spans="1:8" ht="15" hidden="1" thickBot="1">
      <c r="B56" s="663" t="s">
        <v>451</v>
      </c>
      <c r="C56" s="664">
        <f>D$33+D$49+-$D$10</f>
        <v>12.42</v>
      </c>
      <c r="E56" s="664">
        <f>F$33+F$49</f>
        <v>4.3790574521374861</v>
      </c>
      <c r="G56" s="664">
        <f>H$33+H$49</f>
        <v>3.9777517448881277</v>
      </c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rgb="FF00CC00"/>
  </sheetPr>
  <dimension ref="B2:K31"/>
  <sheetViews>
    <sheetView topLeftCell="A11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63.7265625" style="159" bestFit="1" customWidth="1"/>
    <col min="9" max="16384" width="9.1796875" style="159"/>
  </cols>
  <sheetData>
    <row r="2" spans="2:11">
      <c r="C2" s="258" t="s">
        <v>74</v>
      </c>
      <c r="G2" s="160"/>
    </row>
    <row r="3" spans="2:11">
      <c r="C3" s="258" t="s">
        <v>27</v>
      </c>
      <c r="G3" s="160"/>
    </row>
    <row r="4" spans="2:11">
      <c r="C4" s="259" t="str">
        <f>Malindi!C4</f>
        <v>March 15 - April 14, 2023</v>
      </c>
      <c r="D4" s="258"/>
      <c r="E4" s="160"/>
      <c r="F4" s="160"/>
      <c r="G4" s="260"/>
    </row>
    <row r="5" spans="2:11">
      <c r="C5" s="160"/>
      <c r="D5" s="160"/>
      <c r="E5" s="160"/>
      <c r="F5" s="160"/>
      <c r="G5" s="261"/>
      <c r="H5" s="262"/>
      <c r="I5" s="262"/>
      <c r="J5" s="262"/>
      <c r="K5" s="262"/>
    </row>
    <row r="6" spans="2:11">
      <c r="C6" s="263"/>
      <c r="D6" s="264" t="s">
        <v>0</v>
      </c>
      <c r="E6" s="264" t="s">
        <v>1</v>
      </c>
      <c r="F6" s="264" t="s">
        <v>3</v>
      </c>
      <c r="G6" s="160"/>
      <c r="H6" s="262"/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Mombasa!G8</f>
        <v>1.1599999999999999</v>
      </c>
      <c r="H8" s="262" t="s">
        <v>42</v>
      </c>
      <c r="I8" s="262"/>
      <c r="J8" s="262"/>
      <c r="K8" s="262"/>
    </row>
    <row r="9" spans="2:11" ht="15" thickBot="1">
      <c r="C9" s="263" t="s">
        <v>20</v>
      </c>
      <c r="D9" s="195">
        <f>$G$10*$G$9*$G$8</f>
        <v>0</v>
      </c>
      <c r="E9" s="195">
        <f>$G$10*$G$9*$G$8</f>
        <v>0</v>
      </c>
      <c r="F9" s="195">
        <f>$G$10*$G$9*$G$8</f>
        <v>0</v>
      </c>
      <c r="G9" s="303">
        <v>0</v>
      </c>
      <c r="H9" s="262" t="s">
        <v>28</v>
      </c>
      <c r="I9" s="262"/>
      <c r="J9" s="262"/>
      <c r="K9" s="262"/>
    </row>
    <row r="10" spans="2:11" ht="15" thickBot="1">
      <c r="C10" s="263"/>
      <c r="D10" s="274"/>
      <c r="E10" s="274"/>
      <c r="F10" s="274"/>
      <c r="G10" s="304">
        <v>0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195">
        <f>$G$11*G12*$G$8</f>
        <v>0</v>
      </c>
      <c r="E11" s="195">
        <f>$G$11*G12*$G$8</f>
        <v>0</v>
      </c>
      <c r="F11" s="195">
        <f>$G$11*G12*$G$8</f>
        <v>0</v>
      </c>
      <c r="G11" s="305">
        <f>8.14*G14/1000</f>
        <v>0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0</v>
      </c>
      <c r="E13" s="277">
        <f>$G$13*E7</f>
        <v>0</v>
      </c>
      <c r="F13" s="277">
        <f>$G$13*F7</f>
        <v>0</v>
      </c>
      <c r="G13" s="278">
        <v>0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0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Mombasa!D18</f>
        <v>4.2039999999999997</v>
      </c>
      <c r="E17" s="280">
        <f>Mombasa!E18</f>
        <v>4.1739999999999995</v>
      </c>
      <c r="F17" s="280">
        <f>Mombasa!F18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145.79849820066073</v>
      </c>
      <c r="E19" s="282">
        <f>SUM(E7:E18)</f>
        <v>148.24726824540289</v>
      </c>
      <c r="F19" s="282">
        <f>SUM(F7:F18)</f>
        <v>145.67854679553881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Mombasa!D22</f>
        <v>8.19</v>
      </c>
      <c r="E21" s="168">
        <f>Mombasa!E22</f>
        <v>8.19</v>
      </c>
      <c r="F21" s="168">
        <f>Mombasa!F22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2.2086943677773627</v>
      </c>
      <c r="E23" s="283">
        <f t="shared" ref="E23:F23" si="0">$G$23*$G$8</f>
        <v>2.2086943677773627</v>
      </c>
      <c r="F23" s="283">
        <f t="shared" si="0"/>
        <v>2.2086943677773627</v>
      </c>
      <c r="G23" s="284">
        <f>'Delivery &gt;40km-Sept 2013'!E24*I23/1000</f>
        <v>1.9040468687735888</v>
      </c>
      <c r="H23" s="262" t="s">
        <v>126</v>
      </c>
      <c r="I23" s="259">
        <v>159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306">
        <f>D19+D21+D23</f>
        <v>156.19719256843808</v>
      </c>
      <c r="E25" s="306">
        <f>E19+E21+E23</f>
        <v>158.64596261318025</v>
      </c>
      <c r="F25" s="306">
        <f>F19+F21+F23</f>
        <v>156.07724116331616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700"/>
      <c r="E27" s="700"/>
      <c r="F27" s="700"/>
    </row>
    <row r="28" spans="3:11">
      <c r="D28" s="700"/>
      <c r="E28" s="700"/>
      <c r="F28" s="700"/>
    </row>
    <row r="29" spans="3:11">
      <c r="D29" s="700"/>
      <c r="E29" s="700"/>
      <c r="F29" s="70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51210" r:id="rId4">
          <objectPr defaultSize="0" autoPict="0" r:id="rId5">
            <anchor>
              <from>
                <xdr:col>1</xdr:col>
                <xdr:colOff>57150</xdr:colOff>
                <xdr:row>18</xdr:row>
                <xdr:rowOff>171450</xdr:rowOff>
              </from>
              <to>
                <xdr:col>1</xdr:col>
                <xdr:colOff>527050</xdr:colOff>
                <xdr:row>19</xdr:row>
                <xdr:rowOff>171450</xdr:rowOff>
              </to>
            </anchor>
          </objectPr>
        </oleObject>
      </mc:Choice>
      <mc:Fallback>
        <oleObject progId="Equation.3" shapeId="51210" r:id="rId4"/>
      </mc:Fallback>
    </mc:AlternateContent>
  </oleObjec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rgb="FF0070C0"/>
  </sheetPr>
  <dimension ref="A2:K56"/>
  <sheetViews>
    <sheetView topLeftCell="A19" workbookViewId="0">
      <selection activeCell="D47" sqref="D47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8" width="15.453125" style="159" customWidth="1"/>
    <col min="9" max="9" width="3.26953125" style="159" customWidth="1"/>
    <col min="10" max="10" width="14.7265625" style="159" customWidth="1"/>
    <col min="11" max="16384" width="9.1796875" style="159"/>
  </cols>
  <sheetData>
    <row r="2" spans="1:8" ht="15" thickBot="1"/>
    <row r="3" spans="1:8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8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8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8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8" ht="18" customHeight="1">
      <c r="B7" s="597" t="s">
        <v>400</v>
      </c>
      <c r="C7" s="598">
        <f>'PMS SUMMARY'!D45</f>
        <v>89.740844909393786</v>
      </c>
      <c r="D7" s="599"/>
      <c r="E7" s="849">
        <f>'AGO SUMMARY'!E47</f>
        <v>102.43801744706063</v>
      </c>
      <c r="F7" s="600"/>
      <c r="G7" s="849">
        <f>'DPK SUMMARY'!D44</f>
        <v>104.66296430977627</v>
      </c>
      <c r="H7" s="599"/>
    </row>
    <row r="8" spans="1:8" s="163" customFormat="1">
      <c r="B8" s="601" t="s">
        <v>420</v>
      </c>
      <c r="C8" s="602">
        <f>'PMS SUMMARY'!D44</f>
        <v>0.64584380006463771</v>
      </c>
      <c r="D8" s="603"/>
      <c r="E8" s="850">
        <f>'AGO SUMMARY'!E46</f>
        <v>0.57376440122077432</v>
      </c>
      <c r="F8" s="604"/>
      <c r="G8" s="850">
        <f>'DPK SUMMARY'!D43</f>
        <v>0.74013887912213949</v>
      </c>
      <c r="H8" s="603"/>
    </row>
    <row r="9" spans="1:8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8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8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8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8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8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8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v>0</v>
      </c>
      <c r="H15" s="610"/>
    </row>
    <row r="16" spans="1:8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10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  <c r="J17" s="162"/>
    </row>
    <row r="18" spans="1:10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10">
      <c r="A19" s="605"/>
      <c r="B19" s="614" t="s">
        <v>319</v>
      </c>
      <c r="C19" s="613">
        <f>'Breakdown for PMS, AGO &amp; DPK'!D23</f>
        <v>1.7335007701822511</v>
      </c>
      <c r="D19" s="610"/>
      <c r="E19" s="613">
        <f>'Breakdown for PMS, AGO &amp; DPK'!E23</f>
        <v>1.994329137255715</v>
      </c>
      <c r="F19" s="616"/>
      <c r="G19" s="613">
        <f>'Breakdown for PMS, AGO &amp; DPK'!F23</f>
        <v>2.0134755528419217</v>
      </c>
      <c r="H19" s="610"/>
    </row>
    <row r="20" spans="1:10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10">
      <c r="A21" s="605" t="s">
        <v>403</v>
      </c>
      <c r="B21" s="620" t="s">
        <v>421</v>
      </c>
      <c r="C21" s="618">
        <f>SUM(C$22:C$23)</f>
        <v>0.70445023980428223</v>
      </c>
      <c r="D21" s="573"/>
      <c r="E21" s="618">
        <f>SUM(E$22:E$23)</f>
        <v>0.43092702366521302</v>
      </c>
      <c r="F21" s="621"/>
      <c r="G21" s="618">
        <f>SUM(G$22:G$23)</f>
        <v>0.42324390866063455</v>
      </c>
      <c r="H21" s="573"/>
    </row>
    <row r="22" spans="1:10">
      <c r="A22" s="605"/>
      <c r="B22" s="614" t="s">
        <v>455</v>
      </c>
      <c r="C22" s="613">
        <f>SUM(C$24:C$25)</f>
        <v>0</v>
      </c>
      <c r="D22" s="573"/>
      <c r="E22" s="613">
        <f>SUM(E$24:E$25)</f>
        <v>0</v>
      </c>
      <c r="F22" s="621"/>
      <c r="G22" s="613">
        <f>SUM(G$24:G$25)</f>
        <v>0</v>
      </c>
      <c r="H22" s="573"/>
    </row>
    <row r="23" spans="1:10">
      <c r="A23" s="605"/>
      <c r="B23" s="614" t="s">
        <v>456</v>
      </c>
      <c r="C23" s="613">
        <f>C$26+C$27</f>
        <v>0.70445023980428223</v>
      </c>
      <c r="D23" s="573"/>
      <c r="E23" s="613">
        <f>E$26+E$27</f>
        <v>0.43092702366521302</v>
      </c>
      <c r="F23" s="621"/>
      <c r="G23" s="613">
        <f>G$26+G$27</f>
        <v>0.42324390866063455</v>
      </c>
      <c r="H23" s="573"/>
    </row>
    <row r="24" spans="1:10">
      <c r="A24" s="605"/>
      <c r="B24" s="622" t="s">
        <v>459</v>
      </c>
      <c r="C24" s="602">
        <f>Mombasa!D9</f>
        <v>0</v>
      </c>
      <c r="D24" s="623"/>
      <c r="E24" s="602">
        <f>Mombasa!E9</f>
        <v>0</v>
      </c>
      <c r="F24" s="624"/>
      <c r="G24" s="602">
        <f>Mombasa!F9</f>
        <v>0</v>
      </c>
      <c r="H24" s="573"/>
    </row>
    <row r="25" spans="1:10">
      <c r="A25" s="605"/>
      <c r="B25" s="622" t="s">
        <v>460</v>
      </c>
      <c r="C25" s="602">
        <f>Mombasa!D11</f>
        <v>0</v>
      </c>
      <c r="D25" s="623"/>
      <c r="E25" s="602">
        <f>Mombasa!E11</f>
        <v>0</v>
      </c>
      <c r="F25" s="624"/>
      <c r="G25" s="602">
        <f>Mombasa!F11</f>
        <v>0</v>
      </c>
      <c r="H25" s="573"/>
    </row>
    <row r="26" spans="1:10">
      <c r="A26" s="605"/>
      <c r="B26" s="622" t="s">
        <v>334</v>
      </c>
      <c r="C26" s="602">
        <f>Mombasa!D13</f>
        <v>0</v>
      </c>
      <c r="D26" s="623"/>
      <c r="E26" s="602">
        <f>Mombasa!E13</f>
        <v>0</v>
      </c>
      <c r="F26" s="624"/>
      <c r="G26" s="602">
        <f>Mombasa!F13</f>
        <v>0</v>
      </c>
      <c r="H26" s="573"/>
    </row>
    <row r="27" spans="1:10">
      <c r="A27" s="605"/>
      <c r="B27" s="622" t="s">
        <v>332</v>
      </c>
      <c r="C27" s="602">
        <f>Mombasa!D15</f>
        <v>0.70445023980428223</v>
      </c>
      <c r="D27" s="623"/>
      <c r="E27" s="602">
        <f>Mombasa!E15</f>
        <v>0.43092702366521302</v>
      </c>
      <c r="F27" s="624"/>
      <c r="G27" s="602">
        <f>Mombasa!F15</f>
        <v>0.42324390866063455</v>
      </c>
      <c r="H27" s="573"/>
    </row>
    <row r="28" spans="1:10">
      <c r="A28" s="605" t="s">
        <v>404</v>
      </c>
      <c r="B28" s="620" t="s">
        <v>427</v>
      </c>
      <c r="C28" s="618">
        <f>Mombasa!D18</f>
        <v>4.2039999999999997</v>
      </c>
      <c r="D28" s="618"/>
      <c r="E28" s="618">
        <f>Mombasa!E18</f>
        <v>4.1739999999999995</v>
      </c>
      <c r="F28" s="618"/>
      <c r="G28" s="618">
        <f>Mombasa!F18</f>
        <v>4.1739999999999995</v>
      </c>
      <c r="H28" s="573"/>
    </row>
    <row r="29" spans="1:10">
      <c r="A29" s="605"/>
      <c r="B29" s="620" t="s">
        <v>440</v>
      </c>
      <c r="C29" s="618">
        <f>C$9+C$20+C$22+C$23+C$28</f>
        <v>145.6947613997495</v>
      </c>
      <c r="D29" s="625"/>
      <c r="E29" s="626">
        <f>E$9+E$20+E$22+E$23+E$28</f>
        <v>148.15515254759296</v>
      </c>
      <c r="F29" s="625"/>
      <c r="G29" s="618">
        <f>G$9+G$20+G$22+G$23+G$28</f>
        <v>145.55983679661824</v>
      </c>
      <c r="H29" s="625"/>
    </row>
    <row r="30" spans="1:10">
      <c r="A30" s="605"/>
      <c r="B30" s="494" t="s">
        <v>444</v>
      </c>
      <c r="C30" s="606"/>
      <c r="D30" s="627" t="str">
        <f>CONCATENATE("+ ",ROUND((C$29*0.08),2))</f>
        <v>+ 11.66</v>
      </c>
      <c r="E30" s="628"/>
      <c r="F30" s="627" t="str">
        <f>CONCATENATE("+ ",ROUND((E$29*0.08),2))</f>
        <v>+ 11.85</v>
      </c>
      <c r="G30" s="606"/>
      <c r="H30" s="627" t="str">
        <f>CONCATENATE("+ ",ROUND((G$29*0.08),2))</f>
        <v>+ 11.64</v>
      </c>
    </row>
    <row r="31" spans="1:10">
      <c r="A31" s="605"/>
      <c r="B31" s="620" t="s">
        <v>436</v>
      </c>
      <c r="C31" s="606">
        <f>C$9+C$20+C$21+C$28</f>
        <v>145.6947613997495</v>
      </c>
      <c r="D31" s="629"/>
      <c r="E31" s="628">
        <f>E$9+E$20+E$21+E$28</f>
        <v>148.15515254759296</v>
      </c>
      <c r="F31" s="629"/>
      <c r="G31" s="606">
        <f>G$9+G$20+G$21+G$28</f>
        <v>145.55983679661824</v>
      </c>
      <c r="H31" s="629"/>
    </row>
    <row r="32" spans="1:10" ht="15" thickBot="1">
      <c r="A32" s="605"/>
      <c r="B32" s="630" t="s">
        <v>448</v>
      </c>
      <c r="C32" s="631" t="str">
        <f>D30</f>
        <v>+ 11.66</v>
      </c>
      <c r="D32" s="632"/>
      <c r="E32" s="631" t="str">
        <f>F30</f>
        <v>+ 11.85</v>
      </c>
      <c r="F32" s="632"/>
      <c r="G32" s="631" t="str">
        <f>H30</f>
        <v>+ 11.64</v>
      </c>
      <c r="H32" s="632"/>
    </row>
    <row r="33" spans="1:11" ht="15" thickBot="1">
      <c r="A33" s="605"/>
      <c r="B33" s="633" t="s">
        <v>418</v>
      </c>
      <c r="C33" s="634">
        <f>C31+C32</f>
        <v>157.35476139974949</v>
      </c>
      <c r="D33" s="634">
        <f>+D10+D30</f>
        <v>4.4290649032433258</v>
      </c>
      <c r="E33" s="635">
        <f>E31+E32</f>
        <v>160.00515254759296</v>
      </c>
      <c r="F33" s="634">
        <f>F10+F30</f>
        <v>3.6090574521374865</v>
      </c>
      <c r="G33" s="634">
        <f>G31+G32</f>
        <v>157.19983679661823</v>
      </c>
      <c r="H33" s="636">
        <f>H10+H30</f>
        <v>3.2077517448881281</v>
      </c>
      <c r="K33" s="162"/>
    </row>
    <row r="34" spans="1:11" ht="15" thickBot="1"/>
    <row r="35" spans="1:11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11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11">
      <c r="A37" s="605" t="s">
        <v>428</v>
      </c>
      <c r="B37" s="503" t="s">
        <v>422</v>
      </c>
      <c r="C37" s="236">
        <f>C33</f>
        <v>157.35476139974949</v>
      </c>
      <c r="D37" s="573"/>
      <c r="E37" s="236">
        <f>E33</f>
        <v>160.00515254759296</v>
      </c>
      <c r="F37" s="573"/>
      <c r="G37" s="236">
        <f>G33</f>
        <v>157.19983679661823</v>
      </c>
      <c r="H37" s="629"/>
    </row>
    <row r="38" spans="1:11">
      <c r="A38" s="605"/>
      <c r="B38" s="637" t="s">
        <v>425</v>
      </c>
      <c r="C38" s="638"/>
      <c r="D38" s="609">
        <f>-C32</f>
        <v>-11.66</v>
      </c>
      <c r="E38" s="639"/>
      <c r="F38" s="609">
        <f>-E32</f>
        <v>-11.85</v>
      </c>
      <c r="G38" s="638"/>
      <c r="H38" s="609">
        <f>-G32</f>
        <v>-11.64</v>
      </c>
    </row>
    <row r="39" spans="1:11">
      <c r="A39" s="605" t="s">
        <v>429</v>
      </c>
      <c r="B39" s="613" t="s">
        <v>644</v>
      </c>
      <c r="C39" s="613"/>
      <c r="D39" s="943"/>
      <c r="E39" s="879"/>
      <c r="F39" s="943"/>
      <c r="G39" s="613"/>
      <c r="H39" s="943"/>
    </row>
    <row r="40" spans="1:11">
      <c r="A40" s="605"/>
      <c r="B40" s="948" t="s">
        <v>646</v>
      </c>
      <c r="C40" s="613">
        <f>Voi!G23</f>
        <v>1.9040468687735888</v>
      </c>
      <c r="D40" s="943"/>
      <c r="E40" s="880">
        <f>C40</f>
        <v>1.9040468687735888</v>
      </c>
      <c r="F40" s="943"/>
      <c r="G40" s="613">
        <f>E40</f>
        <v>1.9040468687735888</v>
      </c>
      <c r="H40" s="943"/>
    </row>
    <row r="41" spans="1:11" s="392" customFormat="1">
      <c r="A41" s="605"/>
      <c r="B41" s="640" t="s">
        <v>647</v>
      </c>
      <c r="C41" s="618">
        <f>SUM(C40)</f>
        <v>1.9040468687735888</v>
      </c>
      <c r="D41" s="944"/>
      <c r="E41" s="626">
        <f>SUM(E40)</f>
        <v>1.9040468687735888</v>
      </c>
      <c r="F41" s="949"/>
      <c r="G41" s="618">
        <f>SUM(G40)</f>
        <v>1.9040468687735888</v>
      </c>
      <c r="H41" s="944"/>
    </row>
    <row r="42" spans="1:11">
      <c r="A42" s="605" t="s">
        <v>642</v>
      </c>
      <c r="B42" s="503" t="s">
        <v>426</v>
      </c>
      <c r="C42" s="236">
        <f>Mombasa!D22</f>
        <v>8.19</v>
      </c>
      <c r="D42" s="573"/>
      <c r="E42" s="236">
        <f>Mombasa!E22</f>
        <v>8.19</v>
      </c>
      <c r="F42" s="573"/>
      <c r="G42" s="236">
        <f>Mombasa!F22</f>
        <v>8.19</v>
      </c>
      <c r="H42" s="629"/>
    </row>
    <row r="43" spans="1:11">
      <c r="B43" s="620" t="s">
        <v>447</v>
      </c>
      <c r="C43" s="613">
        <f>C$37+C$42+C$41</f>
        <v>167.44880826852307</v>
      </c>
      <c r="D43" s="610"/>
      <c r="E43" s="613">
        <f>E$37+E$42+E$41</f>
        <v>170.09919941636653</v>
      </c>
      <c r="F43" s="610"/>
      <c r="G43" s="236">
        <f>G$37+G$42+G$41</f>
        <v>167.2938836653918</v>
      </c>
      <c r="H43" s="573"/>
    </row>
    <row r="44" spans="1:11">
      <c r="B44" s="640" t="s">
        <v>458</v>
      </c>
      <c r="C44" s="641">
        <v>0</v>
      </c>
      <c r="D44" s="610"/>
      <c r="E44" s="641">
        <v>0</v>
      </c>
      <c r="F44" s="610"/>
      <c r="G44" s="642">
        <v>0</v>
      </c>
      <c r="H44" s="573"/>
    </row>
    <row r="45" spans="1:11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11">
      <c r="B46" s="620" t="s">
        <v>432</v>
      </c>
      <c r="C46" s="641">
        <f>C$43-C44-C45+D$38</f>
        <v>155.78880826852307</v>
      </c>
      <c r="D46" s="641"/>
      <c r="E46" s="641">
        <f>E$43-E44-E45+F$38</f>
        <v>158.24919941636654</v>
      </c>
      <c r="F46" s="641"/>
      <c r="G46" s="641">
        <f>G$43-G44-G45+H$38</f>
        <v>155.65388366539179</v>
      </c>
      <c r="H46" s="573"/>
    </row>
    <row r="47" spans="1:11">
      <c r="B47" s="503" t="s">
        <v>445</v>
      </c>
      <c r="C47" s="644"/>
      <c r="D47" s="627" t="str">
        <f>CONCATENATE("+ ",ROUND((C$46*0.08),2))</f>
        <v>+ 12.46</v>
      </c>
      <c r="E47" s="644"/>
      <c r="F47" s="627" t="str">
        <f>CONCATENATE("+ ",ROUND((E$46*0.08),2))</f>
        <v>+ 12.66</v>
      </c>
      <c r="G47" s="645"/>
      <c r="H47" s="627" t="str">
        <f>CONCATENATE("+ ",ROUND((G$46*0.08),2))</f>
        <v>+ 12.45</v>
      </c>
    </row>
    <row r="48" spans="1:11" ht="15" thickBot="1">
      <c r="B48" s="646" t="s">
        <v>449</v>
      </c>
      <c r="C48" s="702" t="str">
        <f>D47</f>
        <v>+ 12.46</v>
      </c>
      <c r="D48" s="632"/>
      <c r="E48" s="631" t="str">
        <f>F47</f>
        <v>+ 12.66</v>
      </c>
      <c r="F48" s="632"/>
      <c r="G48" s="631" t="str">
        <f>H47</f>
        <v>+ 12.45</v>
      </c>
      <c r="H48" s="632"/>
    </row>
    <row r="49" spans="1:8" s="392" customFormat="1" ht="15" thickBot="1">
      <c r="B49" s="647" t="s">
        <v>452</v>
      </c>
      <c r="C49" s="648">
        <f>C$46+C$48+C$44+C$45</f>
        <v>168.24880826852308</v>
      </c>
      <c r="D49" s="649">
        <f>D38+D47</f>
        <v>0.80000000000000071</v>
      </c>
      <c r="E49" s="698">
        <f>E$46+E$48+E$44+E$45</f>
        <v>170.90919941636653</v>
      </c>
      <c r="F49" s="649">
        <f>F38+F47</f>
        <v>0.8100000000000005</v>
      </c>
      <c r="G49" s="650">
        <f>G$46+G$48+G$44+G$45</f>
        <v>168.10388366539178</v>
      </c>
      <c r="H49" s="651">
        <f>H38+H47</f>
        <v>0.80999999999999872</v>
      </c>
    </row>
    <row r="50" spans="1:8" s="392" customFormat="1">
      <c r="B50" s="652"/>
      <c r="C50" s="653"/>
      <c r="D50" s="652"/>
      <c r="E50" s="653"/>
      <c r="F50" s="652"/>
      <c r="G50" s="653"/>
      <c r="H50" s="653"/>
    </row>
    <row r="51" spans="1:8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8" hidden="1"/>
    <row r="53" spans="1:8" hidden="1">
      <c r="B53" s="656" t="s">
        <v>441</v>
      </c>
      <c r="C53" s="657">
        <f>Mombasa!D26</f>
        <v>154.61210483715561</v>
      </c>
      <c r="D53" s="162">
        <f>C9+C20+C21+C28+C42+0.16*C8+0.16*SUM(C24:C25)</f>
        <v>153.98809640775983</v>
      </c>
      <c r="E53" s="657">
        <f>'Breakdown for PMS, AGO &amp; DPK'!E26</f>
        <v>160.05845058085328</v>
      </c>
      <c r="G53" s="657">
        <f>'Breakdown for PMS, AGO &amp; DPK'!F26</f>
        <v>157.48855959511991</v>
      </c>
    </row>
    <row r="54" spans="1:8" ht="15" hidden="1" thickBot="1">
      <c r="B54" s="658" t="s">
        <v>442</v>
      </c>
      <c r="C54" s="659">
        <f>C49-C53</f>
        <v>13.636703431367465</v>
      </c>
      <c r="D54" s="162">
        <f>C53-D53</f>
        <v>0.62400842939578638</v>
      </c>
      <c r="E54" s="659">
        <f>E49-E53</f>
        <v>10.850748835513258</v>
      </c>
      <c r="G54" s="659">
        <f>G49-G53</f>
        <v>10.615324070271868</v>
      </c>
    </row>
    <row r="55" spans="1:8" ht="15" hidden="1" thickBot="1">
      <c r="B55" s="660" t="s">
        <v>443</v>
      </c>
      <c r="C55" s="661">
        <f>C54/C53</f>
        <v>8.8199455312572395E-2</v>
      </c>
      <c r="D55" s="662">
        <f>7-5.55+3.89-3.112</f>
        <v>2.2279999999999998</v>
      </c>
      <c r="E55" s="661">
        <f>E54/E53</f>
        <v>6.7792414559405087E-2</v>
      </c>
      <c r="F55" s="392"/>
      <c r="G55" s="661">
        <f>G54/G53</f>
        <v>6.740377902726595E-2</v>
      </c>
    </row>
    <row r="56" spans="1:8" ht="15" hidden="1" thickBot="1">
      <c r="B56" s="663" t="s">
        <v>451</v>
      </c>
      <c r="C56" s="664">
        <f>D$33+D$49+-$D$10</f>
        <v>12.46</v>
      </c>
      <c r="E56" s="664">
        <f>F$33+F$49</f>
        <v>4.419057452137487</v>
      </c>
      <c r="G56" s="664">
        <f>H$33+H$49</f>
        <v>4.0177517448881268</v>
      </c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rgb="FF00CC00"/>
  </sheetPr>
  <dimension ref="B2:K31"/>
  <sheetViews>
    <sheetView topLeftCell="A13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4.81640625" style="159" bestFit="1" customWidth="1"/>
    <col min="9" max="16384" width="9.1796875" style="159"/>
  </cols>
  <sheetData>
    <row r="2" spans="2:11">
      <c r="C2" s="258" t="s">
        <v>75</v>
      </c>
      <c r="G2" s="160"/>
    </row>
    <row r="3" spans="2:11">
      <c r="C3" s="258" t="s">
        <v>27</v>
      </c>
      <c r="G3" s="160"/>
    </row>
    <row r="4" spans="2:11">
      <c r="C4" s="259" t="str">
        <f>Voi!C4</f>
        <v>March 15 - April 14, 2023</v>
      </c>
      <c r="D4" s="258"/>
      <c r="E4" s="160"/>
      <c r="F4" s="160"/>
      <c r="G4" s="260"/>
    </row>
    <row r="5" spans="2:11">
      <c r="C5" s="160"/>
      <c r="D5" s="160"/>
      <c r="E5" s="160"/>
      <c r="F5" s="160"/>
      <c r="G5" s="261"/>
      <c r="H5" s="262"/>
      <c r="I5" s="262"/>
      <c r="J5" s="262"/>
      <c r="K5" s="262"/>
    </row>
    <row r="6" spans="2:11">
      <c r="C6" s="263"/>
      <c r="D6" s="264" t="s">
        <v>0</v>
      </c>
      <c r="E6" s="264" t="s">
        <v>1</v>
      </c>
      <c r="F6" s="264" t="s">
        <v>3</v>
      </c>
      <c r="G6" s="160"/>
      <c r="H6" s="262"/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Mombasa!G8</f>
        <v>1.1599999999999999</v>
      </c>
      <c r="H8" s="262" t="s">
        <v>42</v>
      </c>
      <c r="I8" s="262"/>
      <c r="J8" s="262"/>
      <c r="K8" s="262"/>
    </row>
    <row r="9" spans="2:11" ht="15" thickBot="1">
      <c r="C9" s="263" t="s">
        <v>20</v>
      </c>
      <c r="D9" s="195">
        <f>$G$10*$G$9*$G$8</f>
        <v>0</v>
      </c>
      <c r="E9" s="195">
        <f>$G$10*$G$9*$G$8</f>
        <v>0</v>
      </c>
      <c r="F9" s="195">
        <f>$G$10*$G$9*$G$8</f>
        <v>0</v>
      </c>
      <c r="G9" s="303">
        <v>0</v>
      </c>
      <c r="H9" s="262" t="s">
        <v>28</v>
      </c>
      <c r="I9" s="262"/>
      <c r="J9" s="262"/>
      <c r="K9" s="262"/>
    </row>
    <row r="10" spans="2:11" ht="15" thickBot="1">
      <c r="C10" s="263"/>
      <c r="D10" s="274"/>
      <c r="E10" s="274"/>
      <c r="F10" s="274"/>
      <c r="G10" s="304">
        <v>0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195">
        <f>$G$11*G12*$G$8</f>
        <v>0</v>
      </c>
      <c r="E11" s="195">
        <f>$G$11*G12*$G$8</f>
        <v>0</v>
      </c>
      <c r="F11" s="195">
        <f>$G$11*G12*$G$8</f>
        <v>0</v>
      </c>
      <c r="G11" s="305">
        <f>8.14*G14/1000</f>
        <v>0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1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0</v>
      </c>
      <c r="E13" s="277">
        <f>$G$13*E7</f>
        <v>0</v>
      </c>
      <c r="F13" s="277">
        <f>$G$13*F7</f>
        <v>0</v>
      </c>
      <c r="G13" s="278">
        <v>0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0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Mombasa!D18</f>
        <v>4.2039999999999997</v>
      </c>
      <c r="E17" s="280">
        <f>Mombasa!E18</f>
        <v>4.1739999999999995</v>
      </c>
      <c r="F17" s="280">
        <f>Mombasa!F18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145.79849820066073</v>
      </c>
      <c r="E19" s="282">
        <f>SUM(E7:E18)</f>
        <v>148.24726824540289</v>
      </c>
      <c r="F19" s="282">
        <f>SUM(F7:F18)</f>
        <v>145.67854679553881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Mombasa!D22</f>
        <v>8.19</v>
      </c>
      <c r="E21" s="168">
        <f>Mombasa!E22</f>
        <v>8.19</v>
      </c>
      <c r="F21" s="168">
        <f>Mombasa!F22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3.7228307582662468</v>
      </c>
      <c r="E23" s="283">
        <f t="shared" ref="E23:F23" si="0">$G$23*$G$8</f>
        <v>3.7228307582662468</v>
      </c>
      <c r="F23" s="283">
        <f t="shared" si="0"/>
        <v>3.7228307582662468</v>
      </c>
      <c r="G23" s="284">
        <f>'Delivery &gt;40km-Sept 2013'!E24*I23/1000</f>
        <v>3.2093368605743509</v>
      </c>
      <c r="H23" s="262" t="s">
        <v>126</v>
      </c>
      <c r="I23" s="259">
        <v>268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306">
        <f>D19+D21+D23</f>
        <v>157.71132895892697</v>
      </c>
      <c r="E25" s="306">
        <f>E19+E21+E23</f>
        <v>160.16009900366913</v>
      </c>
      <c r="F25" s="306">
        <f>F19+F21+F23</f>
        <v>157.59137755380505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700"/>
      <c r="E27" s="700"/>
      <c r="F27" s="700"/>
    </row>
    <row r="28" spans="3:11">
      <c r="D28" s="700"/>
      <c r="E28" s="700"/>
      <c r="F28" s="700"/>
    </row>
    <row r="29" spans="3:11">
      <c r="D29" s="700"/>
      <c r="E29" s="700"/>
      <c r="F29" s="70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86026" r:id="rId4">
          <objectPr defaultSize="0" autoPict="0" r:id="rId5">
            <anchor>
              <from>
                <xdr:col>1</xdr:col>
                <xdr:colOff>57150</xdr:colOff>
                <xdr:row>18</xdr:row>
                <xdr:rowOff>171450</xdr:rowOff>
              </from>
              <to>
                <xdr:col>1</xdr:col>
                <xdr:colOff>527050</xdr:colOff>
                <xdr:row>19</xdr:row>
                <xdr:rowOff>171450</xdr:rowOff>
              </to>
            </anchor>
          </objectPr>
        </oleObject>
      </mc:Choice>
      <mc:Fallback>
        <oleObject progId="Equation.3" shapeId="86026" r:id="rId4"/>
      </mc:Fallback>
    </mc:AlternateContent>
  </oleObjec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rgb="FF0070C0"/>
  </sheetPr>
  <dimension ref="A2:K56"/>
  <sheetViews>
    <sheetView topLeftCell="A19" workbookViewId="0">
      <selection activeCell="E58" sqref="E58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8" width="15.453125" style="159" customWidth="1"/>
    <col min="9" max="9" width="3.26953125" style="159" customWidth="1"/>
    <col min="10" max="10" width="14.7265625" style="159" customWidth="1"/>
    <col min="11" max="16384" width="9.1796875" style="159"/>
  </cols>
  <sheetData>
    <row r="2" spans="1:8" ht="15" thickBot="1"/>
    <row r="3" spans="1:8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8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8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8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8" ht="18" customHeight="1">
      <c r="B7" s="597" t="s">
        <v>400</v>
      </c>
      <c r="C7" s="598">
        <f>'PMS SUMMARY'!D45</f>
        <v>89.740844909393786</v>
      </c>
      <c r="D7" s="599"/>
      <c r="E7" s="849">
        <f>'AGO SUMMARY'!E47</f>
        <v>102.43801744706063</v>
      </c>
      <c r="F7" s="600"/>
      <c r="G7" s="849">
        <f>'DPK SUMMARY'!D44</f>
        <v>104.66296430977627</v>
      </c>
      <c r="H7" s="599"/>
    </row>
    <row r="8" spans="1:8" s="163" customFormat="1">
      <c r="B8" s="601" t="s">
        <v>420</v>
      </c>
      <c r="C8" s="602">
        <f>'PMS SUMMARY'!D44</f>
        <v>0.64584380006463771</v>
      </c>
      <c r="D8" s="603"/>
      <c r="E8" s="850">
        <f>'AGO SUMMARY'!E46</f>
        <v>0.57376440122077432</v>
      </c>
      <c r="F8" s="604"/>
      <c r="G8" s="850">
        <f>'DPK SUMMARY'!D43</f>
        <v>0.74013887912213949</v>
      </c>
      <c r="H8" s="603"/>
    </row>
    <row r="9" spans="1:8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8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8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8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8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8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8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v>0</v>
      </c>
      <c r="H15" s="610"/>
    </row>
    <row r="16" spans="1:8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10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  <c r="J17" s="162"/>
    </row>
    <row r="18" spans="1:10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10">
      <c r="A19" s="605"/>
      <c r="B19" s="614" t="s">
        <v>319</v>
      </c>
      <c r="C19" s="613">
        <f>'Breakdown for PMS, AGO &amp; DPK'!D23</f>
        <v>1.7335007701822511</v>
      </c>
      <c r="D19" s="610"/>
      <c r="E19" s="613">
        <f>'Breakdown for PMS, AGO &amp; DPK'!E23</f>
        <v>1.994329137255715</v>
      </c>
      <c r="F19" s="616"/>
      <c r="G19" s="613">
        <f>'Breakdown for PMS, AGO &amp; DPK'!F23</f>
        <v>2.0134755528419217</v>
      </c>
      <c r="H19" s="610"/>
    </row>
    <row r="20" spans="1:10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10">
      <c r="A21" s="605" t="s">
        <v>403</v>
      </c>
      <c r="B21" s="620" t="s">
        <v>421</v>
      </c>
      <c r="C21" s="618">
        <f>SUM(C$22:C$23)</f>
        <v>0.70445023980428223</v>
      </c>
      <c r="D21" s="573"/>
      <c r="E21" s="618">
        <f>SUM(E$22:E$23)</f>
        <v>0.43092702366521302</v>
      </c>
      <c r="F21" s="621"/>
      <c r="G21" s="618">
        <f>SUM(G$22:G$23)</f>
        <v>0.42324390866063455</v>
      </c>
      <c r="H21" s="573"/>
    </row>
    <row r="22" spans="1:10">
      <c r="A22" s="605"/>
      <c r="B22" s="614" t="s">
        <v>455</v>
      </c>
      <c r="C22" s="613">
        <f>SUM(C$24:C$25)</f>
        <v>0</v>
      </c>
      <c r="D22" s="573"/>
      <c r="E22" s="613">
        <f>SUM(E$24:E$25)</f>
        <v>0</v>
      </c>
      <c r="F22" s="621"/>
      <c r="G22" s="613">
        <f>SUM(G$24:G$25)</f>
        <v>0</v>
      </c>
      <c r="H22" s="573"/>
    </row>
    <row r="23" spans="1:10">
      <c r="A23" s="605"/>
      <c r="B23" s="614" t="s">
        <v>456</v>
      </c>
      <c r="C23" s="613">
        <f>C$26+C$27</f>
        <v>0.70445023980428223</v>
      </c>
      <c r="D23" s="573"/>
      <c r="E23" s="613">
        <f>E$26+E$27</f>
        <v>0.43092702366521302</v>
      </c>
      <c r="F23" s="621"/>
      <c r="G23" s="613">
        <f>G$26+G$27</f>
        <v>0.42324390866063455</v>
      </c>
      <c r="H23" s="573"/>
    </row>
    <row r="24" spans="1:10">
      <c r="A24" s="605"/>
      <c r="B24" s="622" t="s">
        <v>459</v>
      </c>
      <c r="C24" s="602">
        <f>Mombasa!D9</f>
        <v>0</v>
      </c>
      <c r="D24" s="623"/>
      <c r="E24" s="602">
        <f>Mombasa!E9</f>
        <v>0</v>
      </c>
      <c r="F24" s="624"/>
      <c r="G24" s="602">
        <f>Mombasa!F9</f>
        <v>0</v>
      </c>
      <c r="H24" s="573"/>
    </row>
    <row r="25" spans="1:10">
      <c r="A25" s="605"/>
      <c r="B25" s="622" t="s">
        <v>460</v>
      </c>
      <c r="C25" s="602">
        <f>Mombasa!D11</f>
        <v>0</v>
      </c>
      <c r="D25" s="623"/>
      <c r="E25" s="602">
        <f>Mombasa!E11</f>
        <v>0</v>
      </c>
      <c r="F25" s="624"/>
      <c r="G25" s="602">
        <f>Mombasa!F11</f>
        <v>0</v>
      </c>
      <c r="H25" s="573"/>
    </row>
    <row r="26" spans="1:10">
      <c r="A26" s="605"/>
      <c r="B26" s="622" t="s">
        <v>334</v>
      </c>
      <c r="C26" s="602">
        <f>Mombasa!D13</f>
        <v>0</v>
      </c>
      <c r="D26" s="623"/>
      <c r="E26" s="602">
        <f>Mombasa!E13</f>
        <v>0</v>
      </c>
      <c r="F26" s="624"/>
      <c r="G26" s="602">
        <f>Mombasa!F13</f>
        <v>0</v>
      </c>
      <c r="H26" s="573"/>
    </row>
    <row r="27" spans="1:10">
      <c r="A27" s="605"/>
      <c r="B27" s="622" t="s">
        <v>332</v>
      </c>
      <c r="C27" s="602">
        <f>Mombasa!D15</f>
        <v>0.70445023980428223</v>
      </c>
      <c r="D27" s="623"/>
      <c r="E27" s="602">
        <f>Mombasa!E15</f>
        <v>0.43092702366521302</v>
      </c>
      <c r="F27" s="624"/>
      <c r="G27" s="602">
        <f>Mombasa!F15</f>
        <v>0.42324390866063455</v>
      </c>
      <c r="H27" s="573"/>
    </row>
    <row r="28" spans="1:10">
      <c r="A28" s="605" t="s">
        <v>404</v>
      </c>
      <c r="B28" s="620" t="s">
        <v>427</v>
      </c>
      <c r="C28" s="618">
        <f>Mombasa!D18</f>
        <v>4.2039999999999997</v>
      </c>
      <c r="D28" s="618"/>
      <c r="E28" s="618">
        <f>Mombasa!E18</f>
        <v>4.1739999999999995</v>
      </c>
      <c r="F28" s="618"/>
      <c r="G28" s="618">
        <f>Mombasa!F18</f>
        <v>4.1739999999999995</v>
      </c>
      <c r="H28" s="573"/>
    </row>
    <row r="29" spans="1:10">
      <c r="A29" s="605"/>
      <c r="B29" s="620" t="s">
        <v>440</v>
      </c>
      <c r="C29" s="618">
        <f>C$9+C$20+C$22+C$23+C$28</f>
        <v>145.6947613997495</v>
      </c>
      <c r="D29" s="625"/>
      <c r="E29" s="626">
        <f>E$9+E$20+E$22+E$23+E$28</f>
        <v>148.15515254759296</v>
      </c>
      <c r="F29" s="625"/>
      <c r="G29" s="618">
        <f>G$9+G$20+G$22+G$23+G$28</f>
        <v>145.55983679661824</v>
      </c>
      <c r="H29" s="625"/>
    </row>
    <row r="30" spans="1:10">
      <c r="A30" s="605"/>
      <c r="B30" s="494" t="s">
        <v>444</v>
      </c>
      <c r="C30" s="606"/>
      <c r="D30" s="627" t="str">
        <f>CONCATENATE("+ ",ROUND((C$29*0.08),2))</f>
        <v>+ 11.66</v>
      </c>
      <c r="E30" s="628"/>
      <c r="F30" s="627" t="str">
        <f>CONCATENATE("+ ",ROUND((E$29*0.08),2))</f>
        <v>+ 11.85</v>
      </c>
      <c r="G30" s="606"/>
      <c r="H30" s="627" t="str">
        <f>CONCATENATE("+ ",ROUND((G$29*0.08),2))</f>
        <v>+ 11.64</v>
      </c>
    </row>
    <row r="31" spans="1:10">
      <c r="A31" s="605"/>
      <c r="B31" s="620" t="s">
        <v>436</v>
      </c>
      <c r="C31" s="606">
        <f>C$9+C$20+C$21+C$28</f>
        <v>145.6947613997495</v>
      </c>
      <c r="D31" s="629"/>
      <c r="E31" s="628">
        <f>E$9+E$20+E$21+E$28</f>
        <v>148.15515254759296</v>
      </c>
      <c r="F31" s="629"/>
      <c r="G31" s="606">
        <f>G$9+G$20+G$21+G$28</f>
        <v>145.55983679661824</v>
      </c>
      <c r="H31" s="629"/>
    </row>
    <row r="32" spans="1:10" ht="15" thickBot="1">
      <c r="A32" s="605"/>
      <c r="B32" s="630" t="s">
        <v>448</v>
      </c>
      <c r="C32" s="631" t="str">
        <f>D30</f>
        <v>+ 11.66</v>
      </c>
      <c r="D32" s="632"/>
      <c r="E32" s="631" t="str">
        <f>F30</f>
        <v>+ 11.85</v>
      </c>
      <c r="F32" s="632"/>
      <c r="G32" s="631" t="str">
        <f>H30</f>
        <v>+ 11.64</v>
      </c>
      <c r="H32" s="632"/>
    </row>
    <row r="33" spans="1:11" ht="15" thickBot="1">
      <c r="A33" s="605"/>
      <c r="B33" s="633" t="s">
        <v>418</v>
      </c>
      <c r="C33" s="634">
        <f>C31+C32</f>
        <v>157.35476139974949</v>
      </c>
      <c r="D33" s="634">
        <f>+D10+D30</f>
        <v>4.4290649032433258</v>
      </c>
      <c r="E33" s="635">
        <f>E31+E32</f>
        <v>160.00515254759296</v>
      </c>
      <c r="F33" s="634">
        <f>F10+F30</f>
        <v>3.6090574521374865</v>
      </c>
      <c r="G33" s="634">
        <f>G31+G32</f>
        <v>157.19983679661823</v>
      </c>
      <c r="H33" s="636">
        <f>H10+H30</f>
        <v>3.2077517448881281</v>
      </c>
      <c r="K33" s="162"/>
    </row>
    <row r="34" spans="1:11" ht="15" thickBot="1"/>
    <row r="35" spans="1:11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11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11">
      <c r="A37" s="605" t="s">
        <v>428</v>
      </c>
      <c r="B37" s="503" t="s">
        <v>422</v>
      </c>
      <c r="C37" s="236">
        <f>C33</f>
        <v>157.35476139974949</v>
      </c>
      <c r="D37" s="573"/>
      <c r="E37" s="236">
        <f>E33</f>
        <v>160.00515254759296</v>
      </c>
      <c r="F37" s="573"/>
      <c r="G37" s="236">
        <f>G33</f>
        <v>157.19983679661823</v>
      </c>
      <c r="H37" s="629"/>
    </row>
    <row r="38" spans="1:11">
      <c r="A38" s="605"/>
      <c r="B38" s="637" t="s">
        <v>425</v>
      </c>
      <c r="C38" s="638"/>
      <c r="D38" s="609">
        <f>-C32</f>
        <v>-11.66</v>
      </c>
      <c r="E38" s="639"/>
      <c r="F38" s="609">
        <f>-E32</f>
        <v>-11.85</v>
      </c>
      <c r="G38" s="638"/>
      <c r="H38" s="609">
        <f>-G32</f>
        <v>-11.64</v>
      </c>
    </row>
    <row r="39" spans="1:11">
      <c r="A39" s="605" t="s">
        <v>429</v>
      </c>
      <c r="B39" s="613" t="s">
        <v>644</v>
      </c>
      <c r="C39" s="613"/>
      <c r="D39" s="943"/>
      <c r="E39" s="879"/>
      <c r="F39" s="943"/>
      <c r="G39" s="613"/>
      <c r="H39" s="943"/>
    </row>
    <row r="40" spans="1:11">
      <c r="A40" s="605"/>
      <c r="B40" s="948" t="s">
        <v>646</v>
      </c>
      <c r="C40" s="613">
        <f>Taveta!G23</f>
        <v>3.2093368605743509</v>
      </c>
      <c r="D40" s="943"/>
      <c r="E40" s="880">
        <f>C40</f>
        <v>3.2093368605743509</v>
      </c>
      <c r="F40" s="943"/>
      <c r="G40" s="613">
        <f>E40</f>
        <v>3.2093368605743509</v>
      </c>
      <c r="H40" s="943"/>
    </row>
    <row r="41" spans="1:11" s="392" customFormat="1">
      <c r="A41" s="605"/>
      <c r="B41" s="640" t="s">
        <v>647</v>
      </c>
      <c r="C41" s="618">
        <f>SUM(C40)</f>
        <v>3.2093368605743509</v>
      </c>
      <c r="D41" s="944"/>
      <c r="E41" s="626">
        <f>SUM(E40)</f>
        <v>3.2093368605743509</v>
      </c>
      <c r="F41" s="949"/>
      <c r="G41" s="618">
        <f>SUM(G40)</f>
        <v>3.2093368605743509</v>
      </c>
      <c r="H41" s="944"/>
    </row>
    <row r="42" spans="1:11">
      <c r="A42" s="605" t="s">
        <v>642</v>
      </c>
      <c r="B42" s="503" t="s">
        <v>426</v>
      </c>
      <c r="C42" s="236">
        <f>Mombasa!D22</f>
        <v>8.19</v>
      </c>
      <c r="D42" s="573"/>
      <c r="E42" s="236">
        <f>Mombasa!E22</f>
        <v>8.19</v>
      </c>
      <c r="F42" s="573"/>
      <c r="G42" s="236">
        <f>Mombasa!F22</f>
        <v>8.19</v>
      </c>
      <c r="H42" s="629"/>
    </row>
    <row r="43" spans="1:11">
      <c r="B43" s="620" t="s">
        <v>447</v>
      </c>
      <c r="C43" s="613">
        <f>C$37+C$42+C$41</f>
        <v>168.75409826032384</v>
      </c>
      <c r="D43" s="610"/>
      <c r="E43" s="613">
        <f>E$37+E$42+E$41</f>
        <v>171.40448940816731</v>
      </c>
      <c r="F43" s="610"/>
      <c r="G43" s="236">
        <f>G$37+G$42+G$41</f>
        <v>168.59917365719258</v>
      </c>
      <c r="H43" s="573"/>
    </row>
    <row r="44" spans="1:11">
      <c r="B44" s="640" t="s">
        <v>458</v>
      </c>
      <c r="C44" s="641">
        <v>0</v>
      </c>
      <c r="D44" s="610"/>
      <c r="E44" s="641">
        <v>0</v>
      </c>
      <c r="F44" s="610"/>
      <c r="G44" s="642">
        <v>0</v>
      </c>
      <c r="H44" s="573"/>
    </row>
    <row r="45" spans="1:11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11">
      <c r="B46" s="620" t="s">
        <v>432</v>
      </c>
      <c r="C46" s="641">
        <f>C$43-C44-C45+D$38</f>
        <v>157.09409826032385</v>
      </c>
      <c r="D46" s="641"/>
      <c r="E46" s="641">
        <f>E$43-E44-E45+F$38</f>
        <v>159.55448940816731</v>
      </c>
      <c r="F46" s="641"/>
      <c r="G46" s="641">
        <f>G$43-G44-G45+H$38</f>
        <v>156.95917365719259</v>
      </c>
      <c r="H46" s="573"/>
    </row>
    <row r="47" spans="1:11">
      <c r="B47" s="503" t="s">
        <v>445</v>
      </c>
      <c r="C47" s="644"/>
      <c r="D47" s="627" t="str">
        <f>CONCATENATE("+ ",ROUND((C$46*0.08),2))</f>
        <v>+ 12.57</v>
      </c>
      <c r="E47" s="644"/>
      <c r="F47" s="627" t="str">
        <f>CONCATENATE("+ ",ROUND((E$46*0.08),2))</f>
        <v>+ 12.76</v>
      </c>
      <c r="G47" s="645"/>
      <c r="H47" s="627" t="str">
        <f>CONCATENATE("+ ",ROUND((G$46*0.08),2))</f>
        <v>+ 12.56</v>
      </c>
    </row>
    <row r="48" spans="1:11" ht="15" thickBot="1">
      <c r="B48" s="646" t="s">
        <v>449</v>
      </c>
      <c r="C48" s="702" t="str">
        <f>D47</f>
        <v>+ 12.57</v>
      </c>
      <c r="D48" s="632"/>
      <c r="E48" s="631" t="str">
        <f>F47</f>
        <v>+ 12.76</v>
      </c>
      <c r="F48" s="632"/>
      <c r="G48" s="631" t="str">
        <f>H47</f>
        <v>+ 12.56</v>
      </c>
      <c r="H48" s="632"/>
    </row>
    <row r="49" spans="1:8" s="392" customFormat="1" ht="15" thickBot="1">
      <c r="B49" s="647" t="s">
        <v>452</v>
      </c>
      <c r="C49" s="648">
        <f>C$46+C$48+C$44+C$45</f>
        <v>169.66409826032384</v>
      </c>
      <c r="D49" s="649">
        <f>D38+D47</f>
        <v>0.91000000000000014</v>
      </c>
      <c r="E49" s="698">
        <f>E$46+E$48+E$44+E$45</f>
        <v>172.3144894081673</v>
      </c>
      <c r="F49" s="649">
        <f>F38+F47</f>
        <v>0.91000000000000014</v>
      </c>
      <c r="G49" s="650">
        <f>G$46+G$48+G$44+G$45</f>
        <v>169.5191736571926</v>
      </c>
      <c r="H49" s="651">
        <f>H38+H47</f>
        <v>0.91999999999999993</v>
      </c>
    </row>
    <row r="50" spans="1:8" s="392" customFormat="1">
      <c r="B50" s="652"/>
      <c r="C50" s="653"/>
      <c r="D50" s="652"/>
      <c r="E50" s="653"/>
      <c r="F50" s="652"/>
      <c r="G50" s="653"/>
      <c r="H50" s="653"/>
    </row>
    <row r="51" spans="1:8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8" hidden="1"/>
    <row r="53" spans="1:8" hidden="1">
      <c r="B53" s="656" t="s">
        <v>441</v>
      </c>
      <c r="C53" s="657">
        <f>Mombasa!D26</f>
        <v>154.61210483715561</v>
      </c>
      <c r="D53" s="162">
        <f>C9+C20+C21+C28+C42+0.16*C8+0.16*SUM(C24:C25)</f>
        <v>153.98809640775983</v>
      </c>
      <c r="E53" s="657">
        <f>'Breakdown for PMS, AGO &amp; DPK'!E26</f>
        <v>160.05845058085328</v>
      </c>
      <c r="G53" s="657">
        <f>'Breakdown for PMS, AGO &amp; DPK'!F26</f>
        <v>157.48855959511991</v>
      </c>
    </row>
    <row r="54" spans="1:8" ht="15" hidden="1" thickBot="1">
      <c r="B54" s="658" t="s">
        <v>442</v>
      </c>
      <c r="C54" s="659">
        <f>C49-C53</f>
        <v>15.051993423168227</v>
      </c>
      <c r="D54" s="162">
        <f>C53-D53</f>
        <v>0.62400842939578638</v>
      </c>
      <c r="E54" s="659">
        <f>E49-E53</f>
        <v>12.256038827314029</v>
      </c>
      <c r="G54" s="659">
        <f>G49-G53</f>
        <v>12.030614062072686</v>
      </c>
    </row>
    <row r="55" spans="1:8" ht="15" hidden="1" thickBot="1">
      <c r="B55" s="660" t="s">
        <v>443</v>
      </c>
      <c r="C55" s="661">
        <f>C54/C53</f>
        <v>9.7353266350145476E-2</v>
      </c>
      <c r="D55" s="662">
        <f>7-5.55+3.89-3.112</f>
        <v>2.2279999999999998</v>
      </c>
      <c r="E55" s="661">
        <f>E54/E53</f>
        <v>7.6572269585496899E-2</v>
      </c>
      <c r="F55" s="392"/>
      <c r="G55" s="661">
        <f>G54/G53</f>
        <v>7.6390399994778271E-2</v>
      </c>
    </row>
    <row r="56" spans="1:8" ht="15" hidden="1" thickBot="1">
      <c r="B56" s="663" t="s">
        <v>451</v>
      </c>
      <c r="C56" s="664">
        <f>D$33+D$49+-$D$10</f>
        <v>12.57</v>
      </c>
      <c r="E56" s="664">
        <f>F$33+F$49</f>
        <v>4.5190574521374867</v>
      </c>
      <c r="G56" s="664">
        <f>H$33+H$49</f>
        <v>4.127751744888128</v>
      </c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>
    <tabColor rgb="FF00CC00"/>
  </sheetPr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.1796875" style="159" customWidth="1"/>
    <col min="9" max="16384" width="9.1796875" style="159"/>
  </cols>
  <sheetData>
    <row r="2" spans="2:11">
      <c r="C2" s="258" t="s">
        <v>76</v>
      </c>
      <c r="G2" s="160"/>
    </row>
    <row r="3" spans="2:11">
      <c r="C3" s="258" t="s">
        <v>27</v>
      </c>
      <c r="G3" s="160"/>
    </row>
    <row r="4" spans="2:11">
      <c r="C4" s="259" t="str">
        <f>Taveta!C4</f>
        <v>March 15 - April 14, 2023</v>
      </c>
      <c r="D4" s="258"/>
      <c r="E4" s="160"/>
      <c r="F4" s="160"/>
      <c r="G4" s="260"/>
    </row>
    <row r="5" spans="2:11">
      <c r="C5" s="160"/>
      <c r="D5" s="160"/>
      <c r="E5" s="160"/>
      <c r="F5" s="160"/>
      <c r="G5" s="261"/>
      <c r="H5" s="262"/>
      <c r="I5" s="262"/>
      <c r="J5" s="262"/>
      <c r="K5" s="262"/>
    </row>
    <row r="6" spans="2:11">
      <c r="C6" s="263"/>
      <c r="D6" s="264" t="s">
        <v>0</v>
      </c>
      <c r="E6" s="264" t="s">
        <v>1</v>
      </c>
      <c r="F6" s="264" t="s">
        <v>3</v>
      </c>
      <c r="G6" s="160"/>
      <c r="H6" s="262"/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Mombasa!G8</f>
        <v>1.1599999999999999</v>
      </c>
      <c r="H8" s="262" t="s">
        <v>42</v>
      </c>
      <c r="I8" s="262"/>
      <c r="J8" s="262"/>
      <c r="K8" s="262"/>
    </row>
    <row r="9" spans="2:11" ht="15" thickBot="1">
      <c r="C9" s="263" t="s">
        <v>20</v>
      </c>
      <c r="D9" s="195">
        <f>$G$10*$G$9*$G$8</f>
        <v>0</v>
      </c>
      <c r="E9" s="195">
        <f>$G$10*$G$9*$G$8</f>
        <v>0</v>
      </c>
      <c r="F9" s="195">
        <f>$G$10*$G$9*$G$8</f>
        <v>0</v>
      </c>
      <c r="G9" s="303">
        <v>0</v>
      </c>
      <c r="H9" s="262" t="s">
        <v>28</v>
      </c>
      <c r="I9" s="262"/>
      <c r="J9" s="262"/>
      <c r="K9" s="262"/>
    </row>
    <row r="10" spans="2:11" ht="15" thickBot="1">
      <c r="C10" s="263"/>
      <c r="D10" s="274"/>
      <c r="E10" s="274"/>
      <c r="F10" s="274"/>
      <c r="G10" s="304">
        <v>0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195">
        <f>$G$11*G12*$G$8</f>
        <v>0</v>
      </c>
      <c r="E11" s="195">
        <f>$G$11*G12*$G$8</f>
        <v>0</v>
      </c>
      <c r="F11" s="195">
        <f>$G$11*G12*$G$8</f>
        <v>0</v>
      </c>
      <c r="G11" s="305">
        <f>8.14*G14/1000</f>
        <v>0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1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0</v>
      </c>
      <c r="E13" s="277">
        <f>$G$13*E7</f>
        <v>0</v>
      </c>
      <c r="F13" s="277">
        <f>$G$13*F7</f>
        <v>0</v>
      </c>
      <c r="G13" s="278">
        <v>0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0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Mombasa!D18</f>
        <v>4.2039999999999997</v>
      </c>
      <c r="E17" s="280">
        <f>Mombasa!E18</f>
        <v>4.1739999999999995</v>
      </c>
      <c r="F17" s="280">
        <f>Mombasa!F18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145.79849820066073</v>
      </c>
      <c r="E19" s="282">
        <f>SUM(E7:E18)</f>
        <v>148.24726824540289</v>
      </c>
      <c r="F19" s="282">
        <f>SUM(F7:F18)</f>
        <v>145.67854679553881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Mombasa!D22</f>
        <v>8.19</v>
      </c>
      <c r="E21" s="168">
        <f>Mombasa!E22</f>
        <v>8.19</v>
      </c>
      <c r="F21" s="168">
        <f>Mombasa!F22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4.167347863730873</v>
      </c>
      <c r="E23" s="283">
        <f t="shared" ref="E23:F23" si="0">$G$23*$G$8</f>
        <v>4.167347863730873</v>
      </c>
      <c r="F23" s="283">
        <f t="shared" si="0"/>
        <v>4.167347863730873</v>
      </c>
      <c r="G23" s="284">
        <f>'Delivery &gt;40km-Sept 2013'!E24*I23/1000</f>
        <v>3.5925412618369599</v>
      </c>
      <c r="H23" s="262" t="s">
        <v>126</v>
      </c>
      <c r="I23" s="259">
        <v>300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306">
        <f>D19+D21+D23</f>
        <v>158.1558460643916</v>
      </c>
      <c r="E25" s="306">
        <f>E19+E21+E23</f>
        <v>160.60461610913376</v>
      </c>
      <c r="F25" s="306">
        <f>F19+F21+F23</f>
        <v>158.03589465926967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700"/>
      <c r="E27" s="700"/>
      <c r="F27" s="700"/>
    </row>
    <row r="28" spans="3:11">
      <c r="D28" s="700"/>
      <c r="E28" s="700"/>
      <c r="F28" s="700"/>
    </row>
    <row r="29" spans="3:11">
      <c r="D29" s="700"/>
      <c r="E29" s="700"/>
      <c r="F29" s="70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63498" r:id="rId4">
          <objectPr defaultSize="0" autoPict="0" r:id="rId5">
            <anchor>
              <from>
                <xdr:col>1</xdr:col>
                <xdr:colOff>57150</xdr:colOff>
                <xdr:row>18</xdr:row>
                <xdr:rowOff>171450</xdr:rowOff>
              </from>
              <to>
                <xdr:col>1</xdr:col>
                <xdr:colOff>527050</xdr:colOff>
                <xdr:row>19</xdr:row>
                <xdr:rowOff>171450</xdr:rowOff>
              </to>
            </anchor>
          </objectPr>
        </oleObject>
      </mc:Choice>
      <mc:Fallback>
        <oleObject progId="Equation.3" shapeId="63498" r:id="rId4"/>
      </mc:Fallback>
    </mc:AlternateContent>
  </oleObjec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>
    <tabColor rgb="FF0070C0"/>
  </sheetPr>
  <dimension ref="A2:K56"/>
  <sheetViews>
    <sheetView topLeftCell="A34" workbookViewId="0">
      <selection activeCell="D61" sqref="D6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8" width="15.453125" style="159" customWidth="1"/>
    <col min="9" max="9" width="3.26953125" style="159" customWidth="1"/>
    <col min="10" max="10" width="14.7265625" style="159" customWidth="1"/>
    <col min="11" max="16384" width="9.1796875" style="159"/>
  </cols>
  <sheetData>
    <row r="2" spans="1:8" ht="15" thickBot="1"/>
    <row r="3" spans="1:8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8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8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8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8" ht="18" customHeight="1">
      <c r="B7" s="597" t="s">
        <v>400</v>
      </c>
      <c r="C7" s="598">
        <f>'PMS SUMMARY'!D45</f>
        <v>89.740844909393786</v>
      </c>
      <c r="D7" s="599"/>
      <c r="E7" s="849">
        <f>'AGO SUMMARY'!E47</f>
        <v>102.43801744706063</v>
      </c>
      <c r="F7" s="600"/>
      <c r="G7" s="849">
        <f>'DPK SUMMARY'!D44</f>
        <v>104.66296430977627</v>
      </c>
      <c r="H7" s="599"/>
    </row>
    <row r="8" spans="1:8" s="163" customFormat="1">
      <c r="B8" s="601" t="s">
        <v>420</v>
      </c>
      <c r="C8" s="602">
        <f>'PMS SUMMARY'!D44</f>
        <v>0.64584380006463771</v>
      </c>
      <c r="D8" s="603"/>
      <c r="E8" s="850">
        <f>'AGO SUMMARY'!E46</f>
        <v>0.57376440122077432</v>
      </c>
      <c r="F8" s="604"/>
      <c r="G8" s="850">
        <f>'DPK SUMMARY'!D43</f>
        <v>0.74013887912213949</v>
      </c>
      <c r="H8" s="603"/>
    </row>
    <row r="9" spans="1:8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8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8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8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8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8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8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v>0</v>
      </c>
      <c r="H15" s="610"/>
    </row>
    <row r="16" spans="1:8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10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  <c r="J17" s="162"/>
    </row>
    <row r="18" spans="1:10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10">
      <c r="A19" s="605"/>
      <c r="B19" s="614" t="s">
        <v>319</v>
      </c>
      <c r="C19" s="613">
        <f>'Breakdown for PMS, AGO &amp; DPK'!D23</f>
        <v>1.7335007701822511</v>
      </c>
      <c r="D19" s="610"/>
      <c r="E19" s="613">
        <f>'Breakdown for PMS, AGO &amp; DPK'!E23</f>
        <v>1.994329137255715</v>
      </c>
      <c r="F19" s="616"/>
      <c r="G19" s="613">
        <f>'Breakdown for PMS, AGO &amp; DPK'!F23</f>
        <v>2.0134755528419217</v>
      </c>
      <c r="H19" s="610"/>
    </row>
    <row r="20" spans="1:10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10">
      <c r="A21" s="605" t="s">
        <v>403</v>
      </c>
      <c r="B21" s="620" t="s">
        <v>421</v>
      </c>
      <c r="C21" s="618">
        <f>SUM(C$22:C$23)</f>
        <v>0.70445023980428223</v>
      </c>
      <c r="D21" s="573"/>
      <c r="E21" s="618">
        <f>SUM(E$22:E$23)</f>
        <v>0.43092702366521302</v>
      </c>
      <c r="F21" s="621"/>
      <c r="G21" s="618">
        <f>SUM(G$22:G$23)</f>
        <v>0.42324390866063455</v>
      </c>
      <c r="H21" s="573"/>
    </row>
    <row r="22" spans="1:10">
      <c r="A22" s="605"/>
      <c r="B22" s="614" t="s">
        <v>455</v>
      </c>
      <c r="C22" s="613">
        <f>SUM(C$24:C$25)</f>
        <v>0</v>
      </c>
      <c r="D22" s="573"/>
      <c r="E22" s="613">
        <f>SUM(E$24:E$25)</f>
        <v>0</v>
      </c>
      <c r="F22" s="621"/>
      <c r="G22" s="613">
        <f>SUM(G$24:G$25)</f>
        <v>0</v>
      </c>
      <c r="H22" s="573"/>
    </row>
    <row r="23" spans="1:10">
      <c r="A23" s="605"/>
      <c r="B23" s="614" t="s">
        <v>456</v>
      </c>
      <c r="C23" s="613">
        <f>C$26+C$27</f>
        <v>0.70445023980428223</v>
      </c>
      <c r="D23" s="573"/>
      <c r="E23" s="613">
        <f>E$26+E$27</f>
        <v>0.43092702366521302</v>
      </c>
      <c r="F23" s="621"/>
      <c r="G23" s="613">
        <f>G$26+G$27</f>
        <v>0.42324390866063455</v>
      </c>
      <c r="H23" s="573"/>
    </row>
    <row r="24" spans="1:10">
      <c r="A24" s="605"/>
      <c r="B24" s="622" t="s">
        <v>459</v>
      </c>
      <c r="C24" s="602">
        <f>Mombasa!D9</f>
        <v>0</v>
      </c>
      <c r="D24" s="623"/>
      <c r="E24" s="602">
        <f>Mombasa!E9</f>
        <v>0</v>
      </c>
      <c r="F24" s="624"/>
      <c r="G24" s="602">
        <f>Mombasa!F9</f>
        <v>0</v>
      </c>
      <c r="H24" s="573"/>
    </row>
    <row r="25" spans="1:10">
      <c r="A25" s="605"/>
      <c r="B25" s="622" t="s">
        <v>460</v>
      </c>
      <c r="C25" s="602">
        <f>Mombasa!D11</f>
        <v>0</v>
      </c>
      <c r="D25" s="623"/>
      <c r="E25" s="602">
        <f>Mombasa!E11</f>
        <v>0</v>
      </c>
      <c r="F25" s="624"/>
      <c r="G25" s="602">
        <f>Mombasa!F11</f>
        <v>0</v>
      </c>
      <c r="H25" s="573"/>
    </row>
    <row r="26" spans="1:10">
      <c r="A26" s="605"/>
      <c r="B26" s="622" t="s">
        <v>334</v>
      </c>
      <c r="C26" s="602">
        <f>Mombasa!D13</f>
        <v>0</v>
      </c>
      <c r="D26" s="623"/>
      <c r="E26" s="602">
        <f>Mombasa!E13</f>
        <v>0</v>
      </c>
      <c r="F26" s="624"/>
      <c r="G26" s="602">
        <f>Mombasa!F13</f>
        <v>0</v>
      </c>
      <c r="H26" s="573"/>
    </row>
    <row r="27" spans="1:10">
      <c r="A27" s="605"/>
      <c r="B27" s="622" t="s">
        <v>332</v>
      </c>
      <c r="C27" s="602">
        <f>Mombasa!D15</f>
        <v>0.70445023980428223</v>
      </c>
      <c r="D27" s="623"/>
      <c r="E27" s="602">
        <f>Mombasa!E15</f>
        <v>0.43092702366521302</v>
      </c>
      <c r="F27" s="624"/>
      <c r="G27" s="602">
        <f>Mombasa!F15</f>
        <v>0.42324390866063455</v>
      </c>
      <c r="H27" s="573"/>
    </row>
    <row r="28" spans="1:10">
      <c r="A28" s="605" t="s">
        <v>404</v>
      </c>
      <c r="B28" s="620" t="s">
        <v>427</v>
      </c>
      <c r="C28" s="618">
        <f>Mombasa!D18</f>
        <v>4.2039999999999997</v>
      </c>
      <c r="D28" s="618"/>
      <c r="E28" s="618">
        <f>Mombasa!E18</f>
        <v>4.1739999999999995</v>
      </c>
      <c r="F28" s="618"/>
      <c r="G28" s="618">
        <f>Mombasa!F18</f>
        <v>4.1739999999999995</v>
      </c>
      <c r="H28" s="573"/>
    </row>
    <row r="29" spans="1:10">
      <c r="A29" s="605"/>
      <c r="B29" s="620" t="s">
        <v>440</v>
      </c>
      <c r="C29" s="618">
        <f>C$9+C$20+C$22+C$23+C$28</f>
        <v>145.6947613997495</v>
      </c>
      <c r="D29" s="625"/>
      <c r="E29" s="626">
        <f>E$9+E$20+E$22+E$23+E$28</f>
        <v>148.15515254759296</v>
      </c>
      <c r="F29" s="625"/>
      <c r="G29" s="618">
        <f>G$9+G$20+G$22+G$23+G$28</f>
        <v>145.55983679661824</v>
      </c>
      <c r="H29" s="625"/>
    </row>
    <row r="30" spans="1:10">
      <c r="A30" s="605"/>
      <c r="B30" s="494" t="s">
        <v>444</v>
      </c>
      <c r="C30" s="606"/>
      <c r="D30" s="627" t="str">
        <f>CONCATENATE("+ ",ROUND((C$29*0.08),2))</f>
        <v>+ 11.66</v>
      </c>
      <c r="E30" s="628"/>
      <c r="F30" s="627" t="str">
        <f>CONCATENATE("+ ",ROUND((E$29*0.08),2))</f>
        <v>+ 11.85</v>
      </c>
      <c r="G30" s="606"/>
      <c r="H30" s="627" t="str">
        <f>CONCATENATE("+ ",ROUND((G$29*0.08),2))</f>
        <v>+ 11.64</v>
      </c>
    </row>
    <row r="31" spans="1:10">
      <c r="A31" s="605"/>
      <c r="B31" s="620" t="s">
        <v>436</v>
      </c>
      <c r="C31" s="606">
        <f>C$9+C$20+C$21+C$28</f>
        <v>145.6947613997495</v>
      </c>
      <c r="D31" s="629"/>
      <c r="E31" s="628">
        <f>E$9+E$20+E$21+E$28</f>
        <v>148.15515254759296</v>
      </c>
      <c r="F31" s="629"/>
      <c r="G31" s="606">
        <f>G$9+G$20+G$21+G$28</f>
        <v>145.55983679661824</v>
      </c>
      <c r="H31" s="629"/>
    </row>
    <row r="32" spans="1:10" ht="15" thickBot="1">
      <c r="A32" s="605"/>
      <c r="B32" s="630" t="s">
        <v>448</v>
      </c>
      <c r="C32" s="631" t="str">
        <f>D30</f>
        <v>+ 11.66</v>
      </c>
      <c r="D32" s="632"/>
      <c r="E32" s="631" t="str">
        <f>F30</f>
        <v>+ 11.85</v>
      </c>
      <c r="F32" s="632"/>
      <c r="G32" s="631" t="str">
        <f>H30</f>
        <v>+ 11.64</v>
      </c>
      <c r="H32" s="632"/>
    </row>
    <row r="33" spans="1:11" ht="15" thickBot="1">
      <c r="A33" s="605"/>
      <c r="B33" s="633" t="s">
        <v>418</v>
      </c>
      <c r="C33" s="634">
        <f>C31+C32</f>
        <v>157.35476139974949</v>
      </c>
      <c r="D33" s="634">
        <f>+D10+D30</f>
        <v>4.4290649032433258</v>
      </c>
      <c r="E33" s="635">
        <f>E31+E32</f>
        <v>160.00515254759296</v>
      </c>
      <c r="F33" s="634">
        <f>F10+F30</f>
        <v>3.6090574521374865</v>
      </c>
      <c r="G33" s="634">
        <f>G31+G32</f>
        <v>157.19983679661823</v>
      </c>
      <c r="H33" s="636">
        <f>H10+H30</f>
        <v>3.2077517448881281</v>
      </c>
      <c r="K33" s="162"/>
    </row>
    <row r="34" spans="1:11" ht="15" thickBot="1"/>
    <row r="35" spans="1:11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11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11">
      <c r="A37" s="605" t="s">
        <v>428</v>
      </c>
      <c r="B37" s="503" t="s">
        <v>422</v>
      </c>
      <c r="C37" s="236">
        <f>C33</f>
        <v>157.35476139974949</v>
      </c>
      <c r="D37" s="573"/>
      <c r="E37" s="236">
        <f>E33</f>
        <v>160.00515254759296</v>
      </c>
      <c r="F37" s="573"/>
      <c r="G37" s="236">
        <f>G33</f>
        <v>157.19983679661823</v>
      </c>
      <c r="H37" s="629"/>
    </row>
    <row r="38" spans="1:11">
      <c r="A38" s="605"/>
      <c r="B38" s="637" t="s">
        <v>425</v>
      </c>
      <c r="C38" s="638"/>
      <c r="D38" s="609">
        <f>-C32</f>
        <v>-11.66</v>
      </c>
      <c r="E38" s="639"/>
      <c r="F38" s="609">
        <f>-E32</f>
        <v>-11.85</v>
      </c>
      <c r="G38" s="638"/>
      <c r="H38" s="609">
        <f>-G32</f>
        <v>-11.64</v>
      </c>
    </row>
    <row r="39" spans="1:11">
      <c r="A39" s="605" t="s">
        <v>429</v>
      </c>
      <c r="B39" s="613" t="s">
        <v>644</v>
      </c>
      <c r="C39" s="613"/>
      <c r="D39" s="943"/>
      <c r="E39" s="879"/>
      <c r="F39" s="943"/>
      <c r="G39" s="613"/>
      <c r="H39" s="943"/>
    </row>
    <row r="40" spans="1:11">
      <c r="A40" s="605"/>
      <c r="B40" s="948" t="s">
        <v>646</v>
      </c>
      <c r="C40" s="613">
        <f>Lamu!G23</f>
        <v>3.5925412618369599</v>
      </c>
      <c r="D40" s="943"/>
      <c r="E40" s="880">
        <f>C40</f>
        <v>3.5925412618369599</v>
      </c>
      <c r="F40" s="943"/>
      <c r="G40" s="613">
        <f>E40</f>
        <v>3.5925412618369599</v>
      </c>
      <c r="H40" s="943"/>
    </row>
    <row r="41" spans="1:11" s="392" customFormat="1">
      <c r="A41" s="605"/>
      <c r="B41" s="640" t="s">
        <v>647</v>
      </c>
      <c r="C41" s="618">
        <f>SUM(C40)</f>
        <v>3.5925412618369599</v>
      </c>
      <c r="D41" s="944"/>
      <c r="E41" s="626">
        <f>SUM(E40)</f>
        <v>3.5925412618369599</v>
      </c>
      <c r="F41" s="949"/>
      <c r="G41" s="618">
        <f>SUM(G40)</f>
        <v>3.5925412618369599</v>
      </c>
      <c r="H41" s="944"/>
    </row>
    <row r="42" spans="1:11">
      <c r="A42" s="605" t="s">
        <v>642</v>
      </c>
      <c r="B42" s="503" t="s">
        <v>426</v>
      </c>
      <c r="C42" s="236">
        <f>Mombasa!D22</f>
        <v>8.19</v>
      </c>
      <c r="D42" s="573"/>
      <c r="E42" s="236">
        <f>Mombasa!E22</f>
        <v>8.19</v>
      </c>
      <c r="F42" s="573"/>
      <c r="G42" s="236">
        <f>Mombasa!F22</f>
        <v>8.19</v>
      </c>
      <c r="H42" s="629"/>
    </row>
    <row r="43" spans="1:11">
      <c r="B43" s="620" t="s">
        <v>447</v>
      </c>
      <c r="C43" s="613">
        <f>C$37+C$42+C$41</f>
        <v>169.13730266158646</v>
      </c>
      <c r="D43" s="610"/>
      <c r="E43" s="613">
        <f>E$37+E$42+E$41</f>
        <v>171.78769380942992</v>
      </c>
      <c r="F43" s="610"/>
      <c r="G43" s="236">
        <f>G$37+G$42+G$41</f>
        <v>168.9823780584552</v>
      </c>
      <c r="H43" s="573"/>
    </row>
    <row r="44" spans="1:11">
      <c r="B44" s="640" t="s">
        <v>458</v>
      </c>
      <c r="C44" s="641">
        <v>0</v>
      </c>
      <c r="D44" s="610"/>
      <c r="E44" s="641">
        <v>0</v>
      </c>
      <c r="F44" s="610"/>
      <c r="G44" s="642">
        <v>0</v>
      </c>
      <c r="H44" s="573"/>
    </row>
    <row r="45" spans="1:11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11">
      <c r="B46" s="620" t="s">
        <v>432</v>
      </c>
      <c r="C46" s="641">
        <f>C$43-C44-C45+D$38</f>
        <v>157.47730266158646</v>
      </c>
      <c r="D46" s="641"/>
      <c r="E46" s="641">
        <f>E$43-E44-E45+F$38</f>
        <v>159.93769380942993</v>
      </c>
      <c r="F46" s="641"/>
      <c r="G46" s="641">
        <f>G$43-G44-G45+H$38</f>
        <v>157.34237805845521</v>
      </c>
      <c r="H46" s="573"/>
    </row>
    <row r="47" spans="1:11">
      <c r="B47" s="503" t="s">
        <v>445</v>
      </c>
      <c r="C47" s="644"/>
      <c r="D47" s="627" t="str">
        <f>CONCATENATE("+ ",ROUND((C$46*0.08),2))</f>
        <v>+ 12.6</v>
      </c>
      <c r="E47" s="644"/>
      <c r="F47" s="627" t="str">
        <f>CONCATENATE("+ ",ROUND((E$46*0.08),2))</f>
        <v>+ 12.8</v>
      </c>
      <c r="G47" s="645"/>
      <c r="H47" s="627" t="str">
        <f>CONCATENATE("+ ",ROUND((G$46*0.08),2))</f>
        <v>+ 12.59</v>
      </c>
    </row>
    <row r="48" spans="1:11" ht="15" thickBot="1">
      <c r="B48" s="646" t="s">
        <v>449</v>
      </c>
      <c r="C48" s="702" t="str">
        <f>D47</f>
        <v>+ 12.6</v>
      </c>
      <c r="D48" s="632"/>
      <c r="E48" s="631" t="str">
        <f>F47</f>
        <v>+ 12.8</v>
      </c>
      <c r="F48" s="632"/>
      <c r="G48" s="631" t="str">
        <f>H47</f>
        <v>+ 12.59</v>
      </c>
      <c r="H48" s="632"/>
    </row>
    <row r="49" spans="1:8" s="392" customFormat="1" ht="15" thickBot="1">
      <c r="B49" s="647" t="s">
        <v>452</v>
      </c>
      <c r="C49" s="648">
        <f>C$46+C$48+C$44+C$45</f>
        <v>170.07730266158646</v>
      </c>
      <c r="D49" s="649">
        <f>D38+D47</f>
        <v>0.9399999999999995</v>
      </c>
      <c r="E49" s="698">
        <f>E$46+E$48+E$44+E$45</f>
        <v>172.73769380942994</v>
      </c>
      <c r="F49" s="649">
        <f>F38+F47</f>
        <v>0.95000000000000107</v>
      </c>
      <c r="G49" s="650">
        <f>G$46+G$48+G$44+G$45</f>
        <v>169.93237805845521</v>
      </c>
      <c r="H49" s="651">
        <f>H38+H47</f>
        <v>0.94999999999999929</v>
      </c>
    </row>
    <row r="50" spans="1:8" s="392" customFormat="1">
      <c r="B50" s="652"/>
      <c r="C50" s="653"/>
      <c r="D50" s="652"/>
      <c r="E50" s="653"/>
      <c r="F50" s="652"/>
      <c r="G50" s="653"/>
      <c r="H50" s="653"/>
    </row>
    <row r="51" spans="1:8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8" hidden="1"/>
    <row r="53" spans="1:8" hidden="1">
      <c r="B53" s="656" t="s">
        <v>441</v>
      </c>
      <c r="C53" s="657">
        <f>Mombasa!D26</f>
        <v>154.61210483715561</v>
      </c>
      <c r="D53" s="162">
        <f>C9+C20+C21+C28+C42+0.16*C8+0.16*SUM(C24:C25)</f>
        <v>153.98809640775983</v>
      </c>
      <c r="E53" s="657">
        <f>'Breakdown for PMS, AGO &amp; DPK'!E26</f>
        <v>160.05845058085328</v>
      </c>
      <c r="G53" s="657">
        <f>'Breakdown for PMS, AGO &amp; DPK'!F26</f>
        <v>157.48855959511991</v>
      </c>
    </row>
    <row r="54" spans="1:8" ht="15" hidden="1" thickBot="1">
      <c r="B54" s="658" t="s">
        <v>442</v>
      </c>
      <c r="C54" s="659">
        <f>C49-C53</f>
        <v>15.465197824430845</v>
      </c>
      <c r="D54" s="162">
        <f>C53-D53</f>
        <v>0.62400842939578638</v>
      </c>
      <c r="E54" s="659">
        <f>E49-E53</f>
        <v>12.679243228576667</v>
      </c>
      <c r="G54" s="659">
        <f>G49-G53</f>
        <v>12.443818463335305</v>
      </c>
    </row>
    <row r="55" spans="1:8" ht="15" hidden="1" thickBot="1">
      <c r="B55" s="660" t="s">
        <v>443</v>
      </c>
      <c r="C55" s="661">
        <f>C54/C53</f>
        <v>0.10002578931785117</v>
      </c>
      <c r="D55" s="662">
        <f>7-5.55+3.89-3.112</f>
        <v>2.2279999999999998</v>
      </c>
      <c r="E55" s="661">
        <f>E54/E53</f>
        <v>7.9216331175040122E-2</v>
      </c>
      <c r="F55" s="392"/>
      <c r="G55" s="661">
        <f>G54/G53</f>
        <v>7.9014110582549896E-2</v>
      </c>
    </row>
    <row r="56" spans="1:8" ht="15" hidden="1" thickBot="1">
      <c r="B56" s="663" t="s">
        <v>451</v>
      </c>
      <c r="C56" s="664">
        <f>D$33+D$49+-$D$10</f>
        <v>12.6</v>
      </c>
      <c r="E56" s="664">
        <f>F$33+F$49</f>
        <v>4.5590574521374876</v>
      </c>
      <c r="G56" s="664">
        <f>H$33+H$49</f>
        <v>4.1577517448881274</v>
      </c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tabColor rgb="FF00CC00"/>
  </sheetPr>
  <dimension ref="B2:K31"/>
  <sheetViews>
    <sheetView topLeftCell="A12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.1796875" style="159" customWidth="1"/>
    <col min="9" max="16384" width="9.1796875" style="159"/>
  </cols>
  <sheetData>
    <row r="2" spans="2:11">
      <c r="C2" s="258" t="s">
        <v>76</v>
      </c>
      <c r="G2" s="160"/>
    </row>
    <row r="3" spans="2:11">
      <c r="C3" s="258" t="s">
        <v>27</v>
      </c>
      <c r="G3" s="160"/>
    </row>
    <row r="4" spans="2:11">
      <c r="C4" s="259" t="str">
        <f>Taveta!C4</f>
        <v>March 15 - April 14, 2023</v>
      </c>
      <c r="D4" s="258"/>
      <c r="E4" s="160"/>
      <c r="F4" s="160"/>
      <c r="G4" s="260"/>
    </row>
    <row r="5" spans="2:11">
      <c r="C5" s="160"/>
      <c r="D5" s="160"/>
      <c r="E5" s="160"/>
      <c r="F5" s="160"/>
      <c r="G5" s="261"/>
      <c r="H5" s="262"/>
      <c r="I5" s="262"/>
      <c r="J5" s="262"/>
      <c r="K5" s="262"/>
    </row>
    <row r="6" spans="2:11">
      <c r="C6" s="263"/>
      <c r="D6" s="264" t="s">
        <v>0</v>
      </c>
      <c r="E6" s="264" t="s">
        <v>1</v>
      </c>
      <c r="F6" s="264" t="s">
        <v>3</v>
      </c>
      <c r="G6" s="160"/>
      <c r="H6" s="262"/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Mombasa!G8</f>
        <v>1.1599999999999999</v>
      </c>
      <c r="H8" s="262" t="s">
        <v>42</v>
      </c>
      <c r="I8" s="262"/>
      <c r="J8" s="262"/>
      <c r="K8" s="262"/>
    </row>
    <row r="9" spans="2:11" ht="15" thickBot="1">
      <c r="C9" s="263" t="s">
        <v>20</v>
      </c>
      <c r="D9" s="195">
        <f>$G$10*$G$9*$G$8</f>
        <v>0</v>
      </c>
      <c r="E9" s="195">
        <f>$G$10*$G$9*$G$8</f>
        <v>0</v>
      </c>
      <c r="F9" s="195">
        <f>$G$10*$G$9*$G$8</f>
        <v>0</v>
      </c>
      <c r="G9" s="303">
        <v>0</v>
      </c>
      <c r="H9" s="262" t="s">
        <v>28</v>
      </c>
      <c r="I9" s="262"/>
      <c r="J9" s="262"/>
      <c r="K9" s="262"/>
    </row>
    <row r="10" spans="2:11" ht="15" thickBot="1">
      <c r="C10" s="263"/>
      <c r="D10" s="274"/>
      <c r="E10" s="274"/>
      <c r="F10" s="274"/>
      <c r="G10" s="304">
        <v>0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195">
        <f>$G$11*G12*$G$8</f>
        <v>0</v>
      </c>
      <c r="E11" s="195">
        <f>$G$11*G12*$G$8</f>
        <v>0</v>
      </c>
      <c r="F11" s="195">
        <f>$G$11*G12*$G$8</f>
        <v>0</v>
      </c>
      <c r="G11" s="305">
        <f>8.14*G14/1000</f>
        <v>0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1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0</v>
      </c>
      <c r="E13" s="277">
        <f>$G$13*E7</f>
        <v>0</v>
      </c>
      <c r="F13" s="277">
        <f>$G$13*F7</f>
        <v>0</v>
      </c>
      <c r="G13" s="278">
        <v>0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0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Mombasa!D18</f>
        <v>4.2039999999999997</v>
      </c>
      <c r="E17" s="280">
        <f>Mombasa!E18</f>
        <v>4.1739999999999995</v>
      </c>
      <c r="F17" s="280">
        <f>Mombasa!F18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145.79849820066073</v>
      </c>
      <c r="E19" s="282">
        <f>SUM(E7:E18)</f>
        <v>148.24726824540289</v>
      </c>
      <c r="F19" s="282">
        <f>SUM(F7:F18)</f>
        <v>145.67854679553881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Mombasa!D22</f>
        <v>8.19</v>
      </c>
      <c r="E21" s="168">
        <f>Mombasa!E22</f>
        <v>8.19</v>
      </c>
      <c r="F21" s="168">
        <f>Mombasa!F22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4.4729533737378038</v>
      </c>
      <c r="E23" s="283">
        <f t="shared" ref="E23:F23" si="0">$G$23*$G$8</f>
        <v>4.4729533737378038</v>
      </c>
      <c r="F23" s="283">
        <f t="shared" si="0"/>
        <v>4.4729533737378038</v>
      </c>
      <c r="G23" s="284">
        <f>'Delivery &gt;40km-Sept 2013'!E24*I23/1000</f>
        <v>3.8559942877050033</v>
      </c>
      <c r="H23" s="262" t="s">
        <v>126</v>
      </c>
      <c r="I23" s="259">
        <v>322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306">
        <f>D19+D21+D23</f>
        <v>158.46145157439852</v>
      </c>
      <c r="E25" s="306">
        <f>E19+E21+E23</f>
        <v>160.91022161914069</v>
      </c>
      <c r="F25" s="306">
        <f>F19+F21+F23</f>
        <v>158.3415001692766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700"/>
      <c r="E27" s="700"/>
      <c r="F27" s="700"/>
    </row>
    <row r="28" spans="3:11">
      <c r="D28" s="700"/>
      <c r="E28" s="700"/>
      <c r="F28" s="700"/>
    </row>
    <row r="29" spans="3:11">
      <c r="D29" s="700"/>
      <c r="E29" s="700"/>
      <c r="F29" s="70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436225" r:id="rId4">
          <objectPr defaultSize="0" autoPict="0" r:id="rId5">
            <anchor>
              <from>
                <xdr:col>1</xdr:col>
                <xdr:colOff>57150</xdr:colOff>
                <xdr:row>18</xdr:row>
                <xdr:rowOff>171450</xdr:rowOff>
              </from>
              <to>
                <xdr:col>1</xdr:col>
                <xdr:colOff>527050</xdr:colOff>
                <xdr:row>19</xdr:row>
                <xdr:rowOff>171450</xdr:rowOff>
              </to>
            </anchor>
          </objectPr>
        </oleObject>
      </mc:Choice>
      <mc:Fallback>
        <oleObject progId="Equation.3" shapeId="436225" r:id="rId4"/>
      </mc:Fallback>
    </mc:AlternateContent>
  </oleObjec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0070C0"/>
  </sheetPr>
  <dimension ref="A2:K56"/>
  <sheetViews>
    <sheetView workbookViewId="0">
      <selection sqref="A1:XFD1048576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8" width="15.453125" style="159" customWidth="1"/>
    <col min="9" max="9" width="3.26953125" style="159" customWidth="1"/>
    <col min="10" max="10" width="14.7265625" style="159" customWidth="1"/>
    <col min="11" max="16384" width="9.1796875" style="159"/>
  </cols>
  <sheetData>
    <row r="2" spans="1:8" ht="15" thickBot="1"/>
    <row r="3" spans="1:8" ht="15" thickBot="1">
      <c r="B3" s="1067" t="s">
        <v>435</v>
      </c>
      <c r="C3" s="1069"/>
      <c r="D3" s="1069"/>
      <c r="E3" s="1069"/>
      <c r="F3" s="1069"/>
      <c r="G3" s="1069"/>
      <c r="H3" s="1068"/>
    </row>
    <row r="4" spans="1:8" ht="15" thickBot="1">
      <c r="B4" s="443" t="str">
        <f>Mombasa!C4</f>
        <v>March 15 - April 14, 2023</v>
      </c>
      <c r="C4" s="1070" t="s">
        <v>399</v>
      </c>
      <c r="D4" s="1071"/>
      <c r="E4" s="1070" t="s">
        <v>338</v>
      </c>
      <c r="F4" s="1070"/>
      <c r="G4" s="1072" t="s">
        <v>337</v>
      </c>
      <c r="H4" s="1071"/>
    </row>
    <row r="5" spans="1:8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8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8" ht="18" customHeight="1">
      <c r="B7" s="597" t="s">
        <v>400</v>
      </c>
      <c r="C7" s="598">
        <f>'PMS SUMMARY'!D45</f>
        <v>89.740844909393786</v>
      </c>
      <c r="D7" s="599"/>
      <c r="E7" s="849">
        <f>'AGO SUMMARY'!E47</f>
        <v>102.43801744706063</v>
      </c>
      <c r="F7" s="600"/>
      <c r="G7" s="849">
        <f>'DPK SUMMARY'!D44</f>
        <v>104.66296430977627</v>
      </c>
      <c r="H7" s="599"/>
    </row>
    <row r="8" spans="1:8" s="163" customFormat="1">
      <c r="B8" s="601" t="s">
        <v>420</v>
      </c>
      <c r="C8" s="602">
        <f>'PMS SUMMARY'!D44</f>
        <v>0.64584380006463771</v>
      </c>
      <c r="D8" s="603"/>
      <c r="E8" s="850">
        <f>'AGO SUMMARY'!E46</f>
        <v>0.57376440122077432</v>
      </c>
      <c r="F8" s="604"/>
      <c r="G8" s="850">
        <f>'DPK SUMMARY'!D43</f>
        <v>0.74013887912213949</v>
      </c>
      <c r="H8" s="603"/>
    </row>
    <row r="9" spans="1:8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8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8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8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8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8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8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v>0</v>
      </c>
      <c r="H15" s="610"/>
    </row>
    <row r="16" spans="1:8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10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  <c r="J17" s="162"/>
    </row>
    <row r="18" spans="1:10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10">
      <c r="A19" s="605"/>
      <c r="B19" s="614" t="s">
        <v>319</v>
      </c>
      <c r="C19" s="613">
        <f>'Breakdown for PMS, AGO &amp; DPK'!D23</f>
        <v>1.7335007701822511</v>
      </c>
      <c r="D19" s="610"/>
      <c r="E19" s="613">
        <f>'Breakdown for PMS, AGO &amp; DPK'!E23</f>
        <v>1.994329137255715</v>
      </c>
      <c r="F19" s="616"/>
      <c r="G19" s="613">
        <f>'Breakdown for PMS, AGO &amp; DPK'!F23</f>
        <v>2.0134755528419217</v>
      </c>
      <c r="H19" s="610"/>
    </row>
    <row r="20" spans="1:10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10">
      <c r="A21" s="605" t="s">
        <v>403</v>
      </c>
      <c r="B21" s="620" t="s">
        <v>421</v>
      </c>
      <c r="C21" s="618">
        <f>SUM(C$22:C$23)</f>
        <v>0.70445023980428223</v>
      </c>
      <c r="D21" s="573"/>
      <c r="E21" s="618">
        <f>SUM(E$22:E$23)</f>
        <v>0.43092702366521302</v>
      </c>
      <c r="F21" s="621"/>
      <c r="G21" s="618">
        <f>SUM(G$22:G$23)</f>
        <v>0.42324390866063455</v>
      </c>
      <c r="H21" s="573"/>
    </row>
    <row r="22" spans="1:10">
      <c r="A22" s="605"/>
      <c r="B22" s="614" t="s">
        <v>455</v>
      </c>
      <c r="C22" s="613">
        <f>SUM(C$24:C$25)</f>
        <v>0</v>
      </c>
      <c r="D22" s="573"/>
      <c r="E22" s="613">
        <f>SUM(E$24:E$25)</f>
        <v>0</v>
      </c>
      <c r="F22" s="621"/>
      <c r="G22" s="613">
        <f>SUM(G$24:G$25)</f>
        <v>0</v>
      </c>
      <c r="H22" s="573"/>
    </row>
    <row r="23" spans="1:10">
      <c r="A23" s="605"/>
      <c r="B23" s="614" t="s">
        <v>456</v>
      </c>
      <c r="C23" s="613">
        <f>C$26+C$27</f>
        <v>0.70445023980428223</v>
      </c>
      <c r="D23" s="573"/>
      <c r="E23" s="613">
        <f>E$26+E$27</f>
        <v>0.43092702366521302</v>
      </c>
      <c r="F23" s="621"/>
      <c r="G23" s="613">
        <f>G$26+G$27</f>
        <v>0.42324390866063455</v>
      </c>
      <c r="H23" s="573"/>
    </row>
    <row r="24" spans="1:10">
      <c r="A24" s="605"/>
      <c r="B24" s="622" t="s">
        <v>459</v>
      </c>
      <c r="C24" s="602">
        <f>Mombasa!D9</f>
        <v>0</v>
      </c>
      <c r="D24" s="623"/>
      <c r="E24" s="602">
        <f>Mombasa!E9</f>
        <v>0</v>
      </c>
      <c r="F24" s="624"/>
      <c r="G24" s="602">
        <f>Mombasa!F9</f>
        <v>0</v>
      </c>
      <c r="H24" s="573"/>
    </row>
    <row r="25" spans="1:10">
      <c r="A25" s="605"/>
      <c r="B25" s="622" t="s">
        <v>460</v>
      </c>
      <c r="C25" s="602">
        <f>Mombasa!D11</f>
        <v>0</v>
      </c>
      <c r="D25" s="623"/>
      <c r="E25" s="602">
        <f>Mombasa!E11</f>
        <v>0</v>
      </c>
      <c r="F25" s="624"/>
      <c r="G25" s="602">
        <f>Mombasa!F11</f>
        <v>0</v>
      </c>
      <c r="H25" s="573"/>
    </row>
    <row r="26" spans="1:10">
      <c r="A26" s="605"/>
      <c r="B26" s="622" t="s">
        <v>334</v>
      </c>
      <c r="C26" s="602">
        <f>Mombasa!D13</f>
        <v>0</v>
      </c>
      <c r="D26" s="623"/>
      <c r="E26" s="602">
        <f>Mombasa!E13</f>
        <v>0</v>
      </c>
      <c r="F26" s="624"/>
      <c r="G26" s="602">
        <f>Mombasa!F13</f>
        <v>0</v>
      </c>
      <c r="H26" s="573"/>
    </row>
    <row r="27" spans="1:10">
      <c r="A27" s="605"/>
      <c r="B27" s="622" t="s">
        <v>332</v>
      </c>
      <c r="C27" s="602">
        <f>Mombasa!D15</f>
        <v>0.70445023980428223</v>
      </c>
      <c r="D27" s="623"/>
      <c r="E27" s="602">
        <f>Mombasa!E15</f>
        <v>0.43092702366521302</v>
      </c>
      <c r="F27" s="624"/>
      <c r="G27" s="602">
        <f>Mombasa!F15</f>
        <v>0.42324390866063455</v>
      </c>
      <c r="H27" s="573"/>
    </row>
    <row r="28" spans="1:10">
      <c r="A28" s="605" t="s">
        <v>404</v>
      </c>
      <c r="B28" s="620" t="s">
        <v>427</v>
      </c>
      <c r="C28" s="618">
        <f>Mombasa!D18</f>
        <v>4.2039999999999997</v>
      </c>
      <c r="D28" s="618"/>
      <c r="E28" s="618">
        <f>Mombasa!E18</f>
        <v>4.1739999999999995</v>
      </c>
      <c r="F28" s="618"/>
      <c r="G28" s="618">
        <f>Mombasa!F18</f>
        <v>4.1739999999999995</v>
      </c>
      <c r="H28" s="573"/>
    </row>
    <row r="29" spans="1:10">
      <c r="A29" s="605"/>
      <c r="B29" s="620" t="s">
        <v>440</v>
      </c>
      <c r="C29" s="618">
        <f>C$9+C$20+C$22+C$23+C$28</f>
        <v>145.6947613997495</v>
      </c>
      <c r="D29" s="625"/>
      <c r="E29" s="626">
        <f>E$9+E$20+E$22+E$23+E$28</f>
        <v>148.15515254759296</v>
      </c>
      <c r="F29" s="625"/>
      <c r="G29" s="618">
        <f>G$9+G$20+G$22+G$23+G$28</f>
        <v>145.55983679661824</v>
      </c>
      <c r="H29" s="625"/>
    </row>
    <row r="30" spans="1:10">
      <c r="A30" s="605"/>
      <c r="B30" s="494" t="s">
        <v>444</v>
      </c>
      <c r="C30" s="606"/>
      <c r="D30" s="627" t="str">
        <f>CONCATENATE("+ ",ROUND((C$29*0.08),2))</f>
        <v>+ 11.66</v>
      </c>
      <c r="E30" s="628"/>
      <c r="F30" s="627" t="str">
        <f>CONCATENATE("+ ",ROUND((E$29*0.08),2))</f>
        <v>+ 11.85</v>
      </c>
      <c r="G30" s="606"/>
      <c r="H30" s="627" t="str">
        <f>CONCATENATE("+ ",ROUND((G$29*0.08),2))</f>
        <v>+ 11.64</v>
      </c>
    </row>
    <row r="31" spans="1:10">
      <c r="A31" s="605"/>
      <c r="B31" s="620" t="s">
        <v>436</v>
      </c>
      <c r="C31" s="606">
        <f>C$9+C$20+C$21+C$28</f>
        <v>145.6947613997495</v>
      </c>
      <c r="D31" s="629"/>
      <c r="E31" s="628">
        <f>E$9+E$20+E$21+E$28</f>
        <v>148.15515254759296</v>
      </c>
      <c r="F31" s="629"/>
      <c r="G31" s="606">
        <f>G$9+G$20+G$21+G$28</f>
        <v>145.55983679661824</v>
      </c>
      <c r="H31" s="629"/>
    </row>
    <row r="32" spans="1:10" ht="15" thickBot="1">
      <c r="A32" s="605"/>
      <c r="B32" s="630" t="s">
        <v>448</v>
      </c>
      <c r="C32" s="631" t="str">
        <f>D30</f>
        <v>+ 11.66</v>
      </c>
      <c r="D32" s="632"/>
      <c r="E32" s="631" t="str">
        <f>F30</f>
        <v>+ 11.85</v>
      </c>
      <c r="F32" s="632"/>
      <c r="G32" s="631" t="str">
        <f>H30</f>
        <v>+ 11.64</v>
      </c>
      <c r="H32" s="632"/>
    </row>
    <row r="33" spans="1:11" ht="15" thickBot="1">
      <c r="A33" s="605"/>
      <c r="B33" s="633" t="s">
        <v>418</v>
      </c>
      <c r="C33" s="634">
        <f>C31+C32</f>
        <v>157.35476139974949</v>
      </c>
      <c r="D33" s="634">
        <f>+D10+D30</f>
        <v>4.4290649032433258</v>
      </c>
      <c r="E33" s="635">
        <f>E31+E32</f>
        <v>160.00515254759296</v>
      </c>
      <c r="F33" s="634">
        <f>F10+F30</f>
        <v>3.6090574521374865</v>
      </c>
      <c r="G33" s="634">
        <f>G31+G32</f>
        <v>157.19983679661823</v>
      </c>
      <c r="H33" s="636">
        <f>H10+H30</f>
        <v>3.2077517448881281</v>
      </c>
      <c r="K33" s="162"/>
    </row>
    <row r="34" spans="1:11" ht="15" thickBot="1"/>
    <row r="35" spans="1:11" ht="15.75" customHeight="1" thickBot="1">
      <c r="B35" s="1064" t="s">
        <v>417</v>
      </c>
      <c r="C35" s="1065"/>
      <c r="D35" s="1065"/>
      <c r="E35" s="1065"/>
      <c r="F35" s="1065"/>
      <c r="G35" s="1065"/>
      <c r="H35" s="1066"/>
    </row>
    <row r="36" spans="1:11" ht="15" thickBot="1">
      <c r="B36" s="443"/>
      <c r="C36" s="1067" t="str">
        <f>C4</f>
        <v>Super petrol</v>
      </c>
      <c r="D36" s="1068"/>
      <c r="E36" s="1069" t="str">
        <f>E4</f>
        <v>Diesel</v>
      </c>
      <c r="F36" s="1069"/>
      <c r="G36" s="1067" t="str">
        <f>G4</f>
        <v>Kerosene</v>
      </c>
      <c r="H36" s="1068"/>
    </row>
    <row r="37" spans="1:11">
      <c r="A37" s="605" t="s">
        <v>428</v>
      </c>
      <c r="B37" s="503" t="s">
        <v>422</v>
      </c>
      <c r="C37" s="236">
        <f>C33</f>
        <v>157.35476139974949</v>
      </c>
      <c r="D37" s="573"/>
      <c r="E37" s="236">
        <f>E33</f>
        <v>160.00515254759296</v>
      </c>
      <c r="F37" s="573"/>
      <c r="G37" s="236">
        <f>G33</f>
        <v>157.19983679661823</v>
      </c>
      <c r="H37" s="629"/>
    </row>
    <row r="38" spans="1:11">
      <c r="A38" s="605"/>
      <c r="B38" s="637" t="s">
        <v>425</v>
      </c>
      <c r="C38" s="638"/>
      <c r="D38" s="609">
        <f>-C32</f>
        <v>-11.66</v>
      </c>
      <c r="E38" s="639"/>
      <c r="F38" s="609">
        <f>-E32</f>
        <v>-11.85</v>
      </c>
      <c r="G38" s="638"/>
      <c r="H38" s="609">
        <f>-G32</f>
        <v>-11.64</v>
      </c>
    </row>
    <row r="39" spans="1:11">
      <c r="A39" s="605" t="s">
        <v>429</v>
      </c>
      <c r="B39" s="613" t="s">
        <v>644</v>
      </c>
      <c r="C39" s="613"/>
      <c r="D39" s="943"/>
      <c r="E39" s="879"/>
      <c r="F39" s="943"/>
      <c r="G39" s="613"/>
      <c r="H39" s="943"/>
    </row>
    <row r="40" spans="1:11">
      <c r="A40" s="605"/>
      <c r="B40" s="948" t="s">
        <v>646</v>
      </c>
      <c r="C40" s="613">
        <f>Hola!G23</f>
        <v>3.8559942877050033</v>
      </c>
      <c r="D40" s="943"/>
      <c r="E40" s="880">
        <f>C40</f>
        <v>3.8559942877050033</v>
      </c>
      <c r="F40" s="943"/>
      <c r="G40" s="613">
        <f>E40</f>
        <v>3.8559942877050033</v>
      </c>
      <c r="H40" s="943"/>
    </row>
    <row r="41" spans="1:11" s="392" customFormat="1">
      <c r="A41" s="605"/>
      <c r="B41" s="640" t="s">
        <v>647</v>
      </c>
      <c r="C41" s="618">
        <f>SUM(C40)</f>
        <v>3.8559942877050033</v>
      </c>
      <c r="D41" s="944"/>
      <c r="E41" s="626">
        <f>SUM(E40)</f>
        <v>3.8559942877050033</v>
      </c>
      <c r="F41" s="949"/>
      <c r="G41" s="618">
        <f>SUM(G40)</f>
        <v>3.8559942877050033</v>
      </c>
      <c r="H41" s="944"/>
    </row>
    <row r="42" spans="1:11">
      <c r="A42" s="605" t="s">
        <v>642</v>
      </c>
      <c r="B42" s="503" t="s">
        <v>426</v>
      </c>
      <c r="C42" s="236">
        <f>Mombasa!D22</f>
        <v>8.19</v>
      </c>
      <c r="D42" s="573"/>
      <c r="E42" s="236">
        <f>Mombasa!E22</f>
        <v>8.19</v>
      </c>
      <c r="F42" s="573"/>
      <c r="G42" s="236">
        <f>Mombasa!F22</f>
        <v>8.19</v>
      </c>
      <c r="H42" s="629"/>
    </row>
    <row r="43" spans="1:11">
      <c r="B43" s="620" t="s">
        <v>447</v>
      </c>
      <c r="C43" s="613">
        <f>C$37+C$42+C$41</f>
        <v>169.40075568745451</v>
      </c>
      <c r="D43" s="610"/>
      <c r="E43" s="613">
        <f>E$37+E$42+E$41</f>
        <v>172.05114683529797</v>
      </c>
      <c r="F43" s="610"/>
      <c r="G43" s="236">
        <f>G$37+G$42+G$41</f>
        <v>169.24583108432324</v>
      </c>
      <c r="H43" s="573"/>
    </row>
    <row r="44" spans="1:11">
      <c r="B44" s="640" t="s">
        <v>458</v>
      </c>
      <c r="C44" s="641">
        <v>0</v>
      </c>
      <c r="D44" s="610"/>
      <c r="E44" s="641">
        <v>0</v>
      </c>
      <c r="F44" s="610"/>
      <c r="G44" s="642">
        <v>0</v>
      </c>
      <c r="H44" s="573"/>
    </row>
    <row r="45" spans="1:11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11">
      <c r="B46" s="620" t="s">
        <v>432</v>
      </c>
      <c r="C46" s="641">
        <f>C$43-C44-C45+D$38</f>
        <v>157.74075568745451</v>
      </c>
      <c r="D46" s="641"/>
      <c r="E46" s="641">
        <f>E$43-E44-E45+F$38</f>
        <v>160.20114683529798</v>
      </c>
      <c r="F46" s="641"/>
      <c r="G46" s="641">
        <f>G$43-G44-G45+H$38</f>
        <v>157.60583108432326</v>
      </c>
      <c r="H46" s="573"/>
    </row>
    <row r="47" spans="1:11">
      <c r="B47" s="503" t="s">
        <v>445</v>
      </c>
      <c r="C47" s="644"/>
      <c r="D47" s="627" t="str">
        <f>CONCATENATE("+ ",ROUND((C$46*0.08),2))</f>
        <v>+ 12.62</v>
      </c>
      <c r="E47" s="644"/>
      <c r="F47" s="627" t="str">
        <f>CONCATENATE("+ ",ROUND((E$46*0.08),2))</f>
        <v>+ 12.82</v>
      </c>
      <c r="G47" s="645"/>
      <c r="H47" s="627" t="str">
        <f>CONCATENATE("+ ",ROUND((G$46*0.08),2))</f>
        <v>+ 12.61</v>
      </c>
    </row>
    <row r="48" spans="1:11" ht="15" thickBot="1">
      <c r="B48" s="646" t="s">
        <v>449</v>
      </c>
      <c r="C48" s="702" t="str">
        <f>D47</f>
        <v>+ 12.62</v>
      </c>
      <c r="D48" s="632"/>
      <c r="E48" s="631" t="str">
        <f>F47</f>
        <v>+ 12.82</v>
      </c>
      <c r="F48" s="632"/>
      <c r="G48" s="631" t="str">
        <f>H47</f>
        <v>+ 12.61</v>
      </c>
      <c r="H48" s="632"/>
    </row>
    <row r="49" spans="1:8" s="392" customFormat="1" ht="15" thickBot="1">
      <c r="B49" s="647" t="s">
        <v>452</v>
      </c>
      <c r="C49" s="648">
        <f>C$46+C$48+C$44+C$45</f>
        <v>170.36075568745451</v>
      </c>
      <c r="D49" s="649">
        <f>D38+D47</f>
        <v>0.95999999999999908</v>
      </c>
      <c r="E49" s="698">
        <f>E$46+E$48+E$44+E$45</f>
        <v>173.02114683529797</v>
      </c>
      <c r="F49" s="649">
        <f>F38+F47</f>
        <v>0.97000000000000064</v>
      </c>
      <c r="G49" s="650">
        <f>G$46+G$48+G$44+G$45</f>
        <v>170.21583108432327</v>
      </c>
      <c r="H49" s="651">
        <f>H38+H47</f>
        <v>0.96999999999999886</v>
      </c>
    </row>
    <row r="50" spans="1:8" s="392" customFormat="1">
      <c r="B50" s="652"/>
      <c r="C50" s="653"/>
      <c r="D50" s="652"/>
      <c r="E50" s="653"/>
      <c r="F50" s="652"/>
      <c r="G50" s="653"/>
      <c r="H50" s="653"/>
    </row>
    <row r="51" spans="1:8" s="392" customFormat="1" ht="15" hidden="1" customHeight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8" ht="15" hidden="1" customHeight="1"/>
    <row r="53" spans="1:8" ht="15" hidden="1" customHeight="1">
      <c r="B53" s="656" t="s">
        <v>441</v>
      </c>
      <c r="C53" s="657">
        <f>Mombasa!D26</f>
        <v>154.61210483715561</v>
      </c>
      <c r="D53" s="162">
        <f>C9+C20+C21+C28+C42+0.16*C8+0.16*SUM(C24:C25)</f>
        <v>153.98809640775983</v>
      </c>
      <c r="E53" s="657">
        <f>'Breakdown for PMS, AGO &amp; DPK'!E26</f>
        <v>160.05845058085328</v>
      </c>
      <c r="G53" s="657">
        <f>'Breakdown for PMS, AGO &amp; DPK'!F26</f>
        <v>157.48855959511991</v>
      </c>
    </row>
    <row r="54" spans="1:8" ht="15.75" hidden="1" customHeight="1" thickBot="1">
      <c r="B54" s="658" t="s">
        <v>442</v>
      </c>
      <c r="C54" s="659">
        <f>C49-C53</f>
        <v>15.748650850298901</v>
      </c>
      <c r="D54" s="162">
        <f>C53-D53</f>
        <v>0.62400842939578638</v>
      </c>
      <c r="E54" s="659">
        <f>E49-E53</f>
        <v>12.962696254444694</v>
      </c>
      <c r="G54" s="659">
        <f>G49-G53</f>
        <v>12.72727148920336</v>
      </c>
    </row>
    <row r="55" spans="1:8" ht="15.75" hidden="1" customHeight="1" thickBot="1">
      <c r="B55" s="660" t="s">
        <v>443</v>
      </c>
      <c r="C55" s="661">
        <f>C54/C53</f>
        <v>0.1018591064838428</v>
      </c>
      <c r="D55" s="662">
        <f>7-5.55+3.89-3.112</f>
        <v>2.2279999999999998</v>
      </c>
      <c r="E55" s="661">
        <f>E54/E53</f>
        <v>8.098726563579102E-2</v>
      </c>
      <c r="F55" s="392"/>
      <c r="G55" s="661">
        <f>G54/G53</f>
        <v>8.0813943069409727E-2</v>
      </c>
    </row>
    <row r="56" spans="1:8" ht="15.75" hidden="1" customHeight="1" thickBot="1">
      <c r="B56" s="663" t="s">
        <v>451</v>
      </c>
      <c r="C56" s="664">
        <f>D$33+D$49+-$D$10</f>
        <v>12.62</v>
      </c>
      <c r="E56" s="664">
        <f>F$33+F$49</f>
        <v>4.5790574521374872</v>
      </c>
      <c r="G56" s="664">
        <f>H$33+H$49</f>
        <v>4.177751744888127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B2:K31"/>
  <sheetViews>
    <sheetView topLeftCell="A13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.1796875" style="159" customWidth="1"/>
    <col min="9" max="16384" width="9.1796875" style="159"/>
  </cols>
  <sheetData>
    <row r="2" spans="2:11">
      <c r="C2" s="258" t="s">
        <v>672</v>
      </c>
      <c r="G2" s="160"/>
    </row>
    <row r="3" spans="2:11">
      <c r="C3" s="258" t="s">
        <v>27</v>
      </c>
      <c r="G3" s="160"/>
    </row>
    <row r="4" spans="2:11">
      <c r="C4" s="259" t="str">
        <f>Taveta!C4</f>
        <v>March 15 - April 14, 2023</v>
      </c>
      <c r="D4" s="258"/>
      <c r="E4" s="160"/>
      <c r="F4" s="160"/>
      <c r="G4" s="260"/>
    </row>
    <row r="5" spans="2:11">
      <c r="C5" s="160"/>
      <c r="D5" s="160"/>
      <c r="E5" s="160"/>
      <c r="F5" s="160"/>
      <c r="G5" s="261"/>
      <c r="H5" s="262"/>
      <c r="I5" s="262"/>
      <c r="J5" s="262"/>
      <c r="K5" s="262"/>
    </row>
    <row r="6" spans="2:11">
      <c r="C6" s="263"/>
      <c r="D6" s="264" t="s">
        <v>0</v>
      </c>
      <c r="E6" s="264" t="s">
        <v>1</v>
      </c>
      <c r="F6" s="264" t="s">
        <v>3</v>
      </c>
      <c r="G6" s="160"/>
      <c r="H6" s="262"/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Mombasa!G8</f>
        <v>1.1599999999999999</v>
      </c>
      <c r="H8" s="262" t="s">
        <v>42</v>
      </c>
      <c r="I8" s="262"/>
      <c r="J8" s="262"/>
      <c r="K8" s="262"/>
    </row>
    <row r="9" spans="2:11" ht="15" thickBot="1">
      <c r="C9" s="263" t="s">
        <v>20</v>
      </c>
      <c r="D9" s="195">
        <f>$G$10*$G$9*$G$8</f>
        <v>0</v>
      </c>
      <c r="E9" s="195">
        <f>$G$10*$G$9*$G$8</f>
        <v>0</v>
      </c>
      <c r="F9" s="195">
        <f>$G$10*$G$9*$G$8</f>
        <v>0</v>
      </c>
      <c r="G9" s="303">
        <v>0</v>
      </c>
      <c r="H9" s="262" t="s">
        <v>28</v>
      </c>
      <c r="I9" s="262"/>
      <c r="J9" s="262"/>
      <c r="K9" s="262"/>
    </row>
    <row r="10" spans="2:11" ht="15" thickBot="1">
      <c r="C10" s="263"/>
      <c r="D10" s="274"/>
      <c r="E10" s="274"/>
      <c r="F10" s="274"/>
      <c r="G10" s="304">
        <v>0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195">
        <f>$G$11*G12*$G$8</f>
        <v>0</v>
      </c>
      <c r="E11" s="195">
        <f>$G$11*G12*$G$8</f>
        <v>0</v>
      </c>
      <c r="F11" s="195">
        <f>$G$11*G12*$G$8</f>
        <v>0</v>
      </c>
      <c r="G11" s="305">
        <f>8.14*G14/1000</f>
        <v>0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1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0</v>
      </c>
      <c r="E13" s="277">
        <f>$G$13*E7</f>
        <v>0</v>
      </c>
      <c r="F13" s="277">
        <f>$G$13*F7</f>
        <v>0</v>
      </c>
      <c r="G13" s="278">
        <v>0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0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Mombasa!D18</f>
        <v>4.2039999999999997</v>
      </c>
      <c r="E17" s="280">
        <f>Mombasa!E18</f>
        <v>4.1739999999999995</v>
      </c>
      <c r="F17" s="280">
        <f>Mombasa!F18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145.79849820066073</v>
      </c>
      <c r="E19" s="282">
        <f>SUM(E7:E18)</f>
        <v>148.24726824540289</v>
      </c>
      <c r="F19" s="282">
        <f>SUM(F7:F18)</f>
        <v>145.67854679553881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Mombasa!D22</f>
        <v>8.19</v>
      </c>
      <c r="E21" s="168">
        <f>Mombasa!E22</f>
        <v>8.19</v>
      </c>
      <c r="F21" s="168">
        <f>Mombasa!F22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3.0560551000693073</v>
      </c>
      <c r="E23" s="283">
        <f t="shared" ref="E23:F23" si="0">$G$23*$G$8</f>
        <v>3.0560551000693073</v>
      </c>
      <c r="F23" s="283">
        <f t="shared" si="0"/>
        <v>3.0560551000693073</v>
      </c>
      <c r="G23" s="284">
        <f>'Delivery &gt;40km-Sept 2013'!E24*I23/1000</f>
        <v>2.6345302586804373</v>
      </c>
      <c r="H23" s="262" t="s">
        <v>126</v>
      </c>
      <c r="I23" s="259">
        <v>220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306">
        <f>D19+D21+D23</f>
        <v>157.04455330073003</v>
      </c>
      <c r="E25" s="306">
        <f>E19+E21+E23</f>
        <v>159.49332334547219</v>
      </c>
      <c r="F25" s="306">
        <f>F19+F21+F23</f>
        <v>156.92460189560811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700"/>
      <c r="E27" s="700"/>
      <c r="F27" s="700"/>
    </row>
    <row r="28" spans="3:11">
      <c r="D28" s="700"/>
      <c r="E28" s="700"/>
      <c r="F28" s="700"/>
    </row>
    <row r="29" spans="3:11">
      <c r="D29" s="700"/>
      <c r="E29" s="700"/>
      <c r="F29" s="700"/>
    </row>
    <row r="31" spans="3:11">
      <c r="E31" s="210"/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2:K56"/>
  <sheetViews>
    <sheetView topLeftCell="A35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8" width="15.453125" style="159" customWidth="1"/>
    <col min="9" max="9" width="3.26953125" style="159" customWidth="1"/>
    <col min="10" max="10" width="14.7265625" style="159" customWidth="1"/>
    <col min="11" max="16384" width="9.1796875" style="159"/>
  </cols>
  <sheetData>
    <row r="2" spans="1:8" ht="15" thickBot="1"/>
    <row r="3" spans="1:8" ht="15" thickBot="1">
      <c r="B3" s="1067" t="s">
        <v>435</v>
      </c>
      <c r="C3" s="1069"/>
      <c r="D3" s="1069"/>
      <c r="E3" s="1069"/>
      <c r="F3" s="1069"/>
      <c r="G3" s="1069"/>
      <c r="H3" s="1068"/>
    </row>
    <row r="4" spans="1:8" ht="15" thickBot="1">
      <c r="B4" s="443" t="str">
        <f>Mombasa!C4</f>
        <v>March 15 - April 14, 2023</v>
      </c>
      <c r="C4" s="1070" t="s">
        <v>399</v>
      </c>
      <c r="D4" s="1071"/>
      <c r="E4" s="1070" t="s">
        <v>338</v>
      </c>
      <c r="F4" s="1070"/>
      <c r="G4" s="1072" t="s">
        <v>337</v>
      </c>
      <c r="H4" s="1071"/>
    </row>
    <row r="5" spans="1:8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8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8" ht="18" customHeight="1">
      <c r="B7" s="597" t="s">
        <v>400</v>
      </c>
      <c r="C7" s="598">
        <f>'PMS SUMMARY'!D45</f>
        <v>89.740844909393786</v>
      </c>
      <c r="D7" s="599"/>
      <c r="E7" s="849">
        <f>'AGO SUMMARY'!E47</f>
        <v>102.43801744706063</v>
      </c>
      <c r="F7" s="600"/>
      <c r="G7" s="849">
        <f>'DPK SUMMARY'!D44</f>
        <v>104.66296430977627</v>
      </c>
      <c r="H7" s="599"/>
    </row>
    <row r="8" spans="1:8" s="163" customFormat="1">
      <c r="B8" s="601" t="s">
        <v>420</v>
      </c>
      <c r="C8" s="602">
        <f>'PMS SUMMARY'!D44</f>
        <v>0.64584380006463771</v>
      </c>
      <c r="D8" s="603"/>
      <c r="E8" s="850">
        <f>'AGO SUMMARY'!E46</f>
        <v>0.57376440122077432</v>
      </c>
      <c r="F8" s="604"/>
      <c r="G8" s="850">
        <f>'DPK SUMMARY'!D43</f>
        <v>0.74013887912213949</v>
      </c>
      <c r="H8" s="603"/>
    </row>
    <row r="9" spans="1:8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8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8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8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8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8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8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v>0</v>
      </c>
      <c r="H15" s="610"/>
    </row>
    <row r="16" spans="1:8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10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  <c r="J17" s="162"/>
    </row>
    <row r="18" spans="1:10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10">
      <c r="A19" s="605"/>
      <c r="B19" s="614" t="s">
        <v>319</v>
      </c>
      <c r="C19" s="613">
        <f>'Breakdown for PMS, AGO &amp; DPK'!D23</f>
        <v>1.7335007701822511</v>
      </c>
      <c r="D19" s="610"/>
      <c r="E19" s="613">
        <f>'Breakdown for PMS, AGO &amp; DPK'!E23</f>
        <v>1.994329137255715</v>
      </c>
      <c r="F19" s="616"/>
      <c r="G19" s="613">
        <f>'Breakdown for PMS, AGO &amp; DPK'!F23</f>
        <v>2.0134755528419217</v>
      </c>
      <c r="H19" s="610"/>
    </row>
    <row r="20" spans="1:10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10">
      <c r="A21" s="605" t="s">
        <v>403</v>
      </c>
      <c r="B21" s="620" t="s">
        <v>421</v>
      </c>
      <c r="C21" s="618">
        <f>SUM(C$22:C$23)</f>
        <v>0.70445023980428223</v>
      </c>
      <c r="D21" s="573"/>
      <c r="E21" s="618">
        <f>SUM(E$22:E$23)</f>
        <v>0.43092702366521302</v>
      </c>
      <c r="F21" s="621"/>
      <c r="G21" s="618">
        <f>SUM(G$22:G$23)</f>
        <v>0.42324390866063455</v>
      </c>
      <c r="H21" s="573"/>
    </row>
    <row r="22" spans="1:10">
      <c r="A22" s="605"/>
      <c r="B22" s="614" t="s">
        <v>455</v>
      </c>
      <c r="C22" s="613">
        <f>SUM(C$24:C$25)</f>
        <v>0</v>
      </c>
      <c r="D22" s="573"/>
      <c r="E22" s="613">
        <f>SUM(E$24:E$25)</f>
        <v>0</v>
      </c>
      <c r="F22" s="621"/>
      <c r="G22" s="613">
        <f>SUM(G$24:G$25)</f>
        <v>0</v>
      </c>
      <c r="H22" s="573"/>
    </row>
    <row r="23" spans="1:10">
      <c r="A23" s="605"/>
      <c r="B23" s="614" t="s">
        <v>456</v>
      </c>
      <c r="C23" s="613">
        <f>C$26+C$27</f>
        <v>0.70445023980428223</v>
      </c>
      <c r="D23" s="573"/>
      <c r="E23" s="613">
        <f>E$26+E$27</f>
        <v>0.43092702366521302</v>
      </c>
      <c r="F23" s="621"/>
      <c r="G23" s="613">
        <f>G$26+G$27</f>
        <v>0.42324390866063455</v>
      </c>
      <c r="H23" s="573"/>
    </row>
    <row r="24" spans="1:10">
      <c r="A24" s="605"/>
      <c r="B24" s="622" t="s">
        <v>459</v>
      </c>
      <c r="C24" s="602">
        <f>Mombasa!D9</f>
        <v>0</v>
      </c>
      <c r="D24" s="623"/>
      <c r="E24" s="602">
        <f>Mombasa!E9</f>
        <v>0</v>
      </c>
      <c r="F24" s="624"/>
      <c r="G24" s="602">
        <f>Mombasa!F9</f>
        <v>0</v>
      </c>
      <c r="H24" s="573"/>
    </row>
    <row r="25" spans="1:10">
      <c r="A25" s="605"/>
      <c r="B25" s="622" t="s">
        <v>460</v>
      </c>
      <c r="C25" s="602">
        <f>Mombasa!D11</f>
        <v>0</v>
      </c>
      <c r="D25" s="623"/>
      <c r="E25" s="602">
        <f>Mombasa!E11</f>
        <v>0</v>
      </c>
      <c r="F25" s="624"/>
      <c r="G25" s="602">
        <f>Mombasa!F11</f>
        <v>0</v>
      </c>
      <c r="H25" s="573"/>
    </row>
    <row r="26" spans="1:10">
      <c r="A26" s="605"/>
      <c r="B26" s="622" t="s">
        <v>334</v>
      </c>
      <c r="C26" s="602">
        <f>Mombasa!D13</f>
        <v>0</v>
      </c>
      <c r="D26" s="623"/>
      <c r="E26" s="602">
        <f>Mombasa!E13</f>
        <v>0</v>
      </c>
      <c r="F26" s="624"/>
      <c r="G26" s="602">
        <f>Mombasa!F13</f>
        <v>0</v>
      </c>
      <c r="H26" s="573"/>
    </row>
    <row r="27" spans="1:10">
      <c r="A27" s="605"/>
      <c r="B27" s="622" t="s">
        <v>332</v>
      </c>
      <c r="C27" s="602">
        <f>Mombasa!D15</f>
        <v>0.70445023980428223</v>
      </c>
      <c r="D27" s="623"/>
      <c r="E27" s="602">
        <f>Mombasa!E15</f>
        <v>0.43092702366521302</v>
      </c>
      <c r="F27" s="624"/>
      <c r="G27" s="602">
        <f>Mombasa!F15</f>
        <v>0.42324390866063455</v>
      </c>
      <c r="H27" s="573"/>
    </row>
    <row r="28" spans="1:10">
      <c r="A28" s="605" t="s">
        <v>404</v>
      </c>
      <c r="B28" s="620" t="s">
        <v>427</v>
      </c>
      <c r="C28" s="618">
        <f>Mombasa!D18</f>
        <v>4.2039999999999997</v>
      </c>
      <c r="D28" s="618"/>
      <c r="E28" s="618">
        <f>Mombasa!E18</f>
        <v>4.1739999999999995</v>
      </c>
      <c r="F28" s="618"/>
      <c r="G28" s="618">
        <f>Mombasa!F18</f>
        <v>4.1739999999999995</v>
      </c>
      <c r="H28" s="573"/>
    </row>
    <row r="29" spans="1:10">
      <c r="A29" s="605"/>
      <c r="B29" s="620" t="s">
        <v>440</v>
      </c>
      <c r="C29" s="618">
        <f>C$9+C$20+C$22+C$23+C$28</f>
        <v>145.6947613997495</v>
      </c>
      <c r="D29" s="625"/>
      <c r="E29" s="626">
        <f>E$9+E$20+E$22+E$23+E$28</f>
        <v>148.15515254759296</v>
      </c>
      <c r="F29" s="625"/>
      <c r="G29" s="618">
        <f>G$9+G$20+G$22+G$23+G$28</f>
        <v>145.55983679661824</v>
      </c>
      <c r="H29" s="625"/>
    </row>
    <row r="30" spans="1:10">
      <c r="A30" s="605"/>
      <c r="B30" s="494" t="s">
        <v>444</v>
      </c>
      <c r="C30" s="606"/>
      <c r="D30" s="627" t="str">
        <f>CONCATENATE("+ ",ROUND((C$29*0.08),2))</f>
        <v>+ 11.66</v>
      </c>
      <c r="E30" s="628"/>
      <c r="F30" s="627" t="str">
        <f>CONCATENATE("+ ",ROUND((E$29*0.08),2))</f>
        <v>+ 11.85</v>
      </c>
      <c r="G30" s="606"/>
      <c r="H30" s="627" t="str">
        <f>CONCATENATE("+ ",ROUND((G$29*0.08),2))</f>
        <v>+ 11.64</v>
      </c>
    </row>
    <row r="31" spans="1:10">
      <c r="A31" s="605"/>
      <c r="B31" s="620" t="s">
        <v>436</v>
      </c>
      <c r="C31" s="606">
        <f>C$9+C$20+C$21+C$28</f>
        <v>145.6947613997495</v>
      </c>
      <c r="D31" s="629"/>
      <c r="E31" s="628">
        <f>E$9+E$20+E$21+E$28</f>
        <v>148.15515254759296</v>
      </c>
      <c r="F31" s="629"/>
      <c r="G31" s="606">
        <f>G$9+G$20+G$21+G$28</f>
        <v>145.55983679661824</v>
      </c>
      <c r="H31" s="629"/>
    </row>
    <row r="32" spans="1:10" ht="15" thickBot="1">
      <c r="A32" s="605"/>
      <c r="B32" s="630" t="s">
        <v>448</v>
      </c>
      <c r="C32" s="631" t="str">
        <f>D30</f>
        <v>+ 11.66</v>
      </c>
      <c r="D32" s="632"/>
      <c r="E32" s="631" t="str">
        <f>F30</f>
        <v>+ 11.85</v>
      </c>
      <c r="F32" s="632"/>
      <c r="G32" s="631" t="str">
        <f>H30</f>
        <v>+ 11.64</v>
      </c>
      <c r="H32" s="632"/>
    </row>
    <row r="33" spans="1:11" ht="15" thickBot="1">
      <c r="A33" s="605"/>
      <c r="B33" s="633" t="s">
        <v>418</v>
      </c>
      <c r="C33" s="634">
        <f>C31+C32</f>
        <v>157.35476139974949</v>
      </c>
      <c r="D33" s="634">
        <f>+D10+D30</f>
        <v>4.4290649032433258</v>
      </c>
      <c r="E33" s="635">
        <f>E31+E32</f>
        <v>160.00515254759296</v>
      </c>
      <c r="F33" s="634">
        <f>F10+F30</f>
        <v>3.6090574521374865</v>
      </c>
      <c r="G33" s="634">
        <f>G31+G32</f>
        <v>157.19983679661823</v>
      </c>
      <c r="H33" s="636">
        <f>H10+H30</f>
        <v>3.2077517448881281</v>
      </c>
      <c r="K33" s="162"/>
    </row>
    <row r="34" spans="1:11" ht="15" thickBot="1"/>
    <row r="35" spans="1:11" ht="15.75" customHeight="1" thickBot="1">
      <c r="B35" s="1064" t="s">
        <v>417</v>
      </c>
      <c r="C35" s="1065"/>
      <c r="D35" s="1065"/>
      <c r="E35" s="1065"/>
      <c r="F35" s="1065"/>
      <c r="G35" s="1065"/>
      <c r="H35" s="1066"/>
    </row>
    <row r="36" spans="1:11" ht="15" thickBot="1">
      <c r="B36" s="443"/>
      <c r="C36" s="1067" t="str">
        <f>C4</f>
        <v>Super petrol</v>
      </c>
      <c r="D36" s="1068"/>
      <c r="E36" s="1069" t="str">
        <f>E4</f>
        <v>Diesel</v>
      </c>
      <c r="F36" s="1069"/>
      <c r="G36" s="1067" t="str">
        <f>G4</f>
        <v>Kerosene</v>
      </c>
      <c r="H36" s="1068"/>
    </row>
    <row r="37" spans="1:11">
      <c r="A37" s="605" t="s">
        <v>428</v>
      </c>
      <c r="B37" s="503" t="s">
        <v>422</v>
      </c>
      <c r="C37" s="236">
        <f>C33</f>
        <v>157.35476139974949</v>
      </c>
      <c r="D37" s="573"/>
      <c r="E37" s="236">
        <f>E33</f>
        <v>160.00515254759296</v>
      </c>
      <c r="F37" s="573"/>
      <c r="G37" s="236">
        <f>G33</f>
        <v>157.19983679661823</v>
      </c>
      <c r="H37" s="629"/>
    </row>
    <row r="38" spans="1:11">
      <c r="A38" s="605"/>
      <c r="B38" s="637" t="s">
        <v>425</v>
      </c>
      <c r="C38" s="638"/>
      <c r="D38" s="609">
        <f>-C32</f>
        <v>-11.66</v>
      </c>
      <c r="E38" s="639"/>
      <c r="F38" s="609">
        <f>-E32</f>
        <v>-11.85</v>
      </c>
      <c r="G38" s="638"/>
      <c r="H38" s="609">
        <f>-G32</f>
        <v>-11.64</v>
      </c>
    </row>
    <row r="39" spans="1:11">
      <c r="A39" s="605" t="s">
        <v>429</v>
      </c>
      <c r="B39" s="613" t="s">
        <v>644</v>
      </c>
      <c r="C39" s="613"/>
      <c r="D39" s="943"/>
      <c r="E39" s="879"/>
      <c r="F39" s="943"/>
      <c r="G39" s="613"/>
      <c r="H39" s="943"/>
    </row>
    <row r="40" spans="1:11">
      <c r="A40" s="605"/>
      <c r="B40" s="948" t="s">
        <v>646</v>
      </c>
      <c r="C40" s="613">
        <f>Minjila!G23</f>
        <v>2.6345302586804373</v>
      </c>
      <c r="D40" s="943"/>
      <c r="E40" s="880">
        <f>C40</f>
        <v>2.6345302586804373</v>
      </c>
      <c r="F40" s="943"/>
      <c r="G40" s="613">
        <f>E40</f>
        <v>2.6345302586804373</v>
      </c>
      <c r="H40" s="943"/>
    </row>
    <row r="41" spans="1:11" s="392" customFormat="1">
      <c r="A41" s="605"/>
      <c r="B41" s="640" t="s">
        <v>647</v>
      </c>
      <c r="C41" s="618">
        <f>SUM(C40)</f>
        <v>2.6345302586804373</v>
      </c>
      <c r="D41" s="944"/>
      <c r="E41" s="626">
        <f>SUM(E40)</f>
        <v>2.6345302586804373</v>
      </c>
      <c r="F41" s="949"/>
      <c r="G41" s="618">
        <f>SUM(G40)</f>
        <v>2.6345302586804373</v>
      </c>
      <c r="H41" s="944"/>
    </row>
    <row r="42" spans="1:11">
      <c r="A42" s="605" t="s">
        <v>642</v>
      </c>
      <c r="B42" s="503" t="s">
        <v>426</v>
      </c>
      <c r="C42" s="236">
        <f>Mombasa!D22</f>
        <v>8.19</v>
      </c>
      <c r="D42" s="573"/>
      <c r="E42" s="236">
        <f>Mombasa!E22</f>
        <v>8.19</v>
      </c>
      <c r="F42" s="573"/>
      <c r="G42" s="236">
        <f>Mombasa!F22</f>
        <v>8.19</v>
      </c>
      <c r="H42" s="629"/>
    </row>
    <row r="43" spans="1:11">
      <c r="B43" s="620" t="s">
        <v>447</v>
      </c>
      <c r="C43" s="613">
        <f>C$37+C$42+C$41</f>
        <v>168.17929165842992</v>
      </c>
      <c r="D43" s="610"/>
      <c r="E43" s="613">
        <f>E$37+E$42+E$41</f>
        <v>170.82968280627338</v>
      </c>
      <c r="F43" s="610"/>
      <c r="G43" s="236">
        <f>G$37+G$42+G$41</f>
        <v>168.02436705529865</v>
      </c>
      <c r="H43" s="573"/>
    </row>
    <row r="44" spans="1:11">
      <c r="B44" s="640" t="s">
        <v>458</v>
      </c>
      <c r="C44" s="641">
        <v>0</v>
      </c>
      <c r="D44" s="610"/>
      <c r="E44" s="641">
        <v>0</v>
      </c>
      <c r="F44" s="610"/>
      <c r="G44" s="642">
        <v>0</v>
      </c>
      <c r="H44" s="573"/>
    </row>
    <row r="45" spans="1:11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11">
      <c r="B46" s="620" t="s">
        <v>432</v>
      </c>
      <c r="C46" s="641">
        <f>C$43-C44-C45+D$38</f>
        <v>156.51929165842992</v>
      </c>
      <c r="D46" s="641"/>
      <c r="E46" s="641">
        <f>E$43-E44-E45+F$38</f>
        <v>158.97968280627339</v>
      </c>
      <c r="F46" s="641"/>
      <c r="G46" s="641">
        <f>G$43-G44-G45+H$38</f>
        <v>156.38436705529864</v>
      </c>
      <c r="H46" s="573"/>
    </row>
    <row r="47" spans="1:11">
      <c r="B47" s="503" t="s">
        <v>445</v>
      </c>
      <c r="C47" s="644"/>
      <c r="D47" s="627" t="str">
        <f>CONCATENATE("+ ",ROUND((C$46*0.08),2))</f>
        <v>+ 12.52</v>
      </c>
      <c r="E47" s="644"/>
      <c r="F47" s="627" t="str">
        <f>CONCATENATE("+ ",ROUND((E$46*0.08),2))</f>
        <v>+ 12.72</v>
      </c>
      <c r="G47" s="645"/>
      <c r="H47" s="627" t="str">
        <f>CONCATENATE("+ ",ROUND((G$46*0.08),2))</f>
        <v>+ 12.51</v>
      </c>
    </row>
    <row r="48" spans="1:11" ht="15" thickBot="1">
      <c r="B48" s="646" t="s">
        <v>449</v>
      </c>
      <c r="C48" s="702" t="str">
        <f>D47</f>
        <v>+ 12.52</v>
      </c>
      <c r="D48" s="632"/>
      <c r="E48" s="631" t="str">
        <f>F47</f>
        <v>+ 12.72</v>
      </c>
      <c r="F48" s="632"/>
      <c r="G48" s="631" t="str">
        <f>H47</f>
        <v>+ 12.51</v>
      </c>
      <c r="H48" s="632"/>
    </row>
    <row r="49" spans="1:8" s="392" customFormat="1" ht="15" thickBot="1">
      <c r="B49" s="647" t="s">
        <v>452</v>
      </c>
      <c r="C49" s="648">
        <f>C$46+C$48+C$44+C$45</f>
        <v>169.03929165842993</v>
      </c>
      <c r="D49" s="649">
        <f>D38+D47</f>
        <v>0.85999999999999943</v>
      </c>
      <c r="E49" s="698">
        <f>E$46+E$48+E$44+E$45</f>
        <v>171.69968280627339</v>
      </c>
      <c r="F49" s="649">
        <f>F38+F47</f>
        <v>0.87000000000000099</v>
      </c>
      <c r="G49" s="650">
        <f>G$46+G$48+G$44+G$45</f>
        <v>168.89436705529863</v>
      </c>
      <c r="H49" s="651">
        <f>H38+H47</f>
        <v>0.86999999999999922</v>
      </c>
    </row>
    <row r="50" spans="1:8" s="392" customFormat="1">
      <c r="B50" s="652"/>
      <c r="C50" s="653"/>
      <c r="D50" s="652"/>
      <c r="E50" s="653"/>
      <c r="F50" s="652"/>
      <c r="G50" s="653"/>
      <c r="H50" s="653"/>
    </row>
    <row r="51" spans="1:8" s="392" customFormat="1" ht="15" hidden="1" customHeight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8" ht="15" hidden="1" customHeight="1"/>
    <row r="53" spans="1:8" ht="15" hidden="1" customHeight="1">
      <c r="B53" s="656" t="s">
        <v>441</v>
      </c>
      <c r="C53" s="657">
        <f>Mombasa!D26</f>
        <v>154.61210483715561</v>
      </c>
      <c r="D53" s="162">
        <f>C9+C20+C21+C28+C42+0.16*C8+0.16*SUM(C24:C25)</f>
        <v>153.98809640775983</v>
      </c>
      <c r="E53" s="657">
        <f>'Breakdown for PMS, AGO &amp; DPK'!E26</f>
        <v>160.05845058085328</v>
      </c>
      <c r="G53" s="657">
        <f>'Breakdown for PMS, AGO &amp; DPK'!F26</f>
        <v>157.48855959511991</v>
      </c>
    </row>
    <row r="54" spans="1:8" ht="15.75" hidden="1" customHeight="1">
      <c r="B54" s="658" t="s">
        <v>442</v>
      </c>
      <c r="C54" s="659">
        <f>C49-C53</f>
        <v>14.427186821274319</v>
      </c>
      <c r="D54" s="162">
        <f>C53-D53</f>
        <v>0.62400842939578638</v>
      </c>
      <c r="E54" s="659">
        <f>E49-E53</f>
        <v>11.641232225420111</v>
      </c>
      <c r="G54" s="659">
        <f>G49-G53</f>
        <v>11.405807460178721</v>
      </c>
    </row>
    <row r="55" spans="1:8" ht="15.75" hidden="1" customHeight="1">
      <c r="B55" s="660" t="s">
        <v>443</v>
      </c>
      <c r="C55" s="661">
        <f>C54/C53</f>
        <v>9.331214290413857E-2</v>
      </c>
      <c r="D55" s="662">
        <f>7-5.55+3.89-3.112</f>
        <v>2.2279999999999998</v>
      </c>
      <c r="E55" s="661">
        <f>E54/E53</f>
        <v>7.2731131553341891E-2</v>
      </c>
      <c r="F55" s="392"/>
      <c r="G55" s="661">
        <f>G54/G53</f>
        <v>7.2423085775254956E-2</v>
      </c>
    </row>
    <row r="56" spans="1:8" ht="15.75" hidden="1" customHeight="1">
      <c r="B56" s="663" t="s">
        <v>451</v>
      </c>
      <c r="C56" s="664">
        <f>D$33+D$49+-$D$10</f>
        <v>12.52</v>
      </c>
      <c r="E56" s="664">
        <f>F$33+F$49</f>
        <v>4.4790574521374875</v>
      </c>
      <c r="G56" s="664">
        <f>H$33+H$49</f>
        <v>4.0777517448881273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B2:K31"/>
  <sheetViews>
    <sheetView topLeftCell="A13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.1796875" style="159" customWidth="1"/>
    <col min="9" max="16384" width="9.1796875" style="159"/>
  </cols>
  <sheetData>
    <row r="2" spans="2:11">
      <c r="C2" s="258" t="s">
        <v>673</v>
      </c>
      <c r="G2" s="160"/>
    </row>
    <row r="3" spans="2:11">
      <c r="C3" s="258" t="s">
        <v>27</v>
      </c>
      <c r="G3" s="160"/>
    </row>
    <row r="4" spans="2:11">
      <c r="C4" s="259" t="str">
        <f>Taveta!C4</f>
        <v>March 15 - April 14, 2023</v>
      </c>
      <c r="D4" s="258"/>
      <c r="E4" s="160"/>
      <c r="F4" s="160"/>
      <c r="G4" s="260"/>
    </row>
    <row r="5" spans="2:11">
      <c r="C5" s="160"/>
      <c r="D5" s="160"/>
      <c r="E5" s="160"/>
      <c r="F5" s="160"/>
      <c r="G5" s="261"/>
      <c r="H5" s="262"/>
      <c r="I5" s="262"/>
      <c r="J5" s="262"/>
      <c r="K5" s="262"/>
    </row>
    <row r="6" spans="2:11">
      <c r="C6" s="263"/>
      <c r="D6" s="264" t="s">
        <v>0</v>
      </c>
      <c r="E6" s="264" t="s">
        <v>1</v>
      </c>
      <c r="F6" s="264" t="s">
        <v>3</v>
      </c>
      <c r="G6" s="160"/>
      <c r="H6" s="262"/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Mombasa!G8</f>
        <v>1.1599999999999999</v>
      </c>
      <c r="H8" s="262" t="s">
        <v>42</v>
      </c>
      <c r="I8" s="262"/>
      <c r="J8" s="262"/>
      <c r="K8" s="262"/>
    </row>
    <row r="9" spans="2:11" ht="15" thickBot="1">
      <c r="C9" s="263" t="s">
        <v>20</v>
      </c>
      <c r="D9" s="195">
        <f>$G$10*$G$9*$G$8</f>
        <v>0</v>
      </c>
      <c r="E9" s="195">
        <f>$G$10*$G$9*$G$8</f>
        <v>0</v>
      </c>
      <c r="F9" s="195">
        <f>$G$10*$G$9*$G$8</f>
        <v>0</v>
      </c>
      <c r="G9" s="303">
        <v>0</v>
      </c>
      <c r="H9" s="262" t="s">
        <v>28</v>
      </c>
      <c r="I9" s="262"/>
      <c r="J9" s="262"/>
      <c r="K9" s="262"/>
    </row>
    <row r="10" spans="2:11" ht="15" thickBot="1">
      <c r="C10" s="263"/>
      <c r="D10" s="274"/>
      <c r="E10" s="274"/>
      <c r="F10" s="274"/>
      <c r="G10" s="304">
        <v>0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195">
        <f>$G$11*G12*$G$8</f>
        <v>0</v>
      </c>
      <c r="E11" s="195">
        <f>$G$11*G12*$G$8</f>
        <v>0</v>
      </c>
      <c r="F11" s="195">
        <f>$G$11*G12*$G$8</f>
        <v>0</v>
      </c>
      <c r="G11" s="305">
        <f>8.14*G14/1000</f>
        <v>0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1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0</v>
      </c>
      <c r="E13" s="277">
        <f>$G$13*E7</f>
        <v>0</v>
      </c>
      <c r="F13" s="277">
        <f>$G$13*F7</f>
        <v>0</v>
      </c>
      <c r="G13" s="278">
        <v>0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0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Mombasa!D18</f>
        <v>4.2039999999999997</v>
      </c>
      <c r="E17" s="280">
        <f>Mombasa!E18</f>
        <v>4.1739999999999995</v>
      </c>
      <c r="F17" s="280">
        <f>Mombasa!F18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145.79849820066073</v>
      </c>
      <c r="E19" s="282">
        <f>SUM(E7:E18)</f>
        <v>148.24726824540289</v>
      </c>
      <c r="F19" s="282">
        <f>SUM(F7:F18)</f>
        <v>145.67854679553881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Mombasa!D22</f>
        <v>8.19</v>
      </c>
      <c r="E21" s="168">
        <f>Mombasa!E22</f>
        <v>8.19</v>
      </c>
      <c r="F21" s="168">
        <f>Mombasa!F22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0.94459884911233127</v>
      </c>
      <c r="E23" s="283">
        <f t="shared" ref="E23:F23" si="0">$G$23*$G$8</f>
        <v>0.94459884911233127</v>
      </c>
      <c r="F23" s="283">
        <f t="shared" si="0"/>
        <v>0.94459884911233127</v>
      </c>
      <c r="G23" s="284">
        <f>'Delivery &gt;40km-Sept 2013'!E24*I23/1000</f>
        <v>0.81430935268304427</v>
      </c>
      <c r="H23" s="262" t="s">
        <v>126</v>
      </c>
      <c r="I23" s="259">
        <v>68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306">
        <f>D19+D21+D23</f>
        <v>154.93309704977307</v>
      </c>
      <c r="E25" s="306">
        <f>E19+E21+E23</f>
        <v>157.38186709451523</v>
      </c>
      <c r="F25" s="306">
        <f>F19+F21+F23</f>
        <v>154.81314564465114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700"/>
      <c r="E27" s="700"/>
      <c r="F27" s="700"/>
    </row>
    <row r="28" spans="3:11">
      <c r="D28" s="700"/>
      <c r="E28" s="700"/>
      <c r="F28" s="700"/>
    </row>
    <row r="29" spans="3:11">
      <c r="D29" s="700"/>
      <c r="E29" s="700"/>
      <c r="F29" s="700"/>
    </row>
    <row r="31" spans="3:11">
      <c r="E31" s="210"/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2:K56"/>
  <sheetViews>
    <sheetView topLeftCell="A34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8" width="15.453125" style="159" customWidth="1"/>
    <col min="9" max="9" width="3.26953125" style="159" customWidth="1"/>
    <col min="10" max="10" width="14.7265625" style="159" customWidth="1"/>
    <col min="11" max="16384" width="9.1796875" style="159"/>
  </cols>
  <sheetData>
    <row r="2" spans="1:8" ht="15" thickBot="1"/>
    <row r="3" spans="1:8" ht="15" thickBot="1">
      <c r="B3" s="1067" t="s">
        <v>435</v>
      </c>
      <c r="C3" s="1069"/>
      <c r="D3" s="1069"/>
      <c r="E3" s="1069"/>
      <c r="F3" s="1069"/>
      <c r="G3" s="1069"/>
      <c r="H3" s="1068"/>
    </row>
    <row r="4" spans="1:8" ht="15" thickBot="1">
      <c r="B4" s="443" t="str">
        <f>Mombasa!C4</f>
        <v>March 15 - April 14, 2023</v>
      </c>
      <c r="C4" s="1070" t="s">
        <v>399</v>
      </c>
      <c r="D4" s="1071"/>
      <c r="E4" s="1070" t="s">
        <v>338</v>
      </c>
      <c r="F4" s="1070"/>
      <c r="G4" s="1072" t="s">
        <v>337</v>
      </c>
      <c r="H4" s="1071"/>
    </row>
    <row r="5" spans="1:8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8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8" ht="18" customHeight="1">
      <c r="B7" s="597" t="s">
        <v>400</v>
      </c>
      <c r="C7" s="598">
        <f>'PMS SUMMARY'!D45</f>
        <v>89.740844909393786</v>
      </c>
      <c r="D7" s="599"/>
      <c r="E7" s="849">
        <f>'AGO SUMMARY'!E47</f>
        <v>102.43801744706063</v>
      </c>
      <c r="F7" s="600"/>
      <c r="G7" s="849">
        <f>'DPK SUMMARY'!D44</f>
        <v>104.66296430977627</v>
      </c>
      <c r="H7" s="599"/>
    </row>
    <row r="8" spans="1:8" s="163" customFormat="1">
      <c r="B8" s="601" t="s">
        <v>420</v>
      </c>
      <c r="C8" s="602">
        <f>'PMS SUMMARY'!D44</f>
        <v>0.64584380006463771</v>
      </c>
      <c r="D8" s="603"/>
      <c r="E8" s="850">
        <f>'AGO SUMMARY'!E46</f>
        <v>0.57376440122077432</v>
      </c>
      <c r="F8" s="604"/>
      <c r="G8" s="850">
        <f>'DPK SUMMARY'!D43</f>
        <v>0.74013887912213949</v>
      </c>
      <c r="H8" s="603"/>
    </row>
    <row r="9" spans="1:8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8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8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8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8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8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8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v>0</v>
      </c>
      <c r="H15" s="610"/>
    </row>
    <row r="16" spans="1:8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10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  <c r="J17" s="162"/>
    </row>
    <row r="18" spans="1:10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10">
      <c r="A19" s="605"/>
      <c r="B19" s="614" t="s">
        <v>319</v>
      </c>
      <c r="C19" s="613">
        <f>'Breakdown for PMS, AGO &amp; DPK'!D23</f>
        <v>1.7335007701822511</v>
      </c>
      <c r="D19" s="610"/>
      <c r="E19" s="613">
        <f>'Breakdown for PMS, AGO &amp; DPK'!E23</f>
        <v>1.994329137255715</v>
      </c>
      <c r="F19" s="616"/>
      <c r="G19" s="613">
        <f>'Breakdown for PMS, AGO &amp; DPK'!F23</f>
        <v>2.0134755528419217</v>
      </c>
      <c r="H19" s="610"/>
    </row>
    <row r="20" spans="1:10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10">
      <c r="A21" s="605" t="s">
        <v>403</v>
      </c>
      <c r="B21" s="620" t="s">
        <v>421</v>
      </c>
      <c r="C21" s="618">
        <f>SUM(C$22:C$23)</f>
        <v>0.70445023980428223</v>
      </c>
      <c r="D21" s="573"/>
      <c r="E21" s="618">
        <f>SUM(E$22:E$23)</f>
        <v>0.43092702366521302</v>
      </c>
      <c r="F21" s="621"/>
      <c r="G21" s="618">
        <f>SUM(G$22:G$23)</f>
        <v>0.42324390866063455</v>
      </c>
      <c r="H21" s="573"/>
    </row>
    <row r="22" spans="1:10">
      <c r="A22" s="605"/>
      <c r="B22" s="614" t="s">
        <v>455</v>
      </c>
      <c r="C22" s="613">
        <f>SUM(C$24:C$25)</f>
        <v>0</v>
      </c>
      <c r="D22" s="573"/>
      <c r="E22" s="613">
        <f>SUM(E$24:E$25)</f>
        <v>0</v>
      </c>
      <c r="F22" s="621"/>
      <c r="G22" s="613">
        <f>SUM(G$24:G$25)</f>
        <v>0</v>
      </c>
      <c r="H22" s="573"/>
    </row>
    <row r="23" spans="1:10">
      <c r="A23" s="605"/>
      <c r="B23" s="614" t="s">
        <v>456</v>
      </c>
      <c r="C23" s="613">
        <f>C$26+C$27</f>
        <v>0.70445023980428223</v>
      </c>
      <c r="D23" s="573"/>
      <c r="E23" s="613">
        <f>E$26+E$27</f>
        <v>0.43092702366521302</v>
      </c>
      <c r="F23" s="621"/>
      <c r="G23" s="613">
        <f>G$26+G$27</f>
        <v>0.42324390866063455</v>
      </c>
      <c r="H23" s="573"/>
    </row>
    <row r="24" spans="1:10">
      <c r="A24" s="605"/>
      <c r="B24" s="622" t="s">
        <v>459</v>
      </c>
      <c r="C24" s="602">
        <f>Mombasa!D9</f>
        <v>0</v>
      </c>
      <c r="D24" s="623"/>
      <c r="E24" s="602">
        <f>Mombasa!E9</f>
        <v>0</v>
      </c>
      <c r="F24" s="624"/>
      <c r="G24" s="602">
        <f>Mombasa!F9</f>
        <v>0</v>
      </c>
      <c r="H24" s="573"/>
    </row>
    <row r="25" spans="1:10">
      <c r="A25" s="605"/>
      <c r="B25" s="622" t="s">
        <v>460</v>
      </c>
      <c r="C25" s="602">
        <f>Mombasa!D11</f>
        <v>0</v>
      </c>
      <c r="D25" s="623"/>
      <c r="E25" s="602">
        <f>Mombasa!E11</f>
        <v>0</v>
      </c>
      <c r="F25" s="624"/>
      <c r="G25" s="602">
        <f>Mombasa!F11</f>
        <v>0</v>
      </c>
      <c r="H25" s="573"/>
    </row>
    <row r="26" spans="1:10">
      <c r="A26" s="605"/>
      <c r="B26" s="622" t="s">
        <v>334</v>
      </c>
      <c r="C26" s="602">
        <f>Mombasa!D13</f>
        <v>0</v>
      </c>
      <c r="D26" s="623"/>
      <c r="E26" s="602">
        <f>Mombasa!E13</f>
        <v>0</v>
      </c>
      <c r="F26" s="624"/>
      <c r="G26" s="602">
        <f>Mombasa!F13</f>
        <v>0</v>
      </c>
      <c r="H26" s="573"/>
    </row>
    <row r="27" spans="1:10">
      <c r="A27" s="605"/>
      <c r="B27" s="622" t="s">
        <v>332</v>
      </c>
      <c r="C27" s="602">
        <f>Mombasa!D15</f>
        <v>0.70445023980428223</v>
      </c>
      <c r="D27" s="623"/>
      <c r="E27" s="602">
        <f>Mombasa!E15</f>
        <v>0.43092702366521302</v>
      </c>
      <c r="F27" s="624"/>
      <c r="G27" s="602">
        <f>Mombasa!F15</f>
        <v>0.42324390866063455</v>
      </c>
      <c r="H27" s="573"/>
    </row>
    <row r="28" spans="1:10">
      <c r="A28" s="605" t="s">
        <v>404</v>
      </c>
      <c r="B28" s="620" t="s">
        <v>427</v>
      </c>
      <c r="C28" s="618">
        <f>Mombasa!D18</f>
        <v>4.2039999999999997</v>
      </c>
      <c r="D28" s="618"/>
      <c r="E28" s="618">
        <f>Mombasa!E18</f>
        <v>4.1739999999999995</v>
      </c>
      <c r="F28" s="618"/>
      <c r="G28" s="618">
        <f>Mombasa!F18</f>
        <v>4.1739999999999995</v>
      </c>
      <c r="H28" s="573"/>
    </row>
    <row r="29" spans="1:10">
      <c r="A29" s="605"/>
      <c r="B29" s="620" t="s">
        <v>440</v>
      </c>
      <c r="C29" s="618">
        <f>C$9+C$20+C$22+C$23+C$28</f>
        <v>145.6947613997495</v>
      </c>
      <c r="D29" s="625"/>
      <c r="E29" s="626">
        <f>E$9+E$20+E$22+E$23+E$28</f>
        <v>148.15515254759296</v>
      </c>
      <c r="F29" s="625"/>
      <c r="G29" s="618">
        <f>G$9+G$20+G$22+G$23+G$28</f>
        <v>145.55983679661824</v>
      </c>
      <c r="H29" s="625"/>
    </row>
    <row r="30" spans="1:10">
      <c r="A30" s="605"/>
      <c r="B30" s="494" t="s">
        <v>444</v>
      </c>
      <c r="C30" s="606"/>
      <c r="D30" s="627" t="str">
        <f>CONCATENATE("+ ",ROUND((C$29*0.08),2))</f>
        <v>+ 11.66</v>
      </c>
      <c r="E30" s="628"/>
      <c r="F30" s="627" t="str">
        <f>CONCATENATE("+ ",ROUND((E$29*0.08),2))</f>
        <v>+ 11.85</v>
      </c>
      <c r="G30" s="606"/>
      <c r="H30" s="627" t="str">
        <f>CONCATENATE("+ ",ROUND((G$29*0.08),2))</f>
        <v>+ 11.64</v>
      </c>
    </row>
    <row r="31" spans="1:10">
      <c r="A31" s="605"/>
      <c r="B31" s="620" t="s">
        <v>436</v>
      </c>
      <c r="C31" s="606">
        <f>C$9+C$20+C$21+C$28</f>
        <v>145.6947613997495</v>
      </c>
      <c r="D31" s="629"/>
      <c r="E31" s="628">
        <f>E$9+E$20+E$21+E$28</f>
        <v>148.15515254759296</v>
      </c>
      <c r="F31" s="629"/>
      <c r="G31" s="606">
        <f>G$9+G$20+G$21+G$28</f>
        <v>145.55983679661824</v>
      </c>
      <c r="H31" s="629"/>
    </row>
    <row r="32" spans="1:10" ht="15" thickBot="1">
      <c r="A32" s="605"/>
      <c r="B32" s="630" t="s">
        <v>448</v>
      </c>
      <c r="C32" s="631" t="str">
        <f>D30</f>
        <v>+ 11.66</v>
      </c>
      <c r="D32" s="632"/>
      <c r="E32" s="631" t="str">
        <f>F30</f>
        <v>+ 11.85</v>
      </c>
      <c r="F32" s="632"/>
      <c r="G32" s="631" t="str">
        <f>H30</f>
        <v>+ 11.64</v>
      </c>
      <c r="H32" s="632"/>
    </row>
    <row r="33" spans="1:11" ht="15" thickBot="1">
      <c r="A33" s="605"/>
      <c r="B33" s="633" t="s">
        <v>418</v>
      </c>
      <c r="C33" s="634">
        <f>C31+C32</f>
        <v>157.35476139974949</v>
      </c>
      <c r="D33" s="634">
        <f>+D10+D30</f>
        <v>4.4290649032433258</v>
      </c>
      <c r="E33" s="635">
        <f>E31+E32</f>
        <v>160.00515254759296</v>
      </c>
      <c r="F33" s="634">
        <f>F10+F30</f>
        <v>3.6090574521374865</v>
      </c>
      <c r="G33" s="634">
        <f>G31+G32</f>
        <v>157.19983679661823</v>
      </c>
      <c r="H33" s="636">
        <f>H10+H30</f>
        <v>3.2077517448881281</v>
      </c>
      <c r="K33" s="162"/>
    </row>
    <row r="34" spans="1:11" ht="15" thickBot="1"/>
    <row r="35" spans="1:11" ht="15.75" customHeight="1" thickBot="1">
      <c r="B35" s="1064" t="s">
        <v>417</v>
      </c>
      <c r="C35" s="1065"/>
      <c r="D35" s="1065"/>
      <c r="E35" s="1065"/>
      <c r="F35" s="1065"/>
      <c r="G35" s="1065"/>
      <c r="H35" s="1066"/>
    </row>
    <row r="36" spans="1:11" ht="15" thickBot="1">
      <c r="B36" s="443"/>
      <c r="C36" s="1067" t="str">
        <f>C4</f>
        <v>Super petrol</v>
      </c>
      <c r="D36" s="1068"/>
      <c r="E36" s="1069" t="str">
        <f>E4</f>
        <v>Diesel</v>
      </c>
      <c r="F36" s="1069"/>
      <c r="G36" s="1067" t="str">
        <f>G4</f>
        <v>Kerosene</v>
      </c>
      <c r="H36" s="1068"/>
    </row>
    <row r="37" spans="1:11">
      <c r="A37" s="605" t="s">
        <v>428</v>
      </c>
      <c r="B37" s="503" t="s">
        <v>422</v>
      </c>
      <c r="C37" s="236">
        <f>C33</f>
        <v>157.35476139974949</v>
      </c>
      <c r="D37" s="573"/>
      <c r="E37" s="236">
        <f>E33</f>
        <v>160.00515254759296</v>
      </c>
      <c r="F37" s="573"/>
      <c r="G37" s="236">
        <f>G33</f>
        <v>157.19983679661823</v>
      </c>
      <c r="H37" s="629"/>
    </row>
    <row r="38" spans="1:11">
      <c r="A38" s="605"/>
      <c r="B38" s="637" t="s">
        <v>425</v>
      </c>
      <c r="C38" s="638"/>
      <c r="D38" s="609">
        <f>-C32</f>
        <v>-11.66</v>
      </c>
      <c r="E38" s="639"/>
      <c r="F38" s="609">
        <f>-E32</f>
        <v>-11.85</v>
      </c>
      <c r="G38" s="638"/>
      <c r="H38" s="609">
        <f>-G32</f>
        <v>-11.64</v>
      </c>
    </row>
    <row r="39" spans="1:11">
      <c r="A39" s="605" t="s">
        <v>429</v>
      </c>
      <c r="B39" s="613" t="s">
        <v>644</v>
      </c>
      <c r="C39" s="613"/>
      <c r="D39" s="943"/>
      <c r="E39" s="879"/>
      <c r="F39" s="943"/>
      <c r="G39" s="613"/>
      <c r="H39" s="943"/>
    </row>
    <row r="40" spans="1:11">
      <c r="A40" s="605"/>
      <c r="B40" s="948" t="s">
        <v>646</v>
      </c>
      <c r="C40" s="613">
        <f>Samburu!G23</f>
        <v>0.81430935268304427</v>
      </c>
      <c r="D40" s="943"/>
      <c r="E40" s="880">
        <f>C40</f>
        <v>0.81430935268304427</v>
      </c>
      <c r="F40" s="943"/>
      <c r="G40" s="613">
        <f>E40</f>
        <v>0.81430935268304427</v>
      </c>
      <c r="H40" s="943"/>
    </row>
    <row r="41" spans="1:11" s="392" customFormat="1">
      <c r="A41" s="605"/>
      <c r="B41" s="640" t="s">
        <v>647</v>
      </c>
      <c r="C41" s="618">
        <f>SUM(C40)</f>
        <v>0.81430935268304427</v>
      </c>
      <c r="D41" s="944"/>
      <c r="E41" s="626">
        <f>SUM(E40)</f>
        <v>0.81430935268304427</v>
      </c>
      <c r="F41" s="949"/>
      <c r="G41" s="618">
        <f>SUM(G40)</f>
        <v>0.81430935268304427</v>
      </c>
      <c r="H41" s="944"/>
    </row>
    <row r="42" spans="1:11">
      <c r="A42" s="605" t="s">
        <v>642</v>
      </c>
      <c r="B42" s="503" t="s">
        <v>426</v>
      </c>
      <c r="C42" s="236">
        <f>Mombasa!D22</f>
        <v>8.19</v>
      </c>
      <c r="D42" s="573"/>
      <c r="E42" s="236">
        <f>Mombasa!E22</f>
        <v>8.19</v>
      </c>
      <c r="F42" s="573"/>
      <c r="G42" s="236">
        <f>Mombasa!F22</f>
        <v>8.19</v>
      </c>
      <c r="H42" s="629"/>
    </row>
    <row r="43" spans="1:11">
      <c r="B43" s="620" t="s">
        <v>447</v>
      </c>
      <c r="C43" s="613">
        <f>C$37+C$42+C$41</f>
        <v>166.35907075243253</v>
      </c>
      <c r="D43" s="610"/>
      <c r="E43" s="613">
        <f>E$37+E$42+E$41</f>
        <v>169.00946190027599</v>
      </c>
      <c r="F43" s="610"/>
      <c r="G43" s="236">
        <f>G$37+G$42+G$41</f>
        <v>166.20414614930127</v>
      </c>
      <c r="H43" s="573"/>
    </row>
    <row r="44" spans="1:11">
      <c r="B44" s="640" t="s">
        <v>458</v>
      </c>
      <c r="C44" s="641">
        <v>0</v>
      </c>
      <c r="D44" s="610"/>
      <c r="E44" s="641">
        <v>0</v>
      </c>
      <c r="F44" s="610"/>
      <c r="G44" s="642">
        <v>0</v>
      </c>
      <c r="H44" s="573"/>
    </row>
    <row r="45" spans="1:11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11">
      <c r="B46" s="620" t="s">
        <v>432</v>
      </c>
      <c r="C46" s="641">
        <f>C$43-C44-C45+D$38</f>
        <v>154.69907075243253</v>
      </c>
      <c r="D46" s="641"/>
      <c r="E46" s="641">
        <f>E$43-E44-E45+F$38</f>
        <v>157.159461900276</v>
      </c>
      <c r="F46" s="641"/>
      <c r="G46" s="641">
        <f>G$43-G44-G45+H$38</f>
        <v>154.56414614930128</v>
      </c>
      <c r="H46" s="573"/>
    </row>
    <row r="47" spans="1:11">
      <c r="B47" s="503" t="s">
        <v>445</v>
      </c>
      <c r="C47" s="644"/>
      <c r="D47" s="627" t="str">
        <f>CONCATENATE("+ ",ROUND((C$46*0.08),2))</f>
        <v>+ 12.38</v>
      </c>
      <c r="E47" s="644"/>
      <c r="F47" s="627" t="str">
        <f>CONCATENATE("+ ",ROUND((E$46*0.08),2))</f>
        <v>+ 12.57</v>
      </c>
      <c r="G47" s="645"/>
      <c r="H47" s="627" t="str">
        <f>CONCATENATE("+ ",ROUND((G$46*0.08),2))</f>
        <v>+ 12.37</v>
      </c>
    </row>
    <row r="48" spans="1:11" ht="15" thickBot="1">
      <c r="B48" s="646" t="s">
        <v>449</v>
      </c>
      <c r="C48" s="702" t="str">
        <f>D47</f>
        <v>+ 12.38</v>
      </c>
      <c r="D48" s="632"/>
      <c r="E48" s="631" t="str">
        <f>F47</f>
        <v>+ 12.57</v>
      </c>
      <c r="F48" s="632"/>
      <c r="G48" s="631" t="str">
        <f>H47</f>
        <v>+ 12.37</v>
      </c>
      <c r="H48" s="632"/>
    </row>
    <row r="49" spans="1:8" s="392" customFormat="1" ht="15" thickBot="1">
      <c r="B49" s="647" t="s">
        <v>452</v>
      </c>
      <c r="C49" s="648">
        <f>C$46+C$48+C$44+C$45</f>
        <v>167.07907075243253</v>
      </c>
      <c r="D49" s="649">
        <f>D38+D47</f>
        <v>0.72000000000000064</v>
      </c>
      <c r="E49" s="698">
        <f>E$46+E$48+E$44+E$45</f>
        <v>169.72946190027599</v>
      </c>
      <c r="F49" s="649">
        <f>F38+F47</f>
        <v>0.72000000000000064</v>
      </c>
      <c r="G49" s="650">
        <f>G$46+G$48+G$44+G$45</f>
        <v>166.93414614930128</v>
      </c>
      <c r="H49" s="651">
        <f>H38+H47</f>
        <v>0.72999999999999865</v>
      </c>
    </row>
    <row r="50" spans="1:8" s="392" customFormat="1">
      <c r="B50" s="652"/>
      <c r="C50" s="653"/>
      <c r="D50" s="652"/>
      <c r="E50" s="653"/>
      <c r="F50" s="652"/>
      <c r="G50" s="653"/>
      <c r="H50" s="653"/>
    </row>
    <row r="51" spans="1:8" s="392" customFormat="1" ht="15" hidden="1" customHeight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8" ht="15" hidden="1" customHeight="1"/>
    <row r="53" spans="1:8" ht="15" hidden="1" customHeight="1">
      <c r="B53" s="656" t="s">
        <v>441</v>
      </c>
      <c r="C53" s="657">
        <f>Mombasa!D26</f>
        <v>154.61210483715561</v>
      </c>
      <c r="D53" s="162">
        <f>C9+C20+C21+C28+C42+0.16*C8+0.16*SUM(C24:C25)</f>
        <v>153.98809640775983</v>
      </c>
      <c r="E53" s="657">
        <f>'Breakdown for PMS, AGO &amp; DPK'!E26</f>
        <v>160.05845058085328</v>
      </c>
      <c r="G53" s="657">
        <f>'Breakdown for PMS, AGO &amp; DPK'!F26</f>
        <v>157.48855959511991</v>
      </c>
    </row>
    <row r="54" spans="1:8" ht="15.75" hidden="1" customHeight="1">
      <c r="B54" s="658" t="s">
        <v>442</v>
      </c>
      <c r="C54" s="659">
        <f>C49-C53</f>
        <v>12.466965915276916</v>
      </c>
      <c r="D54" s="162">
        <f>C53-D53</f>
        <v>0.62400842939578638</v>
      </c>
      <c r="E54" s="659">
        <f>E49-E53</f>
        <v>9.6710113194227176</v>
      </c>
      <c r="G54" s="659">
        <f>G49-G53</f>
        <v>9.445586554181375</v>
      </c>
    </row>
    <row r="55" spans="1:8" ht="15.75" hidden="1" customHeight="1">
      <c r="B55" s="660" t="s">
        <v>443</v>
      </c>
      <c r="C55" s="661">
        <f>C54/C53</f>
        <v>8.0633828304761013E-2</v>
      </c>
      <c r="D55" s="662">
        <f>7-5.55+3.89-3.112</f>
        <v>2.2279999999999998</v>
      </c>
      <c r="E55" s="661">
        <f>E54/E53</f>
        <v>6.0421747707331587E-2</v>
      </c>
      <c r="F55" s="392"/>
      <c r="G55" s="661">
        <f>G54/G53</f>
        <v>5.9976334652273151E-2</v>
      </c>
    </row>
    <row r="56" spans="1:8" ht="15.75" hidden="1" customHeight="1">
      <c r="B56" s="663" t="s">
        <v>451</v>
      </c>
      <c r="C56" s="664">
        <f>D$33+D$49+-$D$10</f>
        <v>12.38</v>
      </c>
      <c r="E56" s="664">
        <f>F$33+F$49</f>
        <v>4.3290574521374872</v>
      </c>
      <c r="G56" s="664">
        <f>H$33+H$49</f>
        <v>3.9377517448881267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B2:K31"/>
  <sheetViews>
    <sheetView topLeftCell="A13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.1796875" style="159" customWidth="1"/>
    <col min="9" max="16384" width="9.1796875" style="159"/>
  </cols>
  <sheetData>
    <row r="2" spans="2:11">
      <c r="C2" s="258" t="s">
        <v>674</v>
      </c>
      <c r="G2" s="160"/>
    </row>
    <row r="3" spans="2:11">
      <c r="C3" s="258" t="s">
        <v>27</v>
      </c>
      <c r="G3" s="160"/>
    </row>
    <row r="4" spans="2:11">
      <c r="C4" s="259" t="str">
        <f>Taveta!C4</f>
        <v>March 15 - April 14, 2023</v>
      </c>
      <c r="D4" s="258"/>
      <c r="E4" s="160"/>
      <c r="F4" s="160"/>
      <c r="G4" s="260"/>
    </row>
    <row r="5" spans="2:11">
      <c r="C5" s="160"/>
      <c r="D5" s="160"/>
      <c r="E5" s="160"/>
      <c r="F5" s="160"/>
      <c r="G5" s="261"/>
      <c r="H5" s="262"/>
      <c r="I5" s="262"/>
      <c r="J5" s="262"/>
      <c r="K5" s="262"/>
    </row>
    <row r="6" spans="2:11">
      <c r="C6" s="263"/>
      <c r="D6" s="264" t="s">
        <v>0</v>
      </c>
      <c r="E6" s="264" t="s">
        <v>1</v>
      </c>
      <c r="F6" s="264" t="s">
        <v>3</v>
      </c>
      <c r="G6" s="160"/>
      <c r="H6" s="262"/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Mombasa!G8</f>
        <v>1.1599999999999999</v>
      </c>
      <c r="H8" s="262" t="s">
        <v>42</v>
      </c>
      <c r="I8" s="262"/>
      <c r="J8" s="262"/>
      <c r="K8" s="262"/>
    </row>
    <row r="9" spans="2:11" ht="15" thickBot="1">
      <c r="C9" s="263" t="s">
        <v>20</v>
      </c>
      <c r="D9" s="195">
        <f>$G$10*$G$9*$G$8</f>
        <v>0</v>
      </c>
      <c r="E9" s="195">
        <f>$G$10*$G$9*$G$8</f>
        <v>0</v>
      </c>
      <c r="F9" s="195">
        <f>$G$10*$G$9*$G$8</f>
        <v>0</v>
      </c>
      <c r="G9" s="303">
        <v>0</v>
      </c>
      <c r="H9" s="262" t="s">
        <v>28</v>
      </c>
      <c r="I9" s="262"/>
      <c r="J9" s="262"/>
      <c r="K9" s="262"/>
    </row>
    <row r="10" spans="2:11" ht="15" thickBot="1">
      <c r="C10" s="263"/>
      <c r="D10" s="274"/>
      <c r="E10" s="274"/>
      <c r="F10" s="274"/>
      <c r="G10" s="304">
        <v>0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195">
        <f>$G$11*G12*$G$8</f>
        <v>0</v>
      </c>
      <c r="E11" s="195">
        <f>$G$11*G12*$G$8</f>
        <v>0</v>
      </c>
      <c r="F11" s="195">
        <f>$G$11*G12*$G$8</f>
        <v>0</v>
      </c>
      <c r="G11" s="305">
        <f>8.14*G14/1000</f>
        <v>0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1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0</v>
      </c>
      <c r="E13" s="277">
        <f>$G$13*E7</f>
        <v>0</v>
      </c>
      <c r="F13" s="277">
        <f>$G$13*F7</f>
        <v>0</v>
      </c>
      <c r="G13" s="278">
        <v>0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0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Mombasa!D18</f>
        <v>4.2039999999999997</v>
      </c>
      <c r="E17" s="280">
        <f>Mombasa!E18</f>
        <v>4.1739999999999995</v>
      </c>
      <c r="F17" s="280">
        <f>Mombasa!F18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145.79849820066073</v>
      </c>
      <c r="E19" s="282">
        <f>SUM(E7:E18)</f>
        <v>148.24726824540289</v>
      </c>
      <c r="F19" s="282">
        <f>SUM(F7:F18)</f>
        <v>145.67854679553881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Mombasa!D22</f>
        <v>8.19</v>
      </c>
      <c r="E21" s="168">
        <f>Mombasa!E22</f>
        <v>8.19</v>
      </c>
      <c r="F21" s="168">
        <f>Mombasa!F22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1.1390750827531053</v>
      </c>
      <c r="E23" s="283">
        <f t="shared" ref="E23:F23" si="0">$G$23*$G$8</f>
        <v>1.1390750827531053</v>
      </c>
      <c r="F23" s="283">
        <f t="shared" si="0"/>
        <v>1.1390750827531053</v>
      </c>
      <c r="G23" s="284">
        <f>'Delivery &gt;40km-Sept 2013'!E24*I23/1000</f>
        <v>0.98196127823543566</v>
      </c>
      <c r="H23" s="262" t="s">
        <v>126</v>
      </c>
      <c r="I23" s="259">
        <v>82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306">
        <f>D19+D21+D23</f>
        <v>155.12757328341382</v>
      </c>
      <c r="E25" s="306">
        <f>E19+E21+E23</f>
        <v>157.57634332815599</v>
      </c>
      <c r="F25" s="306">
        <f>F19+F21+F23</f>
        <v>155.0076218782919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700"/>
      <c r="E27" s="700"/>
      <c r="F27" s="700"/>
    </row>
    <row r="28" spans="3:11">
      <c r="D28" s="700"/>
      <c r="E28" s="700"/>
      <c r="F28" s="700"/>
    </row>
    <row r="29" spans="3:11">
      <c r="D29" s="700"/>
      <c r="E29" s="700"/>
      <c r="F29" s="700"/>
    </row>
    <row r="31" spans="3:11">
      <c r="E31" s="210"/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2:K56"/>
  <sheetViews>
    <sheetView topLeftCell="A34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8" width="15.453125" style="159" customWidth="1"/>
    <col min="9" max="9" width="3.26953125" style="159" customWidth="1"/>
    <col min="10" max="10" width="14.7265625" style="159" customWidth="1"/>
    <col min="11" max="16384" width="9.1796875" style="159"/>
  </cols>
  <sheetData>
    <row r="2" spans="1:8" ht="15" thickBot="1"/>
    <row r="3" spans="1:8" ht="15" thickBot="1">
      <c r="B3" s="1067" t="s">
        <v>435</v>
      </c>
      <c r="C3" s="1069"/>
      <c r="D3" s="1069"/>
      <c r="E3" s="1069"/>
      <c r="F3" s="1069"/>
      <c r="G3" s="1069"/>
      <c r="H3" s="1068"/>
    </row>
    <row r="4" spans="1:8" ht="15" thickBot="1">
      <c r="B4" s="443" t="str">
        <f>Mombasa!C4</f>
        <v>March 15 - April 14, 2023</v>
      </c>
      <c r="C4" s="1070" t="s">
        <v>399</v>
      </c>
      <c r="D4" s="1071"/>
      <c r="E4" s="1070" t="s">
        <v>338</v>
      </c>
      <c r="F4" s="1070"/>
      <c r="G4" s="1072" t="s">
        <v>337</v>
      </c>
      <c r="H4" s="1071"/>
    </row>
    <row r="5" spans="1:8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8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8" ht="18" customHeight="1">
      <c r="B7" s="597" t="s">
        <v>400</v>
      </c>
      <c r="C7" s="598">
        <f>'PMS SUMMARY'!D45</f>
        <v>89.740844909393786</v>
      </c>
      <c r="D7" s="599"/>
      <c r="E7" s="849">
        <f>'AGO SUMMARY'!E47</f>
        <v>102.43801744706063</v>
      </c>
      <c r="F7" s="600"/>
      <c r="G7" s="849">
        <f>'DPK SUMMARY'!D44</f>
        <v>104.66296430977627</v>
      </c>
      <c r="H7" s="599"/>
    </row>
    <row r="8" spans="1:8" s="163" customFormat="1">
      <c r="B8" s="601" t="s">
        <v>420</v>
      </c>
      <c r="C8" s="602">
        <f>'PMS SUMMARY'!D44</f>
        <v>0.64584380006463771</v>
      </c>
      <c r="D8" s="603"/>
      <c r="E8" s="850">
        <f>'AGO SUMMARY'!E46</f>
        <v>0.57376440122077432</v>
      </c>
      <c r="F8" s="604"/>
      <c r="G8" s="850">
        <f>'DPK SUMMARY'!D43</f>
        <v>0.74013887912213949</v>
      </c>
      <c r="H8" s="603"/>
    </row>
    <row r="9" spans="1:8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8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8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8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8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8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8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v>0</v>
      </c>
      <c r="H15" s="610"/>
    </row>
    <row r="16" spans="1:8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10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  <c r="J17" s="162"/>
    </row>
    <row r="18" spans="1:10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10">
      <c r="A19" s="605"/>
      <c r="B19" s="614" t="s">
        <v>319</v>
      </c>
      <c r="C19" s="613">
        <f>'Breakdown for PMS, AGO &amp; DPK'!D23</f>
        <v>1.7335007701822511</v>
      </c>
      <c r="D19" s="610"/>
      <c r="E19" s="613">
        <f>'Breakdown for PMS, AGO &amp; DPK'!E23</f>
        <v>1.994329137255715</v>
      </c>
      <c r="F19" s="616"/>
      <c r="G19" s="613">
        <f>'Breakdown for PMS, AGO &amp; DPK'!F23</f>
        <v>2.0134755528419217</v>
      </c>
      <c r="H19" s="610"/>
    </row>
    <row r="20" spans="1:10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10">
      <c r="A21" s="605" t="s">
        <v>403</v>
      </c>
      <c r="B21" s="620" t="s">
        <v>421</v>
      </c>
      <c r="C21" s="618">
        <f>SUM(C$22:C$23)</f>
        <v>0.70445023980428223</v>
      </c>
      <c r="D21" s="573"/>
      <c r="E21" s="618">
        <f>SUM(E$22:E$23)</f>
        <v>0.43092702366521302</v>
      </c>
      <c r="F21" s="621"/>
      <c r="G21" s="618">
        <f>SUM(G$22:G$23)</f>
        <v>0.42324390866063455</v>
      </c>
      <c r="H21" s="573"/>
    </row>
    <row r="22" spans="1:10">
      <c r="A22" s="605"/>
      <c r="B22" s="614" t="s">
        <v>455</v>
      </c>
      <c r="C22" s="613">
        <f>SUM(C$24:C$25)</f>
        <v>0</v>
      </c>
      <c r="D22" s="573"/>
      <c r="E22" s="613">
        <f>SUM(E$24:E$25)</f>
        <v>0</v>
      </c>
      <c r="F22" s="621"/>
      <c r="G22" s="613">
        <f>SUM(G$24:G$25)</f>
        <v>0</v>
      </c>
      <c r="H22" s="573"/>
    </row>
    <row r="23" spans="1:10">
      <c r="A23" s="605"/>
      <c r="B23" s="614" t="s">
        <v>456</v>
      </c>
      <c r="C23" s="613">
        <f>C$26+C$27</f>
        <v>0.70445023980428223</v>
      </c>
      <c r="D23" s="573"/>
      <c r="E23" s="613">
        <f>E$26+E$27</f>
        <v>0.43092702366521302</v>
      </c>
      <c r="F23" s="621"/>
      <c r="G23" s="613">
        <f>G$26+G$27</f>
        <v>0.42324390866063455</v>
      </c>
      <c r="H23" s="573"/>
    </row>
    <row r="24" spans="1:10">
      <c r="A24" s="605"/>
      <c r="B24" s="622" t="s">
        <v>459</v>
      </c>
      <c r="C24" s="602">
        <f>Mombasa!D9</f>
        <v>0</v>
      </c>
      <c r="D24" s="623"/>
      <c r="E24" s="602">
        <f>Mombasa!E9</f>
        <v>0</v>
      </c>
      <c r="F24" s="624"/>
      <c r="G24" s="602">
        <f>Mombasa!F9</f>
        <v>0</v>
      </c>
      <c r="H24" s="573"/>
    </row>
    <row r="25" spans="1:10">
      <c r="A25" s="605"/>
      <c r="B25" s="622" t="s">
        <v>460</v>
      </c>
      <c r="C25" s="602">
        <f>Mombasa!D11</f>
        <v>0</v>
      </c>
      <c r="D25" s="623"/>
      <c r="E25" s="602">
        <f>Mombasa!E11</f>
        <v>0</v>
      </c>
      <c r="F25" s="624"/>
      <c r="G25" s="602">
        <f>Mombasa!F11</f>
        <v>0</v>
      </c>
      <c r="H25" s="573"/>
    </row>
    <row r="26" spans="1:10">
      <c r="A26" s="605"/>
      <c r="B26" s="622" t="s">
        <v>334</v>
      </c>
      <c r="C26" s="602">
        <f>Mombasa!D13</f>
        <v>0</v>
      </c>
      <c r="D26" s="623"/>
      <c r="E26" s="602">
        <f>Mombasa!E13</f>
        <v>0</v>
      </c>
      <c r="F26" s="624"/>
      <c r="G26" s="602">
        <f>Mombasa!F13</f>
        <v>0</v>
      </c>
      <c r="H26" s="573"/>
    </row>
    <row r="27" spans="1:10">
      <c r="A27" s="605"/>
      <c r="B27" s="622" t="s">
        <v>332</v>
      </c>
      <c r="C27" s="602">
        <f>Mombasa!D15</f>
        <v>0.70445023980428223</v>
      </c>
      <c r="D27" s="623"/>
      <c r="E27" s="602">
        <f>Mombasa!E15</f>
        <v>0.43092702366521302</v>
      </c>
      <c r="F27" s="624"/>
      <c r="G27" s="602">
        <f>Mombasa!F15</f>
        <v>0.42324390866063455</v>
      </c>
      <c r="H27" s="573"/>
    </row>
    <row r="28" spans="1:10">
      <c r="A28" s="605" t="s">
        <v>404</v>
      </c>
      <c r="B28" s="620" t="s">
        <v>427</v>
      </c>
      <c r="C28" s="618">
        <f>Mombasa!D18</f>
        <v>4.2039999999999997</v>
      </c>
      <c r="D28" s="618"/>
      <c r="E28" s="618">
        <f>Mombasa!E18</f>
        <v>4.1739999999999995</v>
      </c>
      <c r="F28" s="618"/>
      <c r="G28" s="618">
        <f>Mombasa!F18</f>
        <v>4.1739999999999995</v>
      </c>
      <c r="H28" s="573"/>
    </row>
    <row r="29" spans="1:10">
      <c r="A29" s="605"/>
      <c r="B29" s="620" t="s">
        <v>440</v>
      </c>
      <c r="C29" s="618">
        <f>C$9+C$20+C$22+C$23+C$28</f>
        <v>145.6947613997495</v>
      </c>
      <c r="D29" s="625"/>
      <c r="E29" s="626">
        <f>E$9+E$20+E$22+E$23+E$28</f>
        <v>148.15515254759296</v>
      </c>
      <c r="F29" s="625"/>
      <c r="G29" s="618">
        <f>G$9+G$20+G$22+G$23+G$28</f>
        <v>145.55983679661824</v>
      </c>
      <c r="H29" s="625"/>
    </row>
    <row r="30" spans="1:10">
      <c r="A30" s="605"/>
      <c r="B30" s="494" t="s">
        <v>444</v>
      </c>
      <c r="C30" s="606"/>
      <c r="D30" s="627" t="str">
        <f>CONCATENATE("+ ",ROUND((C$29*0.08),2))</f>
        <v>+ 11.66</v>
      </c>
      <c r="E30" s="628"/>
      <c r="F30" s="627" t="str">
        <f>CONCATENATE("+ ",ROUND((E$29*0.08),2))</f>
        <v>+ 11.85</v>
      </c>
      <c r="G30" s="606"/>
      <c r="H30" s="627" t="str">
        <f>CONCATENATE("+ ",ROUND((G$29*0.08),2))</f>
        <v>+ 11.64</v>
      </c>
    </row>
    <row r="31" spans="1:10">
      <c r="A31" s="605"/>
      <c r="B31" s="620" t="s">
        <v>436</v>
      </c>
      <c r="C31" s="606">
        <f>C$9+C$20+C$21+C$28</f>
        <v>145.6947613997495</v>
      </c>
      <c r="D31" s="629"/>
      <c r="E31" s="628">
        <f>E$9+E$20+E$21+E$28</f>
        <v>148.15515254759296</v>
      </c>
      <c r="F31" s="629"/>
      <c r="G31" s="606">
        <f>G$9+G$20+G$21+G$28</f>
        <v>145.55983679661824</v>
      </c>
      <c r="H31" s="629"/>
    </row>
    <row r="32" spans="1:10" ht="15" thickBot="1">
      <c r="A32" s="605"/>
      <c r="B32" s="630" t="s">
        <v>448</v>
      </c>
      <c r="C32" s="631" t="str">
        <f>D30</f>
        <v>+ 11.66</v>
      </c>
      <c r="D32" s="632"/>
      <c r="E32" s="631" t="str">
        <f>F30</f>
        <v>+ 11.85</v>
      </c>
      <c r="F32" s="632"/>
      <c r="G32" s="631" t="str">
        <f>H30</f>
        <v>+ 11.64</v>
      </c>
      <c r="H32" s="632"/>
    </row>
    <row r="33" spans="1:11" ht="15" thickBot="1">
      <c r="A33" s="605"/>
      <c r="B33" s="633" t="s">
        <v>418</v>
      </c>
      <c r="C33" s="634">
        <f>C31+C32</f>
        <v>157.35476139974949</v>
      </c>
      <c r="D33" s="634">
        <f>+D10+D30</f>
        <v>4.4290649032433258</v>
      </c>
      <c r="E33" s="635">
        <f>E31+E32</f>
        <v>160.00515254759296</v>
      </c>
      <c r="F33" s="634">
        <f>F10+F30</f>
        <v>3.6090574521374865</v>
      </c>
      <c r="G33" s="634">
        <f>G31+G32</f>
        <v>157.19983679661823</v>
      </c>
      <c r="H33" s="636">
        <f>H10+H30</f>
        <v>3.2077517448881281</v>
      </c>
      <c r="K33" s="162"/>
    </row>
    <row r="34" spans="1:11" ht="15" thickBot="1"/>
    <row r="35" spans="1:11" ht="15.75" customHeight="1" thickBot="1">
      <c r="B35" s="1064" t="s">
        <v>417</v>
      </c>
      <c r="C35" s="1065"/>
      <c r="D35" s="1065"/>
      <c r="E35" s="1065"/>
      <c r="F35" s="1065"/>
      <c r="G35" s="1065"/>
      <c r="H35" s="1066"/>
    </row>
    <row r="36" spans="1:11" ht="15" thickBot="1">
      <c r="B36" s="443"/>
      <c r="C36" s="1067" t="str">
        <f>C4</f>
        <v>Super petrol</v>
      </c>
      <c r="D36" s="1068"/>
      <c r="E36" s="1069" t="str">
        <f>E4</f>
        <v>Diesel</v>
      </c>
      <c r="F36" s="1069"/>
      <c r="G36" s="1067" t="str">
        <f>G4</f>
        <v>Kerosene</v>
      </c>
      <c r="H36" s="1068"/>
    </row>
    <row r="37" spans="1:11">
      <c r="A37" s="605" t="s">
        <v>428</v>
      </c>
      <c r="B37" s="503" t="s">
        <v>422</v>
      </c>
      <c r="C37" s="236">
        <f>C33</f>
        <v>157.35476139974949</v>
      </c>
      <c r="D37" s="573"/>
      <c r="E37" s="236">
        <f>E33</f>
        <v>160.00515254759296</v>
      </c>
      <c r="F37" s="573"/>
      <c r="G37" s="236">
        <f>G33</f>
        <v>157.19983679661823</v>
      </c>
      <c r="H37" s="629"/>
    </row>
    <row r="38" spans="1:11">
      <c r="A38" s="605"/>
      <c r="B38" s="637" t="s">
        <v>425</v>
      </c>
      <c r="C38" s="638"/>
      <c r="D38" s="609">
        <f>-C32</f>
        <v>-11.66</v>
      </c>
      <c r="E38" s="639"/>
      <c r="F38" s="609">
        <f>-E32</f>
        <v>-11.85</v>
      </c>
      <c r="G38" s="638"/>
      <c r="H38" s="609">
        <f>-G32</f>
        <v>-11.64</v>
      </c>
    </row>
    <row r="39" spans="1:11">
      <c r="A39" s="605" t="s">
        <v>429</v>
      </c>
      <c r="B39" s="613" t="s">
        <v>644</v>
      </c>
      <c r="C39" s="613"/>
      <c r="D39" s="943"/>
      <c r="E39" s="879"/>
      <c r="F39" s="943"/>
      <c r="G39" s="613"/>
      <c r="H39" s="943"/>
    </row>
    <row r="40" spans="1:11">
      <c r="A40" s="605"/>
      <c r="B40" s="948" t="s">
        <v>646</v>
      </c>
      <c r="C40" s="613">
        <f>Taru!G23</f>
        <v>0.98196127823543566</v>
      </c>
      <c r="D40" s="943"/>
      <c r="E40" s="880">
        <f>C40</f>
        <v>0.98196127823543566</v>
      </c>
      <c r="F40" s="943"/>
      <c r="G40" s="613">
        <f>E40</f>
        <v>0.98196127823543566</v>
      </c>
      <c r="H40" s="943"/>
    </row>
    <row r="41" spans="1:11" s="392" customFormat="1">
      <c r="A41" s="605"/>
      <c r="B41" s="640" t="s">
        <v>647</v>
      </c>
      <c r="C41" s="618">
        <f>SUM(C40)</f>
        <v>0.98196127823543566</v>
      </c>
      <c r="D41" s="944"/>
      <c r="E41" s="626">
        <f>SUM(E40)</f>
        <v>0.98196127823543566</v>
      </c>
      <c r="F41" s="949"/>
      <c r="G41" s="618">
        <f>SUM(G40)</f>
        <v>0.98196127823543566</v>
      </c>
      <c r="H41" s="944"/>
    </row>
    <row r="42" spans="1:11">
      <c r="A42" s="605" t="s">
        <v>642</v>
      </c>
      <c r="B42" s="503" t="s">
        <v>426</v>
      </c>
      <c r="C42" s="236">
        <f>Mombasa!D22</f>
        <v>8.19</v>
      </c>
      <c r="D42" s="573"/>
      <c r="E42" s="236">
        <f>Mombasa!E22</f>
        <v>8.19</v>
      </c>
      <c r="F42" s="573"/>
      <c r="G42" s="236">
        <f>Mombasa!F22</f>
        <v>8.19</v>
      </c>
      <c r="H42" s="629"/>
    </row>
    <row r="43" spans="1:11">
      <c r="B43" s="620" t="s">
        <v>447</v>
      </c>
      <c r="C43" s="613">
        <f>C$37+C$42+C$41</f>
        <v>166.52672267798494</v>
      </c>
      <c r="D43" s="610"/>
      <c r="E43" s="613">
        <f>E$37+E$42+E$41</f>
        <v>169.1771138258284</v>
      </c>
      <c r="F43" s="610"/>
      <c r="G43" s="236">
        <f>G$37+G$42+G$41</f>
        <v>166.37179807485367</v>
      </c>
      <c r="H43" s="573"/>
    </row>
    <row r="44" spans="1:11">
      <c r="B44" s="640" t="s">
        <v>458</v>
      </c>
      <c r="C44" s="641">
        <v>0</v>
      </c>
      <c r="D44" s="610"/>
      <c r="E44" s="641">
        <v>0</v>
      </c>
      <c r="F44" s="610"/>
      <c r="G44" s="642">
        <v>0</v>
      </c>
      <c r="H44" s="573"/>
    </row>
    <row r="45" spans="1:11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11">
      <c r="B46" s="620" t="s">
        <v>432</v>
      </c>
      <c r="C46" s="641">
        <f>C$43-C44-C45+D$38</f>
        <v>154.86672267798494</v>
      </c>
      <c r="D46" s="641"/>
      <c r="E46" s="641">
        <f>E$43-E44-E45+F$38</f>
        <v>157.32711382582841</v>
      </c>
      <c r="F46" s="641"/>
      <c r="G46" s="641">
        <f>G$43-G44-G45+H$38</f>
        <v>154.73179807485366</v>
      </c>
      <c r="H46" s="573"/>
    </row>
    <row r="47" spans="1:11">
      <c r="B47" s="503" t="s">
        <v>445</v>
      </c>
      <c r="C47" s="644"/>
      <c r="D47" s="627" t="str">
        <f>CONCATENATE("+ ",ROUND((C$46*0.08),2))</f>
        <v>+ 12.39</v>
      </c>
      <c r="E47" s="644"/>
      <c r="F47" s="627" t="str">
        <f>CONCATENATE("+ ",ROUND((E$46*0.08),2))</f>
        <v>+ 12.59</v>
      </c>
      <c r="G47" s="645"/>
      <c r="H47" s="627" t="str">
        <f>CONCATENATE("+ ",ROUND((G$46*0.08),2))</f>
        <v>+ 12.38</v>
      </c>
    </row>
    <row r="48" spans="1:11" ht="15" thickBot="1">
      <c r="B48" s="646" t="s">
        <v>449</v>
      </c>
      <c r="C48" s="702" t="str">
        <f>D47</f>
        <v>+ 12.39</v>
      </c>
      <c r="D48" s="632"/>
      <c r="E48" s="631" t="str">
        <f>F47</f>
        <v>+ 12.59</v>
      </c>
      <c r="F48" s="632"/>
      <c r="G48" s="631" t="str">
        <f>H47</f>
        <v>+ 12.38</v>
      </c>
      <c r="H48" s="632"/>
    </row>
    <row r="49" spans="1:8" s="392" customFormat="1" ht="15" thickBot="1">
      <c r="B49" s="647" t="s">
        <v>452</v>
      </c>
      <c r="C49" s="648">
        <f>C$46+C$48+C$44+C$45</f>
        <v>167.25672267798495</v>
      </c>
      <c r="D49" s="649">
        <f>D38+D47</f>
        <v>0.73000000000000043</v>
      </c>
      <c r="E49" s="698">
        <f>E$46+E$48+E$44+E$45</f>
        <v>169.91711382582841</v>
      </c>
      <c r="F49" s="649">
        <f>F38+F47</f>
        <v>0.74000000000000021</v>
      </c>
      <c r="G49" s="650">
        <f>G$46+G$48+G$44+G$45</f>
        <v>167.11179807485365</v>
      </c>
      <c r="H49" s="651">
        <f>H38+H47</f>
        <v>0.74000000000000021</v>
      </c>
    </row>
    <row r="50" spans="1:8" s="392" customFormat="1">
      <c r="B50" s="652"/>
      <c r="C50" s="653"/>
      <c r="D50" s="652"/>
      <c r="E50" s="653"/>
      <c r="F50" s="652"/>
      <c r="G50" s="653"/>
      <c r="H50" s="653"/>
    </row>
    <row r="51" spans="1:8" s="392" customFormat="1" ht="15" hidden="1" customHeight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8" ht="15" hidden="1" customHeight="1"/>
    <row r="53" spans="1:8" ht="15" hidden="1" customHeight="1">
      <c r="B53" s="656" t="s">
        <v>441</v>
      </c>
      <c r="C53" s="657">
        <f>Mombasa!D26</f>
        <v>154.61210483715561</v>
      </c>
      <c r="D53" s="162">
        <f>C9+C20+C21+C28+C42+0.16*C8+0.16*SUM(C24:C25)</f>
        <v>153.98809640775983</v>
      </c>
      <c r="E53" s="657">
        <f>'Breakdown for PMS, AGO &amp; DPK'!E26</f>
        <v>160.05845058085328</v>
      </c>
      <c r="G53" s="657">
        <f>'Breakdown for PMS, AGO &amp; DPK'!F26</f>
        <v>157.48855959511991</v>
      </c>
    </row>
    <row r="54" spans="1:8" ht="15.75" hidden="1" customHeight="1">
      <c r="B54" s="658" t="s">
        <v>442</v>
      </c>
      <c r="C54" s="659">
        <f>C49-C53</f>
        <v>12.644617840829341</v>
      </c>
      <c r="D54" s="162">
        <f>C53-D53</f>
        <v>0.62400842939578638</v>
      </c>
      <c r="E54" s="659">
        <f>E49-E53</f>
        <v>9.8586632449751335</v>
      </c>
      <c r="G54" s="659">
        <f>G49-G53</f>
        <v>9.6232384797337431</v>
      </c>
    </row>
    <row r="55" spans="1:8" ht="15.75" hidden="1" customHeight="1">
      <c r="B55" s="660" t="s">
        <v>443</v>
      </c>
      <c r="C55" s="661">
        <f>C54/C53</f>
        <v>8.1782845231602133E-2</v>
      </c>
      <c r="D55" s="662">
        <f>7-5.55+3.89-3.112</f>
        <v>2.2279999999999998</v>
      </c>
      <c r="E55" s="661">
        <f>E54/E53</f>
        <v>6.1594143946776779E-2</v>
      </c>
      <c r="F55" s="392"/>
      <c r="G55" s="661">
        <f>G54/G53</f>
        <v>6.1104365323257033E-2</v>
      </c>
    </row>
    <row r="56" spans="1:8" ht="15.75" hidden="1" customHeight="1">
      <c r="B56" s="663" t="s">
        <v>451</v>
      </c>
      <c r="C56" s="664">
        <f>D$33+D$49+-$D$10</f>
        <v>12.39</v>
      </c>
      <c r="E56" s="664">
        <f>F$33+F$49</f>
        <v>4.3490574521374867</v>
      </c>
      <c r="G56" s="664">
        <f>H$33+H$49</f>
        <v>3.9477517448881283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B2:K31"/>
  <sheetViews>
    <sheetView topLeftCell="A13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.1796875" style="159" customWidth="1"/>
    <col min="9" max="16384" width="9.1796875" style="159"/>
  </cols>
  <sheetData>
    <row r="2" spans="2:11">
      <c r="C2" s="258" t="s">
        <v>675</v>
      </c>
      <c r="G2" s="160"/>
    </row>
    <row r="3" spans="2:11">
      <c r="C3" s="258" t="s">
        <v>27</v>
      </c>
      <c r="G3" s="160"/>
    </row>
    <row r="4" spans="2:11">
      <c r="C4" s="259" t="str">
        <f>Taveta!C4</f>
        <v>March 15 - April 14, 2023</v>
      </c>
      <c r="D4" s="258"/>
      <c r="E4" s="160"/>
      <c r="F4" s="160"/>
      <c r="G4" s="260"/>
    </row>
    <row r="5" spans="2:11">
      <c r="C5" s="160"/>
      <c r="D5" s="160"/>
      <c r="E5" s="160"/>
      <c r="F5" s="160"/>
      <c r="G5" s="261"/>
      <c r="H5" s="262"/>
      <c r="I5" s="262"/>
      <c r="J5" s="262"/>
      <c r="K5" s="262"/>
    </row>
    <row r="6" spans="2:11">
      <c r="C6" s="263"/>
      <c r="D6" s="264" t="s">
        <v>0</v>
      </c>
      <c r="E6" s="264" t="s">
        <v>1</v>
      </c>
      <c r="F6" s="264" t="s">
        <v>3</v>
      </c>
      <c r="G6" s="160"/>
      <c r="H6" s="262"/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Mombasa!G8</f>
        <v>1.1599999999999999</v>
      </c>
      <c r="H8" s="262" t="s">
        <v>42</v>
      </c>
      <c r="I8" s="262"/>
      <c r="J8" s="262"/>
      <c r="K8" s="262"/>
    </row>
    <row r="9" spans="2:11" ht="15" thickBot="1">
      <c r="C9" s="263" t="s">
        <v>20</v>
      </c>
      <c r="D9" s="195">
        <f>$G$10*$G$9*$G$8</f>
        <v>0</v>
      </c>
      <c r="E9" s="195">
        <f>$G$10*$G$9*$G$8</f>
        <v>0</v>
      </c>
      <c r="F9" s="195">
        <f>$G$10*$G$9*$G$8</f>
        <v>0</v>
      </c>
      <c r="G9" s="303">
        <v>0</v>
      </c>
      <c r="H9" s="262" t="s">
        <v>28</v>
      </c>
      <c r="I9" s="262"/>
      <c r="J9" s="262"/>
      <c r="K9" s="262"/>
    </row>
    <row r="10" spans="2:11" ht="15" thickBot="1">
      <c r="C10" s="263"/>
      <c r="D10" s="274"/>
      <c r="E10" s="274"/>
      <c r="F10" s="274"/>
      <c r="G10" s="304">
        <v>0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195">
        <f>$G$11*G12*$G$8</f>
        <v>0</v>
      </c>
      <c r="E11" s="195">
        <f>$G$11*G12*$G$8</f>
        <v>0</v>
      </c>
      <c r="F11" s="195">
        <f>$G$11*G12*$G$8</f>
        <v>0</v>
      </c>
      <c r="G11" s="305">
        <f>8.14*G14/1000</f>
        <v>0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1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0</v>
      </c>
      <c r="E13" s="277">
        <f>$G$13*E7</f>
        <v>0</v>
      </c>
      <c r="F13" s="277">
        <f>$G$13*F7</f>
        <v>0</v>
      </c>
      <c r="G13" s="278">
        <v>0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0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Mombasa!D18</f>
        <v>4.2039999999999997</v>
      </c>
      <c r="E17" s="280">
        <f>Mombasa!E18</f>
        <v>4.1739999999999995</v>
      </c>
      <c r="F17" s="280">
        <f>Mombasa!F18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145.79849820066073</v>
      </c>
      <c r="E19" s="282">
        <f>SUM(E7:E18)</f>
        <v>148.24726824540289</v>
      </c>
      <c r="F19" s="282">
        <f>SUM(F7:F18)</f>
        <v>145.67854679553881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Mombasa!D22</f>
        <v>8.19</v>
      </c>
      <c r="E21" s="168">
        <f>Mombasa!E22</f>
        <v>8.19</v>
      </c>
      <c r="F21" s="168">
        <f>Mombasa!F22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4.167347863730873</v>
      </c>
      <c r="E23" s="283">
        <f t="shared" ref="E23:F23" si="0">$G$23*$G$8</f>
        <v>4.167347863730873</v>
      </c>
      <c r="F23" s="283">
        <f t="shared" si="0"/>
        <v>4.167347863730873</v>
      </c>
      <c r="G23" s="284">
        <f>'Delivery &gt;40km-Sept 2013'!E24*I23/1000</f>
        <v>3.5925412618369599</v>
      </c>
      <c r="H23" s="262" t="s">
        <v>126</v>
      </c>
      <c r="I23" s="259">
        <v>300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306">
        <f>D19+D21+D23</f>
        <v>158.1558460643916</v>
      </c>
      <c r="E25" s="306">
        <f>E19+E21+E23</f>
        <v>160.60461610913376</v>
      </c>
      <c r="F25" s="306">
        <f>F19+F21+F23</f>
        <v>158.03589465926967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700"/>
      <c r="E27" s="700"/>
      <c r="F27" s="700"/>
    </row>
    <row r="28" spans="3:11">
      <c r="D28" s="700"/>
      <c r="E28" s="700"/>
      <c r="F28" s="700"/>
    </row>
    <row r="29" spans="3:11">
      <c r="D29" s="700"/>
      <c r="E29" s="700"/>
      <c r="F29" s="700"/>
    </row>
    <row r="31" spans="3:11">
      <c r="E31" s="210"/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2:K56"/>
  <sheetViews>
    <sheetView topLeftCell="A29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8" width="15.453125" style="159" customWidth="1"/>
    <col min="9" max="9" width="3.26953125" style="159" customWidth="1"/>
    <col min="10" max="10" width="14.7265625" style="159" customWidth="1"/>
    <col min="11" max="16384" width="9.1796875" style="159"/>
  </cols>
  <sheetData>
    <row r="2" spans="1:8" ht="15" thickBot="1"/>
    <row r="3" spans="1:8" ht="15" thickBot="1">
      <c r="B3" s="1067" t="s">
        <v>435</v>
      </c>
      <c r="C3" s="1069"/>
      <c r="D3" s="1069"/>
      <c r="E3" s="1069"/>
      <c r="F3" s="1069"/>
      <c r="G3" s="1069"/>
      <c r="H3" s="1068"/>
    </row>
    <row r="4" spans="1:8" ht="15" thickBot="1">
      <c r="B4" s="443" t="str">
        <f>Mombasa!C4</f>
        <v>March 15 - April 14, 2023</v>
      </c>
      <c r="C4" s="1070" t="s">
        <v>399</v>
      </c>
      <c r="D4" s="1071"/>
      <c r="E4" s="1070" t="s">
        <v>338</v>
      </c>
      <c r="F4" s="1070"/>
      <c r="G4" s="1072" t="s">
        <v>337</v>
      </c>
      <c r="H4" s="1071"/>
    </row>
    <row r="5" spans="1:8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8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8" ht="18" customHeight="1">
      <c r="B7" s="597" t="s">
        <v>400</v>
      </c>
      <c r="C7" s="598">
        <f>'PMS SUMMARY'!D45</f>
        <v>89.740844909393786</v>
      </c>
      <c r="D7" s="599"/>
      <c r="E7" s="849">
        <f>'AGO SUMMARY'!E47</f>
        <v>102.43801744706063</v>
      </c>
      <c r="F7" s="600"/>
      <c r="G7" s="849">
        <f>'DPK SUMMARY'!D44</f>
        <v>104.66296430977627</v>
      </c>
      <c r="H7" s="599"/>
    </row>
    <row r="8" spans="1:8" s="163" customFormat="1">
      <c r="B8" s="601" t="s">
        <v>420</v>
      </c>
      <c r="C8" s="602">
        <f>'PMS SUMMARY'!D44</f>
        <v>0.64584380006463771</v>
      </c>
      <c r="D8" s="603"/>
      <c r="E8" s="850">
        <f>'AGO SUMMARY'!E46</f>
        <v>0.57376440122077432</v>
      </c>
      <c r="F8" s="604"/>
      <c r="G8" s="850">
        <f>'DPK SUMMARY'!D43</f>
        <v>0.74013887912213949</v>
      </c>
      <c r="H8" s="603"/>
    </row>
    <row r="9" spans="1:8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8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8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8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8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8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8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v>0</v>
      </c>
      <c r="H15" s="610"/>
    </row>
    <row r="16" spans="1:8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10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  <c r="J17" s="162"/>
    </row>
    <row r="18" spans="1:10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10">
      <c r="A19" s="605"/>
      <c r="B19" s="614" t="s">
        <v>319</v>
      </c>
      <c r="C19" s="613">
        <f>'Breakdown for PMS, AGO &amp; DPK'!D23</f>
        <v>1.7335007701822511</v>
      </c>
      <c r="D19" s="610"/>
      <c r="E19" s="613">
        <f>'Breakdown for PMS, AGO &amp; DPK'!E23</f>
        <v>1.994329137255715</v>
      </c>
      <c r="F19" s="616"/>
      <c r="G19" s="613">
        <f>'Breakdown for PMS, AGO &amp; DPK'!F23</f>
        <v>2.0134755528419217</v>
      </c>
      <c r="H19" s="610"/>
    </row>
    <row r="20" spans="1:10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10">
      <c r="A21" s="605" t="s">
        <v>403</v>
      </c>
      <c r="B21" s="620" t="s">
        <v>421</v>
      </c>
      <c r="C21" s="618">
        <f>SUM(C$22:C$23)</f>
        <v>0.70445023980428223</v>
      </c>
      <c r="D21" s="573"/>
      <c r="E21" s="618">
        <f>SUM(E$22:E$23)</f>
        <v>0.43092702366521302</v>
      </c>
      <c r="F21" s="621"/>
      <c r="G21" s="618">
        <f>SUM(G$22:G$23)</f>
        <v>0.42324390866063455</v>
      </c>
      <c r="H21" s="573"/>
    </row>
    <row r="22" spans="1:10">
      <c r="A22" s="605"/>
      <c r="B22" s="614" t="s">
        <v>455</v>
      </c>
      <c r="C22" s="613">
        <f>SUM(C$24:C$25)</f>
        <v>0</v>
      </c>
      <c r="D22" s="573"/>
      <c r="E22" s="613">
        <f>SUM(E$24:E$25)</f>
        <v>0</v>
      </c>
      <c r="F22" s="621"/>
      <c r="G22" s="613">
        <f>SUM(G$24:G$25)</f>
        <v>0</v>
      </c>
      <c r="H22" s="573"/>
    </row>
    <row r="23" spans="1:10">
      <c r="A23" s="605"/>
      <c r="B23" s="614" t="s">
        <v>456</v>
      </c>
      <c r="C23" s="613">
        <f>C$26+C$27</f>
        <v>0.70445023980428223</v>
      </c>
      <c r="D23" s="573"/>
      <c r="E23" s="613">
        <f>E$26+E$27</f>
        <v>0.43092702366521302</v>
      </c>
      <c r="F23" s="621"/>
      <c r="G23" s="613">
        <f>G$26+G$27</f>
        <v>0.42324390866063455</v>
      </c>
      <c r="H23" s="573"/>
    </row>
    <row r="24" spans="1:10">
      <c r="A24" s="605"/>
      <c r="B24" s="622" t="s">
        <v>459</v>
      </c>
      <c r="C24" s="602">
        <f>Mombasa!D9</f>
        <v>0</v>
      </c>
      <c r="D24" s="623"/>
      <c r="E24" s="602">
        <f>Mombasa!E9</f>
        <v>0</v>
      </c>
      <c r="F24" s="624"/>
      <c r="G24" s="602">
        <f>Mombasa!F9</f>
        <v>0</v>
      </c>
      <c r="H24" s="573"/>
    </row>
    <row r="25" spans="1:10">
      <c r="A25" s="605"/>
      <c r="B25" s="622" t="s">
        <v>460</v>
      </c>
      <c r="C25" s="602">
        <f>Mombasa!D11</f>
        <v>0</v>
      </c>
      <c r="D25" s="623"/>
      <c r="E25" s="602">
        <f>Mombasa!E11</f>
        <v>0</v>
      </c>
      <c r="F25" s="624"/>
      <c r="G25" s="602">
        <f>Mombasa!F11</f>
        <v>0</v>
      </c>
      <c r="H25" s="573"/>
    </row>
    <row r="26" spans="1:10">
      <c r="A26" s="605"/>
      <c r="B26" s="622" t="s">
        <v>334</v>
      </c>
      <c r="C26" s="602">
        <f>Mombasa!D13</f>
        <v>0</v>
      </c>
      <c r="D26" s="623"/>
      <c r="E26" s="602">
        <f>Mombasa!E13</f>
        <v>0</v>
      </c>
      <c r="F26" s="624"/>
      <c r="G26" s="602">
        <f>Mombasa!F13</f>
        <v>0</v>
      </c>
      <c r="H26" s="573"/>
    </row>
    <row r="27" spans="1:10">
      <c r="A27" s="605"/>
      <c r="B27" s="622" t="s">
        <v>332</v>
      </c>
      <c r="C27" s="602">
        <f>Mombasa!D15</f>
        <v>0.70445023980428223</v>
      </c>
      <c r="D27" s="623"/>
      <c r="E27" s="602">
        <f>Mombasa!E15</f>
        <v>0.43092702366521302</v>
      </c>
      <c r="F27" s="624"/>
      <c r="G27" s="602">
        <f>Mombasa!F15</f>
        <v>0.42324390866063455</v>
      </c>
      <c r="H27" s="573"/>
    </row>
    <row r="28" spans="1:10">
      <c r="A28" s="605" t="s">
        <v>404</v>
      </c>
      <c r="B28" s="620" t="s">
        <v>427</v>
      </c>
      <c r="C28" s="618">
        <f>Mombasa!D18</f>
        <v>4.2039999999999997</v>
      </c>
      <c r="D28" s="618"/>
      <c r="E28" s="618">
        <f>Mombasa!E18</f>
        <v>4.1739999999999995</v>
      </c>
      <c r="F28" s="618"/>
      <c r="G28" s="618">
        <f>Mombasa!F18</f>
        <v>4.1739999999999995</v>
      </c>
      <c r="H28" s="573"/>
    </row>
    <row r="29" spans="1:10">
      <c r="A29" s="605"/>
      <c r="B29" s="620" t="s">
        <v>440</v>
      </c>
      <c r="C29" s="618">
        <f>C$9+C$20+C$22+C$23+C$28</f>
        <v>145.6947613997495</v>
      </c>
      <c r="D29" s="625"/>
      <c r="E29" s="626">
        <f>E$9+E$20+E$22+E$23+E$28</f>
        <v>148.15515254759296</v>
      </c>
      <c r="F29" s="625"/>
      <c r="G29" s="618">
        <f>G$9+G$20+G$22+G$23+G$28</f>
        <v>145.55983679661824</v>
      </c>
      <c r="H29" s="625"/>
    </row>
    <row r="30" spans="1:10">
      <c r="A30" s="605"/>
      <c r="B30" s="494" t="s">
        <v>444</v>
      </c>
      <c r="C30" s="606"/>
      <c r="D30" s="627" t="str">
        <f>CONCATENATE("+ ",ROUND((C$29*0.08),2))</f>
        <v>+ 11.66</v>
      </c>
      <c r="E30" s="628"/>
      <c r="F30" s="627" t="str">
        <f>CONCATENATE("+ ",ROUND((E$29*0.08),2))</f>
        <v>+ 11.85</v>
      </c>
      <c r="G30" s="606"/>
      <c r="H30" s="627" t="str">
        <f>CONCATENATE("+ ",ROUND((G$29*0.08),2))</f>
        <v>+ 11.64</v>
      </c>
    </row>
    <row r="31" spans="1:10">
      <c r="A31" s="605"/>
      <c r="B31" s="620" t="s">
        <v>436</v>
      </c>
      <c r="C31" s="606">
        <f>C$9+C$20+C$21+C$28</f>
        <v>145.6947613997495</v>
      </c>
      <c r="D31" s="629"/>
      <c r="E31" s="628">
        <f>E$9+E$20+E$21+E$28</f>
        <v>148.15515254759296</v>
      </c>
      <c r="F31" s="629"/>
      <c r="G31" s="606">
        <f>G$9+G$20+G$21+G$28</f>
        <v>145.55983679661824</v>
      </c>
      <c r="H31" s="629"/>
    </row>
    <row r="32" spans="1:10" ht="15" thickBot="1">
      <c r="A32" s="605"/>
      <c r="B32" s="630" t="s">
        <v>448</v>
      </c>
      <c r="C32" s="631" t="str">
        <f>D30</f>
        <v>+ 11.66</v>
      </c>
      <c r="D32" s="632"/>
      <c r="E32" s="631" t="str">
        <f>F30</f>
        <v>+ 11.85</v>
      </c>
      <c r="F32" s="632"/>
      <c r="G32" s="631" t="str">
        <f>H30</f>
        <v>+ 11.64</v>
      </c>
      <c r="H32" s="632"/>
    </row>
    <row r="33" spans="1:11" ht="15" thickBot="1">
      <c r="A33" s="605"/>
      <c r="B33" s="633" t="s">
        <v>418</v>
      </c>
      <c r="C33" s="634">
        <f>C31+C32</f>
        <v>157.35476139974949</v>
      </c>
      <c r="D33" s="634">
        <f>+D10+D30</f>
        <v>4.4290649032433258</v>
      </c>
      <c r="E33" s="635">
        <f>E31+E32</f>
        <v>160.00515254759296</v>
      </c>
      <c r="F33" s="634">
        <f>F10+F30</f>
        <v>3.6090574521374865</v>
      </c>
      <c r="G33" s="634">
        <f>G31+G32</f>
        <v>157.19983679661823</v>
      </c>
      <c r="H33" s="636">
        <f>H10+H30</f>
        <v>3.2077517448881281</v>
      </c>
      <c r="K33" s="162"/>
    </row>
    <row r="34" spans="1:11" ht="15" thickBot="1"/>
    <row r="35" spans="1:11" ht="15.75" customHeight="1" thickBot="1">
      <c r="B35" s="1064" t="s">
        <v>417</v>
      </c>
      <c r="C35" s="1065"/>
      <c r="D35" s="1065"/>
      <c r="E35" s="1065"/>
      <c r="F35" s="1065"/>
      <c r="G35" s="1065"/>
      <c r="H35" s="1066"/>
    </row>
    <row r="36" spans="1:11" ht="15" thickBot="1">
      <c r="B36" s="443"/>
      <c r="C36" s="1067" t="str">
        <f>C4</f>
        <v>Super petrol</v>
      </c>
      <c r="D36" s="1068"/>
      <c r="E36" s="1069" t="str">
        <f>E4</f>
        <v>Diesel</v>
      </c>
      <c r="F36" s="1069"/>
      <c r="G36" s="1067" t="str">
        <f>G4</f>
        <v>Kerosene</v>
      </c>
      <c r="H36" s="1068"/>
    </row>
    <row r="37" spans="1:11">
      <c r="A37" s="605" t="s">
        <v>428</v>
      </c>
      <c r="B37" s="503" t="s">
        <v>422</v>
      </c>
      <c r="C37" s="236">
        <f>C33</f>
        <v>157.35476139974949</v>
      </c>
      <c r="D37" s="573"/>
      <c r="E37" s="236">
        <f>E33</f>
        <v>160.00515254759296</v>
      </c>
      <c r="F37" s="573"/>
      <c r="G37" s="236">
        <f>G33</f>
        <v>157.19983679661823</v>
      </c>
      <c r="H37" s="629"/>
    </row>
    <row r="38" spans="1:11">
      <c r="A38" s="605"/>
      <c r="B38" s="637" t="s">
        <v>425</v>
      </c>
      <c r="C38" s="638"/>
      <c r="D38" s="609">
        <f>-C32</f>
        <v>-11.66</v>
      </c>
      <c r="E38" s="639"/>
      <c r="F38" s="609">
        <f>-E32</f>
        <v>-11.85</v>
      </c>
      <c r="G38" s="638"/>
      <c r="H38" s="609">
        <f>-G32</f>
        <v>-11.64</v>
      </c>
    </row>
    <row r="39" spans="1:11">
      <c r="A39" s="605" t="s">
        <v>429</v>
      </c>
      <c r="B39" s="613" t="s">
        <v>644</v>
      </c>
      <c r="C39" s="613"/>
      <c r="D39" s="943"/>
      <c r="E39" s="879"/>
      <c r="F39" s="943"/>
      <c r="G39" s="613"/>
      <c r="H39" s="943"/>
    </row>
    <row r="40" spans="1:11">
      <c r="A40" s="605"/>
      <c r="B40" s="948" t="s">
        <v>646</v>
      </c>
      <c r="C40" s="613">
        <f>Mpeketoni!G23</f>
        <v>3.5925412618369599</v>
      </c>
      <c r="D40" s="943"/>
      <c r="E40" s="880">
        <f>C40</f>
        <v>3.5925412618369599</v>
      </c>
      <c r="F40" s="943"/>
      <c r="G40" s="613">
        <f>E40</f>
        <v>3.5925412618369599</v>
      </c>
      <c r="H40" s="943"/>
    </row>
    <row r="41" spans="1:11" s="392" customFormat="1">
      <c r="A41" s="605"/>
      <c r="B41" s="640" t="s">
        <v>647</v>
      </c>
      <c r="C41" s="618">
        <f>SUM(C40)</f>
        <v>3.5925412618369599</v>
      </c>
      <c r="D41" s="944"/>
      <c r="E41" s="626">
        <f>SUM(E40)</f>
        <v>3.5925412618369599</v>
      </c>
      <c r="F41" s="949"/>
      <c r="G41" s="618">
        <f>SUM(G40)</f>
        <v>3.5925412618369599</v>
      </c>
      <c r="H41" s="944"/>
    </row>
    <row r="42" spans="1:11">
      <c r="A42" s="605" t="s">
        <v>642</v>
      </c>
      <c r="B42" s="503" t="s">
        <v>426</v>
      </c>
      <c r="C42" s="236">
        <f>Mombasa!D22</f>
        <v>8.19</v>
      </c>
      <c r="D42" s="573"/>
      <c r="E42" s="236">
        <f>Mombasa!E22</f>
        <v>8.19</v>
      </c>
      <c r="F42" s="573"/>
      <c r="G42" s="236">
        <f>Mombasa!F22</f>
        <v>8.19</v>
      </c>
      <c r="H42" s="629"/>
    </row>
    <row r="43" spans="1:11">
      <c r="B43" s="620" t="s">
        <v>447</v>
      </c>
      <c r="C43" s="613">
        <f>C$37+C$42+C$41</f>
        <v>169.13730266158646</v>
      </c>
      <c r="D43" s="610"/>
      <c r="E43" s="613">
        <f>E$37+E$42+E$41</f>
        <v>171.78769380942992</v>
      </c>
      <c r="F43" s="610"/>
      <c r="G43" s="236">
        <f>G$37+G$42+G$41</f>
        <v>168.9823780584552</v>
      </c>
      <c r="H43" s="573"/>
    </row>
    <row r="44" spans="1:11">
      <c r="B44" s="640" t="s">
        <v>458</v>
      </c>
      <c r="C44" s="641">
        <v>0</v>
      </c>
      <c r="D44" s="610"/>
      <c r="E44" s="641">
        <v>0</v>
      </c>
      <c r="F44" s="610"/>
      <c r="G44" s="642">
        <v>0</v>
      </c>
      <c r="H44" s="573"/>
    </row>
    <row r="45" spans="1:11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11">
      <c r="B46" s="620" t="s">
        <v>432</v>
      </c>
      <c r="C46" s="641">
        <f>C$43-C44-C45+D$38</f>
        <v>157.47730266158646</v>
      </c>
      <c r="D46" s="641"/>
      <c r="E46" s="641">
        <f>E$43-E44-E45+F$38</f>
        <v>159.93769380942993</v>
      </c>
      <c r="F46" s="641"/>
      <c r="G46" s="641">
        <f>G$43-G44-G45+H$38</f>
        <v>157.34237805845521</v>
      </c>
      <c r="H46" s="573"/>
    </row>
    <row r="47" spans="1:11">
      <c r="B47" s="503" t="s">
        <v>445</v>
      </c>
      <c r="C47" s="644"/>
      <c r="D47" s="627" t="str">
        <f>CONCATENATE("+ ",ROUND((C$46*0.08),2))</f>
        <v>+ 12.6</v>
      </c>
      <c r="E47" s="644"/>
      <c r="F47" s="627" t="str">
        <f>CONCATENATE("+ ",ROUND((E$46*0.08),2))</f>
        <v>+ 12.8</v>
      </c>
      <c r="G47" s="645"/>
      <c r="H47" s="627" t="str">
        <f>CONCATENATE("+ ",ROUND((G$46*0.08),2))</f>
        <v>+ 12.59</v>
      </c>
    </row>
    <row r="48" spans="1:11" ht="15" thickBot="1">
      <c r="B48" s="646" t="s">
        <v>449</v>
      </c>
      <c r="C48" s="702" t="str">
        <f>D47</f>
        <v>+ 12.6</v>
      </c>
      <c r="D48" s="632"/>
      <c r="E48" s="631" t="str">
        <f>F47</f>
        <v>+ 12.8</v>
      </c>
      <c r="F48" s="632"/>
      <c r="G48" s="631" t="str">
        <f>H47</f>
        <v>+ 12.59</v>
      </c>
      <c r="H48" s="632"/>
    </row>
    <row r="49" spans="1:8" s="392" customFormat="1" ht="15" thickBot="1">
      <c r="B49" s="647" t="s">
        <v>452</v>
      </c>
      <c r="C49" s="648">
        <f>C$46+C$48+C$44+C$45</f>
        <v>170.07730266158646</v>
      </c>
      <c r="D49" s="649">
        <f>D38+D47</f>
        <v>0.9399999999999995</v>
      </c>
      <c r="E49" s="698">
        <f>E$46+E$48+E$44+E$45</f>
        <v>172.73769380942994</v>
      </c>
      <c r="F49" s="649">
        <f>F38+F47</f>
        <v>0.95000000000000107</v>
      </c>
      <c r="G49" s="650">
        <f>G$46+G$48+G$44+G$45</f>
        <v>169.93237805845521</v>
      </c>
      <c r="H49" s="651">
        <f>H38+H47</f>
        <v>0.94999999999999929</v>
      </c>
    </row>
    <row r="50" spans="1:8" s="392" customFormat="1">
      <c r="B50" s="652"/>
      <c r="C50" s="653"/>
      <c r="D50" s="652"/>
      <c r="E50" s="653"/>
      <c r="F50" s="652"/>
      <c r="G50" s="653"/>
      <c r="H50" s="653"/>
    </row>
    <row r="51" spans="1:8" s="392" customFormat="1" ht="15" hidden="1" customHeight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8" ht="15" hidden="1" customHeight="1"/>
    <row r="53" spans="1:8" ht="15" hidden="1" customHeight="1">
      <c r="B53" s="656" t="s">
        <v>441</v>
      </c>
      <c r="C53" s="657">
        <f>Mombasa!D26</f>
        <v>154.61210483715561</v>
      </c>
      <c r="D53" s="162">
        <f>C9+C20+C21+C28+C42+0.16*C8+0.16*SUM(C24:C25)</f>
        <v>153.98809640775983</v>
      </c>
      <c r="E53" s="657">
        <f>'Breakdown for PMS, AGO &amp; DPK'!E26</f>
        <v>160.05845058085328</v>
      </c>
      <c r="G53" s="657">
        <f>'Breakdown for PMS, AGO &amp; DPK'!F26</f>
        <v>157.48855959511991</v>
      </c>
    </row>
    <row r="54" spans="1:8" ht="15.75" hidden="1" customHeight="1">
      <c r="B54" s="658" t="s">
        <v>442</v>
      </c>
      <c r="C54" s="659">
        <f>C49-C53</f>
        <v>15.465197824430845</v>
      </c>
      <c r="D54" s="162">
        <f>C53-D53</f>
        <v>0.62400842939578638</v>
      </c>
      <c r="E54" s="659">
        <f>E49-E53</f>
        <v>12.679243228576667</v>
      </c>
      <c r="G54" s="659">
        <f>G49-G53</f>
        <v>12.443818463335305</v>
      </c>
    </row>
    <row r="55" spans="1:8" ht="15.75" hidden="1" customHeight="1">
      <c r="B55" s="660" t="s">
        <v>443</v>
      </c>
      <c r="C55" s="661">
        <f>C54/C53</f>
        <v>0.10002578931785117</v>
      </c>
      <c r="D55" s="662">
        <f>7-5.55+3.89-3.112</f>
        <v>2.2279999999999998</v>
      </c>
      <c r="E55" s="661">
        <f>E54/E53</f>
        <v>7.9216331175040122E-2</v>
      </c>
      <c r="F55" s="392"/>
      <c r="G55" s="661">
        <f>G54/G53</f>
        <v>7.9014110582549896E-2</v>
      </c>
    </row>
    <row r="56" spans="1:8" ht="15.75" hidden="1" customHeight="1">
      <c r="B56" s="663" t="s">
        <v>451</v>
      </c>
      <c r="C56" s="664">
        <f>D$33+D$49+-$D$10</f>
        <v>12.6</v>
      </c>
      <c r="E56" s="664">
        <f>F$33+F$49</f>
        <v>4.5590574521374876</v>
      </c>
      <c r="G56" s="664">
        <f>H$33+H$49</f>
        <v>4.1577517448881274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B2:K31"/>
  <sheetViews>
    <sheetView topLeftCell="A13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.1796875" style="159" customWidth="1"/>
    <col min="9" max="16384" width="9.1796875" style="159"/>
  </cols>
  <sheetData>
    <row r="2" spans="2:11">
      <c r="C2" s="258" t="s">
        <v>676</v>
      </c>
      <c r="G2" s="160"/>
    </row>
    <row r="3" spans="2:11">
      <c r="C3" s="258" t="s">
        <v>27</v>
      </c>
      <c r="G3" s="160"/>
    </row>
    <row r="4" spans="2:11">
      <c r="C4" s="259" t="str">
        <f>Taveta!C4</f>
        <v>March 15 - April 14, 2023</v>
      </c>
      <c r="D4" s="258"/>
      <c r="E4" s="160"/>
      <c r="F4" s="160"/>
      <c r="G4" s="260"/>
    </row>
    <row r="5" spans="2:11">
      <c r="C5" s="160"/>
      <c r="D5" s="160"/>
      <c r="E5" s="160"/>
      <c r="F5" s="160"/>
      <c r="G5" s="261"/>
      <c r="H5" s="262"/>
      <c r="I5" s="262"/>
      <c r="J5" s="262"/>
      <c r="K5" s="262"/>
    </row>
    <row r="6" spans="2:11">
      <c r="C6" s="263"/>
      <c r="D6" s="264" t="s">
        <v>0</v>
      </c>
      <c r="E6" s="264" t="s">
        <v>1</v>
      </c>
      <c r="F6" s="264" t="s">
        <v>3</v>
      </c>
      <c r="G6" s="160"/>
      <c r="H6" s="262"/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Mombasa!G8</f>
        <v>1.1599999999999999</v>
      </c>
      <c r="H8" s="262" t="s">
        <v>42</v>
      </c>
      <c r="I8" s="262"/>
      <c r="J8" s="262"/>
      <c r="K8" s="262"/>
    </row>
    <row r="9" spans="2:11" ht="15" thickBot="1">
      <c r="C9" s="263" t="s">
        <v>20</v>
      </c>
      <c r="D9" s="195">
        <f>$G$10*$G$9*$G$8</f>
        <v>0</v>
      </c>
      <c r="E9" s="195">
        <f>$G$10*$G$9*$G$8</f>
        <v>0</v>
      </c>
      <c r="F9" s="195">
        <f>$G$10*$G$9*$G$8</f>
        <v>0</v>
      </c>
      <c r="G9" s="303">
        <v>0</v>
      </c>
      <c r="H9" s="262" t="s">
        <v>28</v>
      </c>
      <c r="I9" s="262"/>
      <c r="J9" s="262"/>
      <c r="K9" s="262"/>
    </row>
    <row r="10" spans="2:11" ht="15" thickBot="1">
      <c r="C10" s="263"/>
      <c r="D10" s="274"/>
      <c r="E10" s="274"/>
      <c r="F10" s="274"/>
      <c r="G10" s="304">
        <v>0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195">
        <f>$G$11*G12*$G$8</f>
        <v>0</v>
      </c>
      <c r="E11" s="195">
        <f>$G$11*G12*$G$8</f>
        <v>0</v>
      </c>
      <c r="F11" s="195">
        <f>$G$11*G12*$G$8</f>
        <v>0</v>
      </c>
      <c r="G11" s="305">
        <f>8.14*G14/1000</f>
        <v>0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1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0</v>
      </c>
      <c r="E13" s="277">
        <f>$G$13*E7</f>
        <v>0</v>
      </c>
      <c r="F13" s="277">
        <f>$G$13*F7</f>
        <v>0</v>
      </c>
      <c r="G13" s="278">
        <v>0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0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Mombasa!D18</f>
        <v>4.2039999999999997</v>
      </c>
      <c r="E17" s="280">
        <f>Mombasa!E18</f>
        <v>4.1739999999999995</v>
      </c>
      <c r="F17" s="280">
        <f>Mombasa!F18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145.79849820066073</v>
      </c>
      <c r="E19" s="282">
        <f>SUM(E7:E18)</f>
        <v>148.24726824540289</v>
      </c>
      <c r="F19" s="282">
        <f>SUM(F7:F18)</f>
        <v>145.67854679553881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Mombasa!D22</f>
        <v>8.19</v>
      </c>
      <c r="E21" s="168">
        <f>Mombasa!E22</f>
        <v>8.19</v>
      </c>
      <c r="F21" s="168">
        <f>Mombasa!F22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3.1532932168896939</v>
      </c>
      <c r="E23" s="283">
        <f t="shared" ref="E23:F23" si="0">$G$23*$G$8</f>
        <v>3.1532932168896939</v>
      </c>
      <c r="F23" s="283">
        <f t="shared" si="0"/>
        <v>3.1532932168896939</v>
      </c>
      <c r="G23" s="284">
        <f>'Delivery &gt;40km-Sept 2013'!E24*I23/1000</f>
        <v>2.718356221456633</v>
      </c>
      <c r="H23" s="262" t="s">
        <v>126</v>
      </c>
      <c r="I23" s="259">
        <v>227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306">
        <f>D19+D21+D23</f>
        <v>157.14179141755042</v>
      </c>
      <c r="E25" s="306">
        <f>E19+E21+E23</f>
        <v>159.59056146229258</v>
      </c>
      <c r="F25" s="306">
        <f>F19+F21+F23</f>
        <v>157.0218400124285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700"/>
      <c r="E27" s="700"/>
      <c r="F27" s="700"/>
    </row>
    <row r="28" spans="3:11">
      <c r="D28" s="700"/>
      <c r="E28" s="700"/>
      <c r="F28" s="700"/>
    </row>
    <row r="29" spans="3:11">
      <c r="D29" s="700"/>
      <c r="E29" s="700"/>
      <c r="F29" s="700"/>
    </row>
    <row r="31" spans="3:11">
      <c r="E31" s="210"/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2:K56"/>
  <sheetViews>
    <sheetView topLeftCell="A34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8" width="15.453125" style="159" customWidth="1"/>
    <col min="9" max="9" width="3.26953125" style="159" customWidth="1"/>
    <col min="10" max="10" width="14.7265625" style="159" customWidth="1"/>
    <col min="11" max="16384" width="9.1796875" style="159"/>
  </cols>
  <sheetData>
    <row r="2" spans="1:8" ht="15" thickBot="1"/>
    <row r="3" spans="1:8" ht="15" thickBot="1">
      <c r="B3" s="1067" t="s">
        <v>435</v>
      </c>
      <c r="C3" s="1069"/>
      <c r="D3" s="1069"/>
      <c r="E3" s="1069"/>
      <c r="F3" s="1069"/>
      <c r="G3" s="1069"/>
      <c r="H3" s="1068"/>
    </row>
    <row r="4" spans="1:8" ht="15" thickBot="1">
      <c r="B4" s="443" t="str">
        <f>Mombasa!C4</f>
        <v>March 15 - April 14, 2023</v>
      </c>
      <c r="C4" s="1070" t="s">
        <v>399</v>
      </c>
      <c r="D4" s="1071"/>
      <c r="E4" s="1070" t="s">
        <v>338</v>
      </c>
      <c r="F4" s="1070"/>
      <c r="G4" s="1072" t="s">
        <v>337</v>
      </c>
      <c r="H4" s="1071"/>
    </row>
    <row r="5" spans="1:8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8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8" ht="18" customHeight="1">
      <c r="B7" s="597" t="s">
        <v>400</v>
      </c>
      <c r="C7" s="598">
        <f>'PMS SUMMARY'!D45</f>
        <v>89.740844909393786</v>
      </c>
      <c r="D7" s="599"/>
      <c r="E7" s="849">
        <f>'AGO SUMMARY'!E47</f>
        <v>102.43801744706063</v>
      </c>
      <c r="F7" s="600"/>
      <c r="G7" s="849">
        <f>'DPK SUMMARY'!D44</f>
        <v>104.66296430977627</v>
      </c>
      <c r="H7" s="599"/>
    </row>
    <row r="8" spans="1:8" s="163" customFormat="1">
      <c r="B8" s="601" t="s">
        <v>420</v>
      </c>
      <c r="C8" s="602">
        <f>'PMS SUMMARY'!D44</f>
        <v>0.64584380006463771</v>
      </c>
      <c r="D8" s="603"/>
      <c r="E8" s="850">
        <f>'AGO SUMMARY'!E46</f>
        <v>0.57376440122077432</v>
      </c>
      <c r="F8" s="604"/>
      <c r="G8" s="850">
        <f>'DPK SUMMARY'!D43</f>
        <v>0.74013887912213949</v>
      </c>
      <c r="H8" s="603"/>
    </row>
    <row r="9" spans="1:8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8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8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8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8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8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8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v>0</v>
      </c>
      <c r="H15" s="610"/>
    </row>
    <row r="16" spans="1:8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10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  <c r="J17" s="162"/>
    </row>
    <row r="18" spans="1:10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10">
      <c r="A19" s="605"/>
      <c r="B19" s="614" t="s">
        <v>319</v>
      </c>
      <c r="C19" s="613">
        <f>'Breakdown for PMS, AGO &amp; DPK'!D23</f>
        <v>1.7335007701822511</v>
      </c>
      <c r="D19" s="610"/>
      <c r="E19" s="613">
        <f>'Breakdown for PMS, AGO &amp; DPK'!E23</f>
        <v>1.994329137255715</v>
      </c>
      <c r="F19" s="616"/>
      <c r="G19" s="613">
        <f>'Breakdown for PMS, AGO &amp; DPK'!F23</f>
        <v>2.0134755528419217</v>
      </c>
      <c r="H19" s="610"/>
    </row>
    <row r="20" spans="1:10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10">
      <c r="A21" s="605" t="s">
        <v>403</v>
      </c>
      <c r="B21" s="620" t="s">
        <v>421</v>
      </c>
      <c r="C21" s="618">
        <f>SUM(C$22:C$23)</f>
        <v>0.70445023980428223</v>
      </c>
      <c r="D21" s="573"/>
      <c r="E21" s="618">
        <f>SUM(E$22:E$23)</f>
        <v>0.43092702366521302</v>
      </c>
      <c r="F21" s="621"/>
      <c r="G21" s="618">
        <f>SUM(G$22:G$23)</f>
        <v>0.42324390866063455</v>
      </c>
      <c r="H21" s="573"/>
    </row>
    <row r="22" spans="1:10">
      <c r="A22" s="605"/>
      <c r="B22" s="614" t="s">
        <v>455</v>
      </c>
      <c r="C22" s="613">
        <f>SUM(C$24:C$25)</f>
        <v>0</v>
      </c>
      <c r="D22" s="573"/>
      <c r="E22" s="613">
        <f>SUM(E$24:E$25)</f>
        <v>0</v>
      </c>
      <c r="F22" s="621"/>
      <c r="G22" s="613">
        <f>SUM(G$24:G$25)</f>
        <v>0</v>
      </c>
      <c r="H22" s="573"/>
    </row>
    <row r="23" spans="1:10">
      <c r="A23" s="605"/>
      <c r="B23" s="614" t="s">
        <v>456</v>
      </c>
      <c r="C23" s="613">
        <f>C$26+C$27</f>
        <v>0.70445023980428223</v>
      </c>
      <c r="D23" s="573"/>
      <c r="E23" s="613">
        <f>E$26+E$27</f>
        <v>0.43092702366521302</v>
      </c>
      <c r="F23" s="621"/>
      <c r="G23" s="613">
        <f>G$26+G$27</f>
        <v>0.42324390866063455</v>
      </c>
      <c r="H23" s="573"/>
    </row>
    <row r="24" spans="1:10">
      <c r="A24" s="605"/>
      <c r="B24" s="622" t="s">
        <v>459</v>
      </c>
      <c r="C24" s="602">
        <f>Mombasa!D9</f>
        <v>0</v>
      </c>
      <c r="D24" s="623"/>
      <c r="E24" s="602">
        <f>Mombasa!E9</f>
        <v>0</v>
      </c>
      <c r="F24" s="624"/>
      <c r="G24" s="602">
        <f>Mombasa!F9</f>
        <v>0</v>
      </c>
      <c r="H24" s="573"/>
    </row>
    <row r="25" spans="1:10">
      <c r="A25" s="605"/>
      <c r="B25" s="622" t="s">
        <v>460</v>
      </c>
      <c r="C25" s="602">
        <f>Mombasa!D11</f>
        <v>0</v>
      </c>
      <c r="D25" s="623"/>
      <c r="E25" s="602">
        <f>Mombasa!E11</f>
        <v>0</v>
      </c>
      <c r="F25" s="624"/>
      <c r="G25" s="602">
        <f>Mombasa!F11</f>
        <v>0</v>
      </c>
      <c r="H25" s="573"/>
    </row>
    <row r="26" spans="1:10">
      <c r="A26" s="605"/>
      <c r="B26" s="622" t="s">
        <v>334</v>
      </c>
      <c r="C26" s="602">
        <f>Mombasa!D13</f>
        <v>0</v>
      </c>
      <c r="D26" s="623"/>
      <c r="E26" s="602">
        <f>Mombasa!E13</f>
        <v>0</v>
      </c>
      <c r="F26" s="624"/>
      <c r="G26" s="602">
        <f>Mombasa!F13</f>
        <v>0</v>
      </c>
      <c r="H26" s="573"/>
    </row>
    <row r="27" spans="1:10">
      <c r="A27" s="605"/>
      <c r="B27" s="622" t="s">
        <v>332</v>
      </c>
      <c r="C27" s="602">
        <f>Mombasa!D15</f>
        <v>0.70445023980428223</v>
      </c>
      <c r="D27" s="623"/>
      <c r="E27" s="602">
        <f>Mombasa!E15</f>
        <v>0.43092702366521302</v>
      </c>
      <c r="F27" s="624"/>
      <c r="G27" s="602">
        <f>Mombasa!F15</f>
        <v>0.42324390866063455</v>
      </c>
      <c r="H27" s="573"/>
    </row>
    <row r="28" spans="1:10">
      <c r="A28" s="605" t="s">
        <v>404</v>
      </c>
      <c r="B28" s="620" t="s">
        <v>427</v>
      </c>
      <c r="C28" s="618">
        <f>Mombasa!D18</f>
        <v>4.2039999999999997</v>
      </c>
      <c r="D28" s="618"/>
      <c r="E28" s="618">
        <f>Mombasa!E18</f>
        <v>4.1739999999999995</v>
      </c>
      <c r="F28" s="618"/>
      <c r="G28" s="618">
        <f>Mombasa!F18</f>
        <v>4.1739999999999995</v>
      </c>
      <c r="H28" s="573"/>
    </row>
    <row r="29" spans="1:10">
      <c r="A29" s="605"/>
      <c r="B29" s="620" t="s">
        <v>440</v>
      </c>
      <c r="C29" s="618">
        <f>C$9+C$20+C$22+C$23+C$28</f>
        <v>145.6947613997495</v>
      </c>
      <c r="D29" s="625"/>
      <c r="E29" s="626">
        <f>E$9+E$20+E$22+E$23+E$28</f>
        <v>148.15515254759296</v>
      </c>
      <c r="F29" s="625"/>
      <c r="G29" s="618">
        <f>G$9+G$20+G$22+G$23+G$28</f>
        <v>145.55983679661824</v>
      </c>
      <c r="H29" s="625"/>
    </row>
    <row r="30" spans="1:10">
      <c r="A30" s="605"/>
      <c r="B30" s="494" t="s">
        <v>444</v>
      </c>
      <c r="C30" s="606"/>
      <c r="D30" s="627" t="str">
        <f>CONCATENATE("+ ",ROUND((C$29*0.08),2))</f>
        <v>+ 11.66</v>
      </c>
      <c r="E30" s="628"/>
      <c r="F30" s="627" t="str">
        <f>CONCATENATE("+ ",ROUND((E$29*0.08),2))</f>
        <v>+ 11.85</v>
      </c>
      <c r="G30" s="606"/>
      <c r="H30" s="627" t="str">
        <f>CONCATENATE("+ ",ROUND((G$29*0.08),2))</f>
        <v>+ 11.64</v>
      </c>
    </row>
    <row r="31" spans="1:10">
      <c r="A31" s="605"/>
      <c r="B31" s="620" t="s">
        <v>436</v>
      </c>
      <c r="C31" s="606">
        <f>C$9+C$20+C$21+C$28</f>
        <v>145.6947613997495</v>
      </c>
      <c r="D31" s="629"/>
      <c r="E31" s="628">
        <f>E$9+E$20+E$21+E$28</f>
        <v>148.15515254759296</v>
      </c>
      <c r="F31" s="629"/>
      <c r="G31" s="606">
        <f>G$9+G$20+G$21+G$28</f>
        <v>145.55983679661824</v>
      </c>
      <c r="H31" s="629"/>
    </row>
    <row r="32" spans="1:10" ht="15" thickBot="1">
      <c r="A32" s="605"/>
      <c r="B32" s="630" t="s">
        <v>448</v>
      </c>
      <c r="C32" s="631" t="str">
        <f>D30</f>
        <v>+ 11.66</v>
      </c>
      <c r="D32" s="632"/>
      <c r="E32" s="631" t="str">
        <f>F30</f>
        <v>+ 11.85</v>
      </c>
      <c r="F32" s="632"/>
      <c r="G32" s="631" t="str">
        <f>H30</f>
        <v>+ 11.64</v>
      </c>
      <c r="H32" s="632"/>
    </row>
    <row r="33" spans="1:11" ht="15" thickBot="1">
      <c r="A33" s="605"/>
      <c r="B33" s="633" t="s">
        <v>418</v>
      </c>
      <c r="C33" s="634">
        <f>C31+C32</f>
        <v>157.35476139974949</v>
      </c>
      <c r="D33" s="634">
        <f>+D10+D30</f>
        <v>4.4290649032433258</v>
      </c>
      <c r="E33" s="635">
        <f>E31+E32</f>
        <v>160.00515254759296</v>
      </c>
      <c r="F33" s="634">
        <f>F10+F30</f>
        <v>3.6090574521374865</v>
      </c>
      <c r="G33" s="634">
        <f>G31+G32</f>
        <v>157.19983679661823</v>
      </c>
      <c r="H33" s="636">
        <f>H10+H30</f>
        <v>3.2077517448881281</v>
      </c>
      <c r="K33" s="162"/>
    </row>
    <row r="34" spans="1:11" ht="15" thickBot="1"/>
    <row r="35" spans="1:11" ht="15.75" customHeight="1" thickBot="1">
      <c r="B35" s="1064" t="s">
        <v>417</v>
      </c>
      <c r="C35" s="1065"/>
      <c r="D35" s="1065"/>
      <c r="E35" s="1065"/>
      <c r="F35" s="1065"/>
      <c r="G35" s="1065"/>
      <c r="H35" s="1066"/>
    </row>
    <row r="36" spans="1:11" ht="15" thickBot="1">
      <c r="B36" s="443"/>
      <c r="C36" s="1067" t="str">
        <f>C4</f>
        <v>Super petrol</v>
      </c>
      <c r="D36" s="1068"/>
      <c r="E36" s="1069" t="str">
        <f>E4</f>
        <v>Diesel</v>
      </c>
      <c r="F36" s="1069"/>
      <c r="G36" s="1067" t="str">
        <f>G4</f>
        <v>Kerosene</v>
      </c>
      <c r="H36" s="1068"/>
    </row>
    <row r="37" spans="1:11">
      <c r="A37" s="605" t="s">
        <v>428</v>
      </c>
      <c r="B37" s="503" t="s">
        <v>422</v>
      </c>
      <c r="C37" s="236">
        <f>C33</f>
        <v>157.35476139974949</v>
      </c>
      <c r="D37" s="573"/>
      <c r="E37" s="236">
        <f>E33</f>
        <v>160.00515254759296</v>
      </c>
      <c r="F37" s="573"/>
      <c r="G37" s="236">
        <f>G33</f>
        <v>157.19983679661823</v>
      </c>
      <c r="H37" s="629"/>
    </row>
    <row r="38" spans="1:11">
      <c r="A38" s="605"/>
      <c r="B38" s="637" t="s">
        <v>425</v>
      </c>
      <c r="C38" s="638"/>
      <c r="D38" s="609">
        <f>-C32</f>
        <v>-11.66</v>
      </c>
      <c r="E38" s="639"/>
      <c r="F38" s="609">
        <f>-E32</f>
        <v>-11.85</v>
      </c>
      <c r="G38" s="638"/>
      <c r="H38" s="609">
        <f>-G32</f>
        <v>-11.64</v>
      </c>
    </row>
    <row r="39" spans="1:11">
      <c r="A39" s="605" t="s">
        <v>429</v>
      </c>
      <c r="B39" s="613" t="s">
        <v>644</v>
      </c>
      <c r="C39" s="613"/>
      <c r="D39" s="943"/>
      <c r="E39" s="879"/>
      <c r="F39" s="943"/>
      <c r="G39" s="613"/>
      <c r="H39" s="943"/>
    </row>
    <row r="40" spans="1:11">
      <c r="A40" s="605"/>
      <c r="B40" s="948" t="s">
        <v>646</v>
      </c>
      <c r="C40" s="613">
        <f>Garsen!G23</f>
        <v>2.718356221456633</v>
      </c>
      <c r="D40" s="943"/>
      <c r="E40" s="880">
        <f>C40</f>
        <v>2.718356221456633</v>
      </c>
      <c r="F40" s="943"/>
      <c r="G40" s="613">
        <f>E40</f>
        <v>2.718356221456633</v>
      </c>
      <c r="H40" s="943"/>
    </row>
    <row r="41" spans="1:11" s="392" customFormat="1">
      <c r="A41" s="605"/>
      <c r="B41" s="640" t="s">
        <v>647</v>
      </c>
      <c r="C41" s="618">
        <f>SUM(C40)</f>
        <v>2.718356221456633</v>
      </c>
      <c r="D41" s="944"/>
      <c r="E41" s="626">
        <f>SUM(E40)</f>
        <v>2.718356221456633</v>
      </c>
      <c r="F41" s="949"/>
      <c r="G41" s="618">
        <f>SUM(G40)</f>
        <v>2.718356221456633</v>
      </c>
      <c r="H41" s="944"/>
    </row>
    <row r="42" spans="1:11">
      <c r="A42" s="605" t="s">
        <v>642</v>
      </c>
      <c r="B42" s="503" t="s">
        <v>426</v>
      </c>
      <c r="C42" s="236">
        <f>Mombasa!D22</f>
        <v>8.19</v>
      </c>
      <c r="D42" s="573"/>
      <c r="E42" s="236">
        <f>Mombasa!E22</f>
        <v>8.19</v>
      </c>
      <c r="F42" s="573"/>
      <c r="G42" s="236">
        <f>Mombasa!F22</f>
        <v>8.19</v>
      </c>
      <c r="H42" s="629"/>
    </row>
    <row r="43" spans="1:11">
      <c r="B43" s="620" t="s">
        <v>447</v>
      </c>
      <c r="C43" s="613">
        <f>C$37+C$42+C$41</f>
        <v>168.26311762120613</v>
      </c>
      <c r="D43" s="610"/>
      <c r="E43" s="613">
        <f>E$37+E$42+E$41</f>
        <v>170.9135087690496</v>
      </c>
      <c r="F43" s="610"/>
      <c r="G43" s="236">
        <f>G$37+G$42+G$41</f>
        <v>168.10819301807487</v>
      </c>
      <c r="H43" s="573"/>
    </row>
    <row r="44" spans="1:11">
      <c r="B44" s="640" t="s">
        <v>458</v>
      </c>
      <c r="C44" s="641">
        <v>0</v>
      </c>
      <c r="D44" s="610"/>
      <c r="E44" s="641">
        <v>0</v>
      </c>
      <c r="F44" s="610"/>
      <c r="G44" s="642">
        <v>0</v>
      </c>
      <c r="H44" s="573"/>
    </row>
    <row r="45" spans="1:11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11">
      <c r="B46" s="620" t="s">
        <v>432</v>
      </c>
      <c r="C46" s="641">
        <f>C$43-C44-C45+D$38</f>
        <v>156.60311762120614</v>
      </c>
      <c r="D46" s="641"/>
      <c r="E46" s="641">
        <f>E$43-E44-E45+F$38</f>
        <v>159.06350876904961</v>
      </c>
      <c r="F46" s="641"/>
      <c r="G46" s="641">
        <f>G$43-G44-G45+H$38</f>
        <v>156.46819301807489</v>
      </c>
      <c r="H46" s="573"/>
    </row>
    <row r="47" spans="1:11">
      <c r="B47" s="503" t="s">
        <v>445</v>
      </c>
      <c r="C47" s="644"/>
      <c r="D47" s="627" t="str">
        <f>CONCATENATE("+ ",ROUND((C$46*0.08),2))</f>
        <v>+ 12.53</v>
      </c>
      <c r="E47" s="644"/>
      <c r="F47" s="627" t="str">
        <f>CONCATENATE("+ ",ROUND((E$46*0.08),2))</f>
        <v>+ 12.73</v>
      </c>
      <c r="G47" s="645"/>
      <c r="H47" s="627" t="str">
        <f>CONCATENATE("+ ",ROUND((G$46*0.08),2))</f>
        <v>+ 12.52</v>
      </c>
    </row>
    <row r="48" spans="1:11" ht="15" thickBot="1">
      <c r="B48" s="646" t="s">
        <v>449</v>
      </c>
      <c r="C48" s="702" t="str">
        <f>D47</f>
        <v>+ 12.53</v>
      </c>
      <c r="D48" s="632"/>
      <c r="E48" s="631" t="str">
        <f>F47</f>
        <v>+ 12.73</v>
      </c>
      <c r="F48" s="632"/>
      <c r="G48" s="631" t="str">
        <f>H47</f>
        <v>+ 12.52</v>
      </c>
      <c r="H48" s="632"/>
    </row>
    <row r="49" spans="1:8" s="392" customFormat="1" ht="15" thickBot="1">
      <c r="B49" s="647" t="s">
        <v>452</v>
      </c>
      <c r="C49" s="648">
        <f>C$46+C$48+C$44+C$45</f>
        <v>169.13311762120614</v>
      </c>
      <c r="D49" s="649">
        <f>D38+D47</f>
        <v>0.86999999999999922</v>
      </c>
      <c r="E49" s="698">
        <f>E$46+E$48+E$44+E$45</f>
        <v>171.79350876904959</v>
      </c>
      <c r="F49" s="649">
        <f>F38+F47</f>
        <v>0.88000000000000078</v>
      </c>
      <c r="G49" s="650">
        <f>G$46+G$48+G$44+G$45</f>
        <v>168.9881930180749</v>
      </c>
      <c r="H49" s="651">
        <f>H38+H47</f>
        <v>0.87999999999999901</v>
      </c>
    </row>
    <row r="50" spans="1:8" s="392" customFormat="1">
      <c r="B50" s="652"/>
      <c r="C50" s="653"/>
      <c r="D50" s="652"/>
      <c r="E50" s="653"/>
      <c r="F50" s="652"/>
      <c r="G50" s="653"/>
      <c r="H50" s="653"/>
    </row>
    <row r="51" spans="1:8" s="392" customFormat="1" ht="15" hidden="1" customHeight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8" ht="15" hidden="1" customHeight="1"/>
    <row r="53" spans="1:8" ht="15" hidden="1" customHeight="1">
      <c r="B53" s="656" t="s">
        <v>441</v>
      </c>
      <c r="C53" s="657">
        <f>Mombasa!D26</f>
        <v>154.61210483715561</v>
      </c>
      <c r="D53" s="162">
        <f>C9+C20+C21+C28+C42+0.16*C8+0.16*SUM(C24:C25)</f>
        <v>153.98809640775983</v>
      </c>
      <c r="E53" s="657">
        <f>'Breakdown for PMS, AGO &amp; DPK'!E26</f>
        <v>160.05845058085328</v>
      </c>
      <c r="G53" s="657">
        <f>'Breakdown for PMS, AGO &amp; DPK'!F26</f>
        <v>157.48855959511991</v>
      </c>
    </row>
    <row r="54" spans="1:8" ht="15.75" hidden="1" customHeight="1">
      <c r="B54" s="658" t="s">
        <v>442</v>
      </c>
      <c r="C54" s="659">
        <f>C49-C53</f>
        <v>14.521012784050527</v>
      </c>
      <c r="D54" s="162">
        <f>C53-D53</f>
        <v>0.62400842939578638</v>
      </c>
      <c r="E54" s="659">
        <f>E49-E53</f>
        <v>11.735058188196319</v>
      </c>
      <c r="G54" s="659">
        <f>G49-G53</f>
        <v>11.499633422954986</v>
      </c>
    </row>
    <row r="55" spans="1:8" ht="15.75" hidden="1" customHeight="1">
      <c r="B55" s="660" t="s">
        <v>443</v>
      </c>
      <c r="C55" s="661">
        <f>C54/C53</f>
        <v>9.3918990362007598E-2</v>
      </c>
      <c r="D55" s="662">
        <f>7-5.55+3.89-3.112</f>
        <v>2.2279999999999998</v>
      </c>
      <c r="E55" s="661">
        <f>E54/E53</f>
        <v>7.331732967306448E-2</v>
      </c>
      <c r="F55" s="392"/>
      <c r="G55" s="661">
        <f>G54/G53</f>
        <v>7.301884944861306E-2</v>
      </c>
    </row>
    <row r="56" spans="1:8" ht="15.75" hidden="1" customHeight="1">
      <c r="B56" s="663" t="s">
        <v>451</v>
      </c>
      <c r="C56" s="664">
        <f>D$33+D$49+-$D$10</f>
        <v>12.53</v>
      </c>
      <c r="E56" s="664">
        <f>F$33+F$49</f>
        <v>4.4890574521374873</v>
      </c>
      <c r="G56" s="664">
        <f>H$33+H$49</f>
        <v>4.0877517448881271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B2:K31"/>
  <sheetViews>
    <sheetView workbookViewId="0">
      <selection activeCell="N16" sqref="N16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.1796875" style="159" customWidth="1"/>
    <col min="9" max="16384" width="9.1796875" style="159"/>
  </cols>
  <sheetData>
    <row r="2" spans="2:11">
      <c r="C2" s="258" t="s">
        <v>677</v>
      </c>
      <c r="G2" s="160"/>
    </row>
    <row r="3" spans="2:11">
      <c r="C3" s="258" t="s">
        <v>27</v>
      </c>
      <c r="G3" s="160"/>
    </row>
    <row r="4" spans="2:11">
      <c r="C4" s="259" t="str">
        <f>Taveta!C4</f>
        <v>March 15 - April 14, 2023</v>
      </c>
      <c r="D4" s="258"/>
      <c r="E4" s="160"/>
      <c r="F4" s="160"/>
      <c r="G4" s="260"/>
    </row>
    <row r="5" spans="2:11">
      <c r="C5" s="160"/>
      <c r="D5" s="160"/>
      <c r="E5" s="160"/>
      <c r="F5" s="160"/>
      <c r="G5" s="261"/>
      <c r="H5" s="262"/>
      <c r="I5" s="262"/>
      <c r="J5" s="262"/>
      <c r="K5" s="262"/>
    </row>
    <row r="6" spans="2:11">
      <c r="C6" s="263"/>
      <c r="D6" s="264" t="s">
        <v>0</v>
      </c>
      <c r="E6" s="264" t="s">
        <v>1</v>
      </c>
      <c r="F6" s="264" t="s">
        <v>3</v>
      </c>
      <c r="G6" s="160"/>
      <c r="H6" s="262"/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Mombasa!G8</f>
        <v>1.1599999999999999</v>
      </c>
      <c r="H8" s="262" t="s">
        <v>42</v>
      </c>
      <c r="I8" s="262"/>
      <c r="J8" s="262"/>
      <c r="K8" s="262"/>
    </row>
    <row r="9" spans="2:11" ht="15" thickBot="1">
      <c r="C9" s="263" t="s">
        <v>20</v>
      </c>
      <c r="D9" s="195">
        <f>$G$10*$G$9*$G$8</f>
        <v>0</v>
      </c>
      <c r="E9" s="195">
        <f>$G$10*$G$9*$G$8</f>
        <v>0</v>
      </c>
      <c r="F9" s="195">
        <f>$G$10*$G$9*$G$8</f>
        <v>0</v>
      </c>
      <c r="G9" s="303">
        <v>0</v>
      </c>
      <c r="H9" s="262" t="s">
        <v>28</v>
      </c>
      <c r="I9" s="262"/>
      <c r="J9" s="262"/>
      <c r="K9" s="262"/>
    </row>
    <row r="10" spans="2:11" ht="15" thickBot="1">
      <c r="C10" s="263"/>
      <c r="D10" s="274"/>
      <c r="E10" s="274"/>
      <c r="F10" s="274"/>
      <c r="G10" s="304">
        <v>0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195">
        <f>$G$11*G12*$G$8</f>
        <v>0</v>
      </c>
      <c r="E11" s="195">
        <f>$G$11*G12*$G$8</f>
        <v>0</v>
      </c>
      <c r="F11" s="195">
        <f>$G$11*G12*$G$8</f>
        <v>0</v>
      </c>
      <c r="G11" s="305">
        <f>8.14*G14/1000</f>
        <v>0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1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0</v>
      </c>
      <c r="E13" s="277">
        <f>$G$13*E7</f>
        <v>0</v>
      </c>
      <c r="F13" s="277">
        <f>$G$13*F7</f>
        <v>0</v>
      </c>
      <c r="G13" s="278">
        <v>0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0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Mombasa!D18</f>
        <v>4.2039999999999997</v>
      </c>
      <c r="E17" s="280">
        <f>Mombasa!E18</f>
        <v>4.1739999999999995</v>
      </c>
      <c r="F17" s="280">
        <f>Mombasa!F18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145.79849820066073</v>
      </c>
      <c r="E19" s="282">
        <f>SUM(E7:E18)</f>
        <v>148.24726824540289</v>
      </c>
      <c r="F19" s="282">
        <f>SUM(F7:F18)</f>
        <v>145.67854679553881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Mombasa!D22</f>
        <v>8.19</v>
      </c>
      <c r="E21" s="168">
        <f>Mombasa!E22</f>
        <v>8.19</v>
      </c>
      <c r="F21" s="168">
        <f>Mombasa!F22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2.5698645159673714</v>
      </c>
      <c r="E23" s="283">
        <f t="shared" ref="E23:F23" si="0">$G$23*$G$8</f>
        <v>2.5698645159673714</v>
      </c>
      <c r="F23" s="283">
        <f t="shared" si="0"/>
        <v>2.5698645159673714</v>
      </c>
      <c r="G23" s="284">
        <f>'Delivery &gt;40km-Sept 2013'!E24*I23/1000</f>
        <v>2.2154004447994584</v>
      </c>
      <c r="H23" s="262" t="s">
        <v>126</v>
      </c>
      <c r="I23" s="259">
        <v>185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306">
        <f>D19+D21+D23</f>
        <v>156.5583627166281</v>
      </c>
      <c r="E25" s="306">
        <f>E19+E21+E23</f>
        <v>159.00713276137026</v>
      </c>
      <c r="F25" s="306">
        <f>F19+F21+F23</f>
        <v>156.43841131150617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700"/>
      <c r="E27" s="700"/>
      <c r="F27" s="700"/>
    </row>
    <row r="28" spans="3:11">
      <c r="D28" s="700"/>
      <c r="E28" s="700"/>
      <c r="F28" s="700"/>
    </row>
    <row r="29" spans="3:11">
      <c r="D29" s="700"/>
      <c r="E29" s="700"/>
      <c r="F29" s="700"/>
    </row>
    <row r="31" spans="3:11">
      <c r="E31" s="210"/>
    </row>
  </sheetData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2:K56"/>
  <sheetViews>
    <sheetView topLeftCell="A34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8" width="15.453125" style="159" customWidth="1"/>
    <col min="9" max="9" width="3.26953125" style="159" customWidth="1"/>
    <col min="10" max="10" width="14.7265625" style="159" customWidth="1"/>
    <col min="11" max="16384" width="9.1796875" style="159"/>
  </cols>
  <sheetData>
    <row r="2" spans="1:8" ht="15" thickBot="1"/>
    <row r="3" spans="1:8" ht="15" thickBot="1">
      <c r="B3" s="1067" t="s">
        <v>435</v>
      </c>
      <c r="C3" s="1069"/>
      <c r="D3" s="1069"/>
      <c r="E3" s="1069"/>
      <c r="F3" s="1069"/>
      <c r="G3" s="1069"/>
      <c r="H3" s="1068"/>
    </row>
    <row r="4" spans="1:8" ht="15" thickBot="1">
      <c r="B4" s="443" t="str">
        <f>Mombasa!C4</f>
        <v>March 15 - April 14, 2023</v>
      </c>
      <c r="C4" s="1070" t="s">
        <v>399</v>
      </c>
      <c r="D4" s="1071"/>
      <c r="E4" s="1070" t="s">
        <v>338</v>
      </c>
      <c r="F4" s="1070"/>
      <c r="G4" s="1072" t="s">
        <v>337</v>
      </c>
      <c r="H4" s="1071"/>
    </row>
    <row r="5" spans="1:8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8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8" ht="18" customHeight="1">
      <c r="B7" s="597" t="s">
        <v>400</v>
      </c>
      <c r="C7" s="598">
        <f>'PMS SUMMARY'!D45</f>
        <v>89.740844909393786</v>
      </c>
      <c r="D7" s="599"/>
      <c r="E7" s="849">
        <f>'AGO SUMMARY'!E47</f>
        <v>102.43801744706063</v>
      </c>
      <c r="F7" s="600"/>
      <c r="G7" s="849">
        <f>'DPK SUMMARY'!D44</f>
        <v>104.66296430977627</v>
      </c>
      <c r="H7" s="599"/>
    </row>
    <row r="8" spans="1:8" s="163" customFormat="1">
      <c r="B8" s="601" t="s">
        <v>420</v>
      </c>
      <c r="C8" s="602">
        <f>'PMS SUMMARY'!D44</f>
        <v>0.64584380006463771</v>
      </c>
      <c r="D8" s="603"/>
      <c r="E8" s="850">
        <f>'AGO SUMMARY'!E46</f>
        <v>0.57376440122077432</v>
      </c>
      <c r="F8" s="604"/>
      <c r="G8" s="850">
        <f>'DPK SUMMARY'!D43</f>
        <v>0.74013887912213949</v>
      </c>
      <c r="H8" s="603"/>
    </row>
    <row r="9" spans="1:8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8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8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8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8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8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8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v>0</v>
      </c>
      <c r="H15" s="610"/>
    </row>
    <row r="16" spans="1:8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10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  <c r="J17" s="162"/>
    </row>
    <row r="18" spans="1:10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10">
      <c r="A19" s="605"/>
      <c r="B19" s="614" t="s">
        <v>319</v>
      </c>
      <c r="C19" s="613">
        <f>'Breakdown for PMS, AGO &amp; DPK'!D23</f>
        <v>1.7335007701822511</v>
      </c>
      <c r="D19" s="610"/>
      <c r="E19" s="613">
        <f>'Breakdown for PMS, AGO &amp; DPK'!E23</f>
        <v>1.994329137255715</v>
      </c>
      <c r="F19" s="616"/>
      <c r="G19" s="613">
        <f>'Breakdown for PMS, AGO &amp; DPK'!F23</f>
        <v>2.0134755528419217</v>
      </c>
      <c r="H19" s="610"/>
    </row>
    <row r="20" spans="1:10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10">
      <c r="A21" s="605" t="s">
        <v>403</v>
      </c>
      <c r="B21" s="620" t="s">
        <v>421</v>
      </c>
      <c r="C21" s="618">
        <f>SUM(C$22:C$23)</f>
        <v>0.70445023980428223</v>
      </c>
      <c r="D21" s="573"/>
      <c r="E21" s="618">
        <f>SUM(E$22:E$23)</f>
        <v>0.43092702366521302</v>
      </c>
      <c r="F21" s="621"/>
      <c r="G21" s="618">
        <f>SUM(G$22:G$23)</f>
        <v>0.42324390866063455</v>
      </c>
      <c r="H21" s="573"/>
    </row>
    <row r="22" spans="1:10">
      <c r="A22" s="605"/>
      <c r="B22" s="614" t="s">
        <v>455</v>
      </c>
      <c r="C22" s="613">
        <f>SUM(C$24:C$25)</f>
        <v>0</v>
      </c>
      <c r="D22" s="573"/>
      <c r="E22" s="613">
        <f>SUM(E$24:E$25)</f>
        <v>0</v>
      </c>
      <c r="F22" s="621"/>
      <c r="G22" s="613">
        <f>SUM(G$24:G$25)</f>
        <v>0</v>
      </c>
      <c r="H22" s="573"/>
    </row>
    <row r="23" spans="1:10">
      <c r="A23" s="605"/>
      <c r="B23" s="614" t="s">
        <v>456</v>
      </c>
      <c r="C23" s="613">
        <f>C$26+C$27</f>
        <v>0.70445023980428223</v>
      </c>
      <c r="D23" s="573"/>
      <c r="E23" s="613">
        <f>E$26+E$27</f>
        <v>0.43092702366521302</v>
      </c>
      <c r="F23" s="621"/>
      <c r="G23" s="613">
        <f>G$26+G$27</f>
        <v>0.42324390866063455</v>
      </c>
      <c r="H23" s="573"/>
    </row>
    <row r="24" spans="1:10">
      <c r="A24" s="605"/>
      <c r="B24" s="622" t="s">
        <v>459</v>
      </c>
      <c r="C24" s="602">
        <f>Mombasa!D9</f>
        <v>0</v>
      </c>
      <c r="D24" s="623"/>
      <c r="E24" s="602">
        <f>Mombasa!E9</f>
        <v>0</v>
      </c>
      <c r="F24" s="624"/>
      <c r="G24" s="602">
        <f>Mombasa!F9</f>
        <v>0</v>
      </c>
      <c r="H24" s="573"/>
    </row>
    <row r="25" spans="1:10">
      <c r="A25" s="605"/>
      <c r="B25" s="622" t="s">
        <v>460</v>
      </c>
      <c r="C25" s="602">
        <f>Mombasa!D11</f>
        <v>0</v>
      </c>
      <c r="D25" s="623"/>
      <c r="E25" s="602">
        <f>Mombasa!E11</f>
        <v>0</v>
      </c>
      <c r="F25" s="624"/>
      <c r="G25" s="602">
        <f>Mombasa!F11</f>
        <v>0</v>
      </c>
      <c r="H25" s="573"/>
    </row>
    <row r="26" spans="1:10">
      <c r="A26" s="605"/>
      <c r="B26" s="622" t="s">
        <v>334</v>
      </c>
      <c r="C26" s="602">
        <f>Mombasa!D13</f>
        <v>0</v>
      </c>
      <c r="D26" s="623"/>
      <c r="E26" s="602">
        <f>Mombasa!E13</f>
        <v>0</v>
      </c>
      <c r="F26" s="624"/>
      <c r="G26" s="602">
        <f>Mombasa!F13</f>
        <v>0</v>
      </c>
      <c r="H26" s="573"/>
    </row>
    <row r="27" spans="1:10">
      <c r="A27" s="605"/>
      <c r="B27" s="622" t="s">
        <v>332</v>
      </c>
      <c r="C27" s="602">
        <f>Mombasa!D15</f>
        <v>0.70445023980428223</v>
      </c>
      <c r="D27" s="623"/>
      <c r="E27" s="602">
        <f>Mombasa!E15</f>
        <v>0.43092702366521302</v>
      </c>
      <c r="F27" s="624"/>
      <c r="G27" s="602">
        <f>Mombasa!F15</f>
        <v>0.42324390866063455</v>
      </c>
      <c r="H27" s="573"/>
    </row>
    <row r="28" spans="1:10">
      <c r="A28" s="605" t="s">
        <v>404</v>
      </c>
      <c r="B28" s="620" t="s">
        <v>427</v>
      </c>
      <c r="C28" s="618">
        <f>Mombasa!D18</f>
        <v>4.2039999999999997</v>
      </c>
      <c r="D28" s="618"/>
      <c r="E28" s="618">
        <f>Mombasa!E18</f>
        <v>4.1739999999999995</v>
      </c>
      <c r="F28" s="618"/>
      <c r="G28" s="618">
        <f>Mombasa!F18</f>
        <v>4.1739999999999995</v>
      </c>
      <c r="H28" s="573"/>
    </row>
    <row r="29" spans="1:10">
      <c r="A29" s="605"/>
      <c r="B29" s="620" t="s">
        <v>440</v>
      </c>
      <c r="C29" s="618">
        <f>C$9+C$20+C$22+C$23+C$28</f>
        <v>145.6947613997495</v>
      </c>
      <c r="D29" s="625"/>
      <c r="E29" s="626">
        <f>E$9+E$20+E$22+E$23+E$28</f>
        <v>148.15515254759296</v>
      </c>
      <c r="F29" s="625"/>
      <c r="G29" s="618">
        <f>G$9+G$20+G$22+G$23+G$28</f>
        <v>145.55983679661824</v>
      </c>
      <c r="H29" s="625"/>
    </row>
    <row r="30" spans="1:10">
      <c r="A30" s="605"/>
      <c r="B30" s="494" t="s">
        <v>444</v>
      </c>
      <c r="C30" s="606"/>
      <c r="D30" s="627" t="str">
        <f>CONCATENATE("+ ",ROUND((C$29*0.08),2))</f>
        <v>+ 11.66</v>
      </c>
      <c r="E30" s="628"/>
      <c r="F30" s="627" t="str">
        <f>CONCATENATE("+ ",ROUND((E$29*0.08),2))</f>
        <v>+ 11.85</v>
      </c>
      <c r="G30" s="606"/>
      <c r="H30" s="627" t="str">
        <f>CONCATENATE("+ ",ROUND((G$29*0.08),2))</f>
        <v>+ 11.64</v>
      </c>
    </row>
    <row r="31" spans="1:10">
      <c r="A31" s="605"/>
      <c r="B31" s="620" t="s">
        <v>436</v>
      </c>
      <c r="C31" s="606">
        <f>C$9+C$20+C$21+C$28</f>
        <v>145.6947613997495</v>
      </c>
      <c r="D31" s="629"/>
      <c r="E31" s="628">
        <f>E$9+E$20+E$21+E$28</f>
        <v>148.15515254759296</v>
      </c>
      <c r="F31" s="629"/>
      <c r="G31" s="606">
        <f>G$9+G$20+G$21+G$28</f>
        <v>145.55983679661824</v>
      </c>
      <c r="H31" s="629"/>
    </row>
    <row r="32" spans="1:10" ht="15" thickBot="1">
      <c r="A32" s="605"/>
      <c r="B32" s="630" t="s">
        <v>448</v>
      </c>
      <c r="C32" s="631" t="str">
        <f>D30</f>
        <v>+ 11.66</v>
      </c>
      <c r="D32" s="632"/>
      <c r="E32" s="631" t="str">
        <f>F30</f>
        <v>+ 11.85</v>
      </c>
      <c r="F32" s="632"/>
      <c r="G32" s="631" t="str">
        <f>H30</f>
        <v>+ 11.64</v>
      </c>
      <c r="H32" s="632"/>
    </row>
    <row r="33" spans="1:11" ht="15" thickBot="1">
      <c r="A33" s="605"/>
      <c r="B33" s="633" t="s">
        <v>418</v>
      </c>
      <c r="C33" s="634">
        <f>C31+C32</f>
        <v>157.35476139974949</v>
      </c>
      <c r="D33" s="634">
        <f>+D10+D30</f>
        <v>4.4290649032433258</v>
      </c>
      <c r="E33" s="635">
        <f>E31+E32</f>
        <v>160.00515254759296</v>
      </c>
      <c r="F33" s="634">
        <f>F10+F30</f>
        <v>3.6090574521374865</v>
      </c>
      <c r="G33" s="634">
        <f>G31+G32</f>
        <v>157.19983679661823</v>
      </c>
      <c r="H33" s="636">
        <f>H10+H30</f>
        <v>3.2077517448881281</v>
      </c>
      <c r="K33" s="162"/>
    </row>
    <row r="34" spans="1:11" ht="15" thickBot="1"/>
    <row r="35" spans="1:11" ht="15.75" customHeight="1" thickBot="1">
      <c r="B35" s="1064" t="s">
        <v>417</v>
      </c>
      <c r="C35" s="1065"/>
      <c r="D35" s="1065"/>
      <c r="E35" s="1065"/>
      <c r="F35" s="1065"/>
      <c r="G35" s="1065"/>
      <c r="H35" s="1066"/>
    </row>
    <row r="36" spans="1:11" ht="15" thickBot="1">
      <c r="B36" s="443"/>
      <c r="C36" s="1067" t="str">
        <f>C4</f>
        <v>Super petrol</v>
      </c>
      <c r="D36" s="1068"/>
      <c r="E36" s="1069" t="str">
        <f>E4</f>
        <v>Diesel</v>
      </c>
      <c r="F36" s="1069"/>
      <c r="G36" s="1067" t="str">
        <f>G4</f>
        <v>Kerosene</v>
      </c>
      <c r="H36" s="1068"/>
    </row>
    <row r="37" spans="1:11">
      <c r="A37" s="605" t="s">
        <v>428</v>
      </c>
      <c r="B37" s="503" t="s">
        <v>422</v>
      </c>
      <c r="C37" s="236">
        <f>C33</f>
        <v>157.35476139974949</v>
      </c>
      <c r="D37" s="573"/>
      <c r="E37" s="236">
        <f>E33</f>
        <v>160.00515254759296</v>
      </c>
      <c r="F37" s="573"/>
      <c r="G37" s="236">
        <f>G33</f>
        <v>157.19983679661823</v>
      </c>
      <c r="H37" s="629"/>
    </row>
    <row r="38" spans="1:11">
      <c r="A38" s="605"/>
      <c r="B38" s="637" t="s">
        <v>425</v>
      </c>
      <c r="C38" s="638"/>
      <c r="D38" s="609">
        <f>-C32</f>
        <v>-11.66</v>
      </c>
      <c r="E38" s="639"/>
      <c r="F38" s="609">
        <f>-E32</f>
        <v>-11.85</v>
      </c>
      <c r="G38" s="638"/>
      <c r="H38" s="609">
        <f>-G32</f>
        <v>-11.64</v>
      </c>
    </row>
    <row r="39" spans="1:11">
      <c r="A39" s="605" t="s">
        <v>429</v>
      </c>
      <c r="B39" s="613" t="s">
        <v>644</v>
      </c>
      <c r="C39" s="613"/>
      <c r="D39" s="943"/>
      <c r="E39" s="879"/>
      <c r="F39" s="943"/>
      <c r="G39" s="613"/>
      <c r="H39" s="943"/>
    </row>
    <row r="40" spans="1:11">
      <c r="A40" s="605"/>
      <c r="B40" s="948" t="s">
        <v>646</v>
      </c>
      <c r="C40" s="613">
        <f>Mwatate!G23</f>
        <v>2.2154004447994584</v>
      </c>
      <c r="D40" s="943"/>
      <c r="E40" s="880">
        <f>C40</f>
        <v>2.2154004447994584</v>
      </c>
      <c r="F40" s="943"/>
      <c r="G40" s="613">
        <f>E40</f>
        <v>2.2154004447994584</v>
      </c>
      <c r="H40" s="943"/>
    </row>
    <row r="41" spans="1:11" s="392" customFormat="1">
      <c r="A41" s="605"/>
      <c r="B41" s="640" t="s">
        <v>647</v>
      </c>
      <c r="C41" s="618">
        <f>SUM(C40)</f>
        <v>2.2154004447994584</v>
      </c>
      <c r="D41" s="944"/>
      <c r="E41" s="626">
        <f>SUM(E40)</f>
        <v>2.2154004447994584</v>
      </c>
      <c r="F41" s="949"/>
      <c r="G41" s="618">
        <f>SUM(G40)</f>
        <v>2.2154004447994584</v>
      </c>
      <c r="H41" s="944"/>
    </row>
    <row r="42" spans="1:11">
      <c r="A42" s="605" t="s">
        <v>642</v>
      </c>
      <c r="B42" s="503" t="s">
        <v>426</v>
      </c>
      <c r="C42" s="236">
        <f>Mombasa!D22</f>
        <v>8.19</v>
      </c>
      <c r="D42" s="573"/>
      <c r="E42" s="236">
        <f>Mombasa!E22</f>
        <v>8.19</v>
      </c>
      <c r="F42" s="573"/>
      <c r="G42" s="236">
        <f>Mombasa!F22</f>
        <v>8.19</v>
      </c>
      <c r="H42" s="629"/>
    </row>
    <row r="43" spans="1:11">
      <c r="B43" s="620" t="s">
        <v>447</v>
      </c>
      <c r="C43" s="613">
        <f>C$37+C$42+C$41</f>
        <v>167.76016184454895</v>
      </c>
      <c r="D43" s="610"/>
      <c r="E43" s="613">
        <f>E$37+E$42+E$41</f>
        <v>170.41055299239241</v>
      </c>
      <c r="F43" s="610"/>
      <c r="G43" s="236">
        <f>G$37+G$42+G$41</f>
        <v>167.60523724141768</v>
      </c>
      <c r="H43" s="573"/>
    </row>
    <row r="44" spans="1:11">
      <c r="B44" s="640" t="s">
        <v>458</v>
      </c>
      <c r="C44" s="641">
        <v>0</v>
      </c>
      <c r="D44" s="610"/>
      <c r="E44" s="641">
        <v>0</v>
      </c>
      <c r="F44" s="610"/>
      <c r="G44" s="642">
        <v>0</v>
      </c>
      <c r="H44" s="573"/>
    </row>
    <row r="45" spans="1:11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11">
      <c r="B46" s="620" t="s">
        <v>432</v>
      </c>
      <c r="C46" s="641">
        <f>C$43-C44-C45+D$38</f>
        <v>156.10016184454895</v>
      </c>
      <c r="D46" s="641"/>
      <c r="E46" s="641">
        <f>E$43-E44-E45+F$38</f>
        <v>158.56055299239242</v>
      </c>
      <c r="F46" s="641"/>
      <c r="G46" s="641">
        <f>G$43-G44-G45+H$38</f>
        <v>155.9652372414177</v>
      </c>
      <c r="H46" s="573"/>
    </row>
    <row r="47" spans="1:11">
      <c r="B47" s="503" t="s">
        <v>445</v>
      </c>
      <c r="C47" s="644"/>
      <c r="D47" s="627" t="str">
        <f>CONCATENATE("+ ",ROUND((C$46*0.08),2))</f>
        <v>+ 12.49</v>
      </c>
      <c r="E47" s="644"/>
      <c r="F47" s="627" t="str">
        <f>CONCATENATE("+ ",ROUND((E$46*0.08),2))</f>
        <v>+ 12.68</v>
      </c>
      <c r="G47" s="645"/>
      <c r="H47" s="627" t="str">
        <f>CONCATENATE("+ ",ROUND((G$46*0.08),2))</f>
        <v>+ 12.48</v>
      </c>
    </row>
    <row r="48" spans="1:11" ht="15" thickBot="1">
      <c r="B48" s="646" t="s">
        <v>449</v>
      </c>
      <c r="C48" s="702" t="str">
        <f>D47</f>
        <v>+ 12.49</v>
      </c>
      <c r="D48" s="632"/>
      <c r="E48" s="631" t="str">
        <f>F47</f>
        <v>+ 12.68</v>
      </c>
      <c r="F48" s="632"/>
      <c r="G48" s="631" t="str">
        <f>H47</f>
        <v>+ 12.48</v>
      </c>
      <c r="H48" s="632"/>
    </row>
    <row r="49" spans="1:8" s="392" customFormat="1" ht="15" thickBot="1">
      <c r="B49" s="647" t="s">
        <v>452</v>
      </c>
      <c r="C49" s="648">
        <f>C$46+C$48+C$44+C$45</f>
        <v>168.59016184454896</v>
      </c>
      <c r="D49" s="649">
        <f>D38+D47</f>
        <v>0.83000000000000007</v>
      </c>
      <c r="E49" s="698">
        <f>E$46+E$48+E$44+E$45</f>
        <v>171.24055299239242</v>
      </c>
      <c r="F49" s="649">
        <f>F38+F47</f>
        <v>0.83000000000000007</v>
      </c>
      <c r="G49" s="650">
        <f>G$46+G$48+G$44+G$45</f>
        <v>168.44523724141769</v>
      </c>
      <c r="H49" s="651">
        <f>H38+H47</f>
        <v>0.83999999999999986</v>
      </c>
    </row>
    <row r="50" spans="1:8" s="392" customFormat="1">
      <c r="B50" s="652"/>
      <c r="C50" s="653"/>
      <c r="D50" s="652"/>
      <c r="E50" s="653"/>
      <c r="F50" s="652"/>
      <c r="G50" s="653"/>
      <c r="H50" s="653"/>
    </row>
    <row r="51" spans="1:8" s="392" customFormat="1" ht="15" hidden="1" customHeight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8" ht="15" hidden="1" customHeight="1"/>
    <row r="53" spans="1:8" ht="15" hidden="1" customHeight="1">
      <c r="B53" s="656" t="s">
        <v>441</v>
      </c>
      <c r="C53" s="657">
        <f>Mombasa!D26</f>
        <v>154.61210483715561</v>
      </c>
      <c r="D53" s="162">
        <f>C9+C20+C21+C28+C42+0.16*C8+0.16*SUM(C24:C25)</f>
        <v>153.98809640775983</v>
      </c>
      <c r="E53" s="657">
        <f>'Breakdown for PMS, AGO &amp; DPK'!E26</f>
        <v>160.05845058085328</v>
      </c>
      <c r="G53" s="657">
        <f>'Breakdown for PMS, AGO &amp; DPK'!F26</f>
        <v>157.48855959511991</v>
      </c>
    </row>
    <row r="54" spans="1:8" ht="15.75" hidden="1" customHeight="1">
      <c r="B54" s="658" t="s">
        <v>442</v>
      </c>
      <c r="C54" s="659">
        <f>C49-C53</f>
        <v>13.978057007393346</v>
      </c>
      <c r="D54" s="162">
        <f>C53-D53</f>
        <v>0.62400842939578638</v>
      </c>
      <c r="E54" s="659">
        <f>E49-E53</f>
        <v>11.182102411539148</v>
      </c>
      <c r="G54" s="659">
        <f>G49-G53</f>
        <v>10.956677646297777</v>
      </c>
    </row>
    <row r="55" spans="1:8" ht="15.75" hidden="1" customHeight="1">
      <c r="B55" s="660" t="s">
        <v>443</v>
      </c>
      <c r="C55" s="661">
        <f>C54/C53</f>
        <v>9.0407261592587856E-2</v>
      </c>
      <c r="D55" s="662">
        <f>7-5.55+3.89-3.112</f>
        <v>2.2279999999999998</v>
      </c>
      <c r="E55" s="661">
        <f>E54/E53</f>
        <v>6.9862618130809198E-2</v>
      </c>
      <c r="F55" s="392"/>
      <c r="G55" s="661">
        <f>G54/G53</f>
        <v>6.9571260759929449E-2</v>
      </c>
    </row>
    <row r="56" spans="1:8" ht="15.75" hidden="1" customHeight="1">
      <c r="B56" s="663" t="s">
        <v>451</v>
      </c>
      <c r="C56" s="664">
        <f>D$33+D$49+-$D$10</f>
        <v>12.49</v>
      </c>
      <c r="E56" s="664">
        <f>F$33+F$49</f>
        <v>4.4390574521374866</v>
      </c>
      <c r="G56" s="664">
        <f>H$33+H$49</f>
        <v>4.0477517448881279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B2:K31"/>
  <sheetViews>
    <sheetView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.1796875" style="159" customWidth="1"/>
    <col min="9" max="16384" width="9.1796875" style="159"/>
  </cols>
  <sheetData>
    <row r="2" spans="2:11">
      <c r="C2" s="258" t="s">
        <v>678</v>
      </c>
      <c r="G2" s="160"/>
    </row>
    <row r="3" spans="2:11">
      <c r="C3" s="258" t="s">
        <v>27</v>
      </c>
      <c r="G3" s="160"/>
    </row>
    <row r="4" spans="2:11">
      <c r="C4" s="259" t="str">
        <f>Taveta!C4</f>
        <v>March 15 - April 14, 2023</v>
      </c>
      <c r="D4" s="258"/>
      <c r="E4" s="160"/>
      <c r="F4" s="160"/>
      <c r="G4" s="260"/>
    </row>
    <row r="5" spans="2:11">
      <c r="C5" s="160"/>
      <c r="D5" s="160"/>
      <c r="E5" s="160"/>
      <c r="F5" s="160"/>
      <c r="G5" s="261"/>
      <c r="H5" s="262"/>
      <c r="I5" s="262"/>
      <c r="J5" s="262"/>
      <c r="K5" s="262"/>
    </row>
    <row r="6" spans="2:11">
      <c r="C6" s="263"/>
      <c r="D6" s="264" t="s">
        <v>0</v>
      </c>
      <c r="E6" s="264" t="s">
        <v>1</v>
      </c>
      <c r="F6" s="264" t="s">
        <v>3</v>
      </c>
      <c r="G6" s="160"/>
      <c r="H6" s="262"/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Mombasa!G8</f>
        <v>1.1599999999999999</v>
      </c>
      <c r="H8" s="262" t="s">
        <v>42</v>
      </c>
      <c r="I8" s="262"/>
      <c r="J8" s="262"/>
      <c r="K8" s="262"/>
    </row>
    <row r="9" spans="2:11" ht="15" thickBot="1">
      <c r="C9" s="263" t="s">
        <v>20</v>
      </c>
      <c r="D9" s="195">
        <f>$G$10*$G$9*$G$8</f>
        <v>0</v>
      </c>
      <c r="E9" s="195">
        <f>$G$10*$G$9*$G$8</f>
        <v>0</v>
      </c>
      <c r="F9" s="195">
        <f>$G$10*$G$9*$G$8</f>
        <v>0</v>
      </c>
      <c r="G9" s="303">
        <v>0</v>
      </c>
      <c r="H9" s="262" t="s">
        <v>28</v>
      </c>
      <c r="I9" s="262"/>
      <c r="J9" s="262"/>
      <c r="K9" s="262"/>
    </row>
    <row r="10" spans="2:11" ht="15" thickBot="1">
      <c r="C10" s="263"/>
      <c r="D10" s="274"/>
      <c r="E10" s="274"/>
      <c r="F10" s="274"/>
      <c r="G10" s="304">
        <v>0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195">
        <f>$G$11*G12*$G$8</f>
        <v>0</v>
      </c>
      <c r="E11" s="195">
        <f>$G$11*G12*$G$8</f>
        <v>0</v>
      </c>
      <c r="F11" s="195">
        <f>$G$11*G12*$G$8</f>
        <v>0</v>
      </c>
      <c r="G11" s="305">
        <f>8.14*G14/1000</f>
        <v>0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1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0</v>
      </c>
      <c r="E13" s="277">
        <f>$G$13*E7</f>
        <v>0</v>
      </c>
      <c r="F13" s="277">
        <f>$G$13*F7</f>
        <v>0</v>
      </c>
      <c r="G13" s="278">
        <v>0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0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Mombasa!D18</f>
        <v>4.2039999999999997</v>
      </c>
      <c r="E17" s="280">
        <f>Mombasa!E18</f>
        <v>4.1739999999999995</v>
      </c>
      <c r="F17" s="280">
        <f>Mombasa!F18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145.79849820066073</v>
      </c>
      <c r="E19" s="282">
        <f>SUM(E7:E18)</f>
        <v>148.24726824540289</v>
      </c>
      <c r="F19" s="282">
        <f>SUM(F7:F18)</f>
        <v>145.67854679553881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Mombasa!D22</f>
        <v>8.19</v>
      </c>
      <c r="E21" s="168">
        <f>Mombasa!E22</f>
        <v>8.19</v>
      </c>
      <c r="F21" s="168">
        <f>Mombasa!F22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2.7504495900623764</v>
      </c>
      <c r="E23" s="283">
        <f t="shared" ref="E23:F23" si="0">$G$23*$G$8</f>
        <v>2.7504495900623764</v>
      </c>
      <c r="F23" s="283">
        <f t="shared" si="0"/>
        <v>2.7504495900623764</v>
      </c>
      <c r="G23" s="284">
        <f>'Delivery &gt;40km-Sept 2013'!E24*I23/1000</f>
        <v>2.3710772328123935</v>
      </c>
      <c r="H23" s="262" t="s">
        <v>126</v>
      </c>
      <c r="I23" s="259">
        <v>198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306">
        <f>D19+D21+D23</f>
        <v>156.7389477907231</v>
      </c>
      <c r="E25" s="306">
        <f>E19+E21+E23</f>
        <v>159.18771783546526</v>
      </c>
      <c r="F25" s="306">
        <f>F19+F21+F23</f>
        <v>156.61899638560118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700"/>
      <c r="E27" s="700"/>
      <c r="F27" s="700"/>
    </row>
    <row r="28" spans="3:11">
      <c r="D28" s="700"/>
      <c r="E28" s="700"/>
      <c r="F28" s="700"/>
    </row>
    <row r="29" spans="3:11">
      <c r="D29" s="700"/>
      <c r="E29" s="700"/>
      <c r="F29" s="700"/>
    </row>
    <row r="31" spans="3:11">
      <c r="E31" s="210"/>
    </row>
  </sheetData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2:K56"/>
  <sheetViews>
    <sheetView topLeftCell="A34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8" width="15.453125" style="159" customWidth="1"/>
    <col min="9" max="9" width="3.26953125" style="159" customWidth="1"/>
    <col min="10" max="10" width="14.7265625" style="159" customWidth="1"/>
    <col min="11" max="16384" width="9.1796875" style="159"/>
  </cols>
  <sheetData>
    <row r="2" spans="1:8" ht="15" thickBot="1"/>
    <row r="3" spans="1:8" ht="15" thickBot="1">
      <c r="B3" s="1067" t="s">
        <v>435</v>
      </c>
      <c r="C3" s="1069"/>
      <c r="D3" s="1069"/>
      <c r="E3" s="1069"/>
      <c r="F3" s="1069"/>
      <c r="G3" s="1069"/>
      <c r="H3" s="1068"/>
    </row>
    <row r="4" spans="1:8" ht="15" thickBot="1">
      <c r="B4" s="443" t="str">
        <f>Mombasa!C4</f>
        <v>March 15 - April 14, 2023</v>
      </c>
      <c r="C4" s="1070" t="s">
        <v>399</v>
      </c>
      <c r="D4" s="1071"/>
      <c r="E4" s="1070" t="s">
        <v>338</v>
      </c>
      <c r="F4" s="1070"/>
      <c r="G4" s="1072" t="s">
        <v>337</v>
      </c>
      <c r="H4" s="1071"/>
    </row>
    <row r="5" spans="1:8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8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8" ht="18" customHeight="1">
      <c r="B7" s="597" t="s">
        <v>400</v>
      </c>
      <c r="C7" s="598">
        <f>'PMS SUMMARY'!D45</f>
        <v>89.740844909393786</v>
      </c>
      <c r="D7" s="599"/>
      <c r="E7" s="849">
        <f>'AGO SUMMARY'!E47</f>
        <v>102.43801744706063</v>
      </c>
      <c r="F7" s="600"/>
      <c r="G7" s="849">
        <f>'DPK SUMMARY'!D44</f>
        <v>104.66296430977627</v>
      </c>
      <c r="H7" s="599"/>
    </row>
    <row r="8" spans="1:8" s="163" customFormat="1">
      <c r="B8" s="601" t="s">
        <v>420</v>
      </c>
      <c r="C8" s="602">
        <f>'PMS SUMMARY'!D44</f>
        <v>0.64584380006463771</v>
      </c>
      <c r="D8" s="603"/>
      <c r="E8" s="850">
        <f>'AGO SUMMARY'!E46</f>
        <v>0.57376440122077432</v>
      </c>
      <c r="F8" s="604"/>
      <c r="G8" s="850">
        <f>'DPK SUMMARY'!D43</f>
        <v>0.74013887912213949</v>
      </c>
      <c r="H8" s="603"/>
    </row>
    <row r="9" spans="1:8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8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8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8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8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8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8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v>0</v>
      </c>
      <c r="H15" s="610"/>
    </row>
    <row r="16" spans="1:8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10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  <c r="J17" s="162"/>
    </row>
    <row r="18" spans="1:10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10">
      <c r="A19" s="605"/>
      <c r="B19" s="614" t="s">
        <v>319</v>
      </c>
      <c r="C19" s="613">
        <f>'Breakdown for PMS, AGO &amp; DPK'!D23</f>
        <v>1.7335007701822511</v>
      </c>
      <c r="D19" s="610"/>
      <c r="E19" s="613">
        <f>'Breakdown for PMS, AGO &amp; DPK'!E23</f>
        <v>1.994329137255715</v>
      </c>
      <c r="F19" s="616"/>
      <c r="G19" s="613">
        <f>'Breakdown for PMS, AGO &amp; DPK'!F23</f>
        <v>2.0134755528419217</v>
      </c>
      <c r="H19" s="610"/>
    </row>
    <row r="20" spans="1:10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10">
      <c r="A21" s="605" t="s">
        <v>403</v>
      </c>
      <c r="B21" s="620" t="s">
        <v>421</v>
      </c>
      <c r="C21" s="618">
        <f>SUM(C$22:C$23)</f>
        <v>0.70445023980428223</v>
      </c>
      <c r="D21" s="573"/>
      <c r="E21" s="618">
        <f>SUM(E$22:E$23)</f>
        <v>0.43092702366521302</v>
      </c>
      <c r="F21" s="621"/>
      <c r="G21" s="618">
        <f>SUM(G$22:G$23)</f>
        <v>0.42324390866063455</v>
      </c>
      <c r="H21" s="573"/>
    </row>
    <row r="22" spans="1:10">
      <c r="A22" s="605"/>
      <c r="B22" s="614" t="s">
        <v>455</v>
      </c>
      <c r="C22" s="613">
        <f>SUM(C$24:C$25)</f>
        <v>0</v>
      </c>
      <c r="D22" s="573"/>
      <c r="E22" s="613">
        <f>SUM(E$24:E$25)</f>
        <v>0</v>
      </c>
      <c r="F22" s="621"/>
      <c r="G22" s="613">
        <f>SUM(G$24:G$25)</f>
        <v>0</v>
      </c>
      <c r="H22" s="573"/>
    </row>
    <row r="23" spans="1:10">
      <c r="A23" s="605"/>
      <c r="B23" s="614" t="s">
        <v>456</v>
      </c>
      <c r="C23" s="613">
        <f>C$26+C$27</f>
        <v>0.70445023980428223</v>
      </c>
      <c r="D23" s="573"/>
      <c r="E23" s="613">
        <f>E$26+E$27</f>
        <v>0.43092702366521302</v>
      </c>
      <c r="F23" s="621"/>
      <c r="G23" s="613">
        <f>G$26+G$27</f>
        <v>0.42324390866063455</v>
      </c>
      <c r="H23" s="573"/>
    </row>
    <row r="24" spans="1:10">
      <c r="A24" s="605"/>
      <c r="B24" s="622" t="s">
        <v>459</v>
      </c>
      <c r="C24" s="602">
        <f>Mombasa!D9</f>
        <v>0</v>
      </c>
      <c r="D24" s="623"/>
      <c r="E24" s="602">
        <f>Mombasa!E9</f>
        <v>0</v>
      </c>
      <c r="F24" s="624"/>
      <c r="G24" s="602">
        <f>Mombasa!F9</f>
        <v>0</v>
      </c>
      <c r="H24" s="573"/>
    </row>
    <row r="25" spans="1:10">
      <c r="A25" s="605"/>
      <c r="B25" s="622" t="s">
        <v>460</v>
      </c>
      <c r="C25" s="602">
        <f>Mombasa!D11</f>
        <v>0</v>
      </c>
      <c r="D25" s="623"/>
      <c r="E25" s="602">
        <f>Mombasa!E11</f>
        <v>0</v>
      </c>
      <c r="F25" s="624"/>
      <c r="G25" s="602">
        <f>Mombasa!F11</f>
        <v>0</v>
      </c>
      <c r="H25" s="573"/>
    </row>
    <row r="26" spans="1:10">
      <c r="A26" s="605"/>
      <c r="B26" s="622" t="s">
        <v>334</v>
      </c>
      <c r="C26" s="602">
        <f>Mombasa!D13</f>
        <v>0</v>
      </c>
      <c r="D26" s="623"/>
      <c r="E26" s="602">
        <f>Mombasa!E13</f>
        <v>0</v>
      </c>
      <c r="F26" s="624"/>
      <c r="G26" s="602">
        <f>Mombasa!F13</f>
        <v>0</v>
      </c>
      <c r="H26" s="573"/>
    </row>
    <row r="27" spans="1:10">
      <c r="A27" s="605"/>
      <c r="B27" s="622" t="s">
        <v>332</v>
      </c>
      <c r="C27" s="602">
        <f>Mombasa!D15</f>
        <v>0.70445023980428223</v>
      </c>
      <c r="D27" s="623"/>
      <c r="E27" s="602">
        <f>Mombasa!E15</f>
        <v>0.43092702366521302</v>
      </c>
      <c r="F27" s="624"/>
      <c r="G27" s="602">
        <f>Mombasa!F15</f>
        <v>0.42324390866063455</v>
      </c>
      <c r="H27" s="573"/>
    </row>
    <row r="28" spans="1:10">
      <c r="A28" s="605" t="s">
        <v>404</v>
      </c>
      <c r="B28" s="620" t="s">
        <v>427</v>
      </c>
      <c r="C28" s="618">
        <f>Mombasa!D18</f>
        <v>4.2039999999999997</v>
      </c>
      <c r="D28" s="618"/>
      <c r="E28" s="618">
        <f>Mombasa!E18</f>
        <v>4.1739999999999995</v>
      </c>
      <c r="F28" s="618"/>
      <c r="G28" s="618">
        <f>Mombasa!F18</f>
        <v>4.1739999999999995</v>
      </c>
      <c r="H28" s="573"/>
    </row>
    <row r="29" spans="1:10">
      <c r="A29" s="605"/>
      <c r="B29" s="620" t="s">
        <v>440</v>
      </c>
      <c r="C29" s="618">
        <f>C$9+C$20+C$22+C$23+C$28</f>
        <v>145.6947613997495</v>
      </c>
      <c r="D29" s="625"/>
      <c r="E29" s="626">
        <f>E$9+E$20+E$22+E$23+E$28</f>
        <v>148.15515254759296</v>
      </c>
      <c r="F29" s="625"/>
      <c r="G29" s="618">
        <f>G$9+G$20+G$22+G$23+G$28</f>
        <v>145.55983679661824</v>
      </c>
      <c r="H29" s="625"/>
    </row>
    <row r="30" spans="1:10">
      <c r="A30" s="605"/>
      <c r="B30" s="494" t="s">
        <v>444</v>
      </c>
      <c r="C30" s="606"/>
      <c r="D30" s="627" t="str">
        <f>CONCATENATE("+ ",ROUND((C$29*0.08),2))</f>
        <v>+ 11.66</v>
      </c>
      <c r="E30" s="628"/>
      <c r="F30" s="627" t="str">
        <f>CONCATENATE("+ ",ROUND((E$29*0.08),2))</f>
        <v>+ 11.85</v>
      </c>
      <c r="G30" s="606"/>
      <c r="H30" s="627" t="str">
        <f>CONCATENATE("+ ",ROUND((G$29*0.08),2))</f>
        <v>+ 11.64</v>
      </c>
    </row>
    <row r="31" spans="1:10">
      <c r="A31" s="605"/>
      <c r="B31" s="620" t="s">
        <v>436</v>
      </c>
      <c r="C31" s="606">
        <f>C$9+C$20+C$21+C$28</f>
        <v>145.6947613997495</v>
      </c>
      <c r="D31" s="629"/>
      <c r="E31" s="628">
        <f>E$9+E$20+E$21+E$28</f>
        <v>148.15515254759296</v>
      </c>
      <c r="F31" s="629"/>
      <c r="G31" s="606">
        <f>G$9+G$20+G$21+G$28</f>
        <v>145.55983679661824</v>
      </c>
      <c r="H31" s="629"/>
    </row>
    <row r="32" spans="1:10" ht="15" thickBot="1">
      <c r="A32" s="605"/>
      <c r="B32" s="630" t="s">
        <v>448</v>
      </c>
      <c r="C32" s="631" t="str">
        <f>D30</f>
        <v>+ 11.66</v>
      </c>
      <c r="D32" s="632"/>
      <c r="E32" s="631" t="str">
        <f>F30</f>
        <v>+ 11.85</v>
      </c>
      <c r="F32" s="632"/>
      <c r="G32" s="631" t="str">
        <f>H30</f>
        <v>+ 11.64</v>
      </c>
      <c r="H32" s="632"/>
    </row>
    <row r="33" spans="1:11" ht="15" thickBot="1">
      <c r="A33" s="605"/>
      <c r="B33" s="633" t="s">
        <v>418</v>
      </c>
      <c r="C33" s="634">
        <f>C31+C32</f>
        <v>157.35476139974949</v>
      </c>
      <c r="D33" s="634">
        <f>+D10+D30</f>
        <v>4.4290649032433258</v>
      </c>
      <c r="E33" s="635">
        <f>E31+E32</f>
        <v>160.00515254759296</v>
      </c>
      <c r="F33" s="634">
        <f>F10+F30</f>
        <v>3.6090574521374865</v>
      </c>
      <c r="G33" s="634">
        <f>G31+G32</f>
        <v>157.19983679661823</v>
      </c>
      <c r="H33" s="636">
        <f>H10+H30</f>
        <v>3.2077517448881281</v>
      </c>
      <c r="K33" s="162"/>
    </row>
    <row r="34" spans="1:11" ht="15" thickBot="1"/>
    <row r="35" spans="1:11" ht="15.75" customHeight="1" thickBot="1">
      <c r="B35" s="1064" t="s">
        <v>417</v>
      </c>
      <c r="C35" s="1065"/>
      <c r="D35" s="1065"/>
      <c r="E35" s="1065"/>
      <c r="F35" s="1065"/>
      <c r="G35" s="1065"/>
      <c r="H35" s="1066"/>
    </row>
    <row r="36" spans="1:11" ht="15" thickBot="1">
      <c r="B36" s="443"/>
      <c r="C36" s="1067" t="str">
        <f>C4</f>
        <v>Super petrol</v>
      </c>
      <c r="D36" s="1068"/>
      <c r="E36" s="1069" t="str">
        <f>E4</f>
        <v>Diesel</v>
      </c>
      <c r="F36" s="1069"/>
      <c r="G36" s="1067" t="str">
        <f>G4</f>
        <v>Kerosene</v>
      </c>
      <c r="H36" s="1068"/>
    </row>
    <row r="37" spans="1:11">
      <c r="A37" s="605" t="s">
        <v>428</v>
      </c>
      <c r="B37" s="503" t="s">
        <v>422</v>
      </c>
      <c r="C37" s="236">
        <f>C33</f>
        <v>157.35476139974949</v>
      </c>
      <c r="D37" s="573"/>
      <c r="E37" s="236">
        <f>E33</f>
        <v>160.00515254759296</v>
      </c>
      <c r="F37" s="573"/>
      <c r="G37" s="236">
        <f>G33</f>
        <v>157.19983679661823</v>
      </c>
      <c r="H37" s="629"/>
    </row>
    <row r="38" spans="1:11">
      <c r="A38" s="605"/>
      <c r="B38" s="637" t="s">
        <v>425</v>
      </c>
      <c r="C38" s="638"/>
      <c r="D38" s="609">
        <f>-C32</f>
        <v>-11.66</v>
      </c>
      <c r="E38" s="639"/>
      <c r="F38" s="609">
        <f>-E32</f>
        <v>-11.85</v>
      </c>
      <c r="G38" s="638"/>
      <c r="H38" s="609">
        <f>-G32</f>
        <v>-11.64</v>
      </c>
    </row>
    <row r="39" spans="1:11">
      <c r="A39" s="605" t="s">
        <v>429</v>
      </c>
      <c r="B39" s="613" t="s">
        <v>644</v>
      </c>
      <c r="C39" s="613"/>
      <c r="D39" s="943"/>
      <c r="E39" s="879"/>
      <c r="F39" s="943"/>
      <c r="G39" s="613"/>
      <c r="H39" s="943"/>
    </row>
    <row r="40" spans="1:11">
      <c r="A40" s="605"/>
      <c r="B40" s="948" t="s">
        <v>646</v>
      </c>
      <c r="C40" s="613">
        <f>Wundanyi!G23</f>
        <v>2.3710772328123935</v>
      </c>
      <c r="D40" s="943"/>
      <c r="E40" s="880">
        <f>C40</f>
        <v>2.3710772328123935</v>
      </c>
      <c r="F40" s="943"/>
      <c r="G40" s="613">
        <f>E40</f>
        <v>2.3710772328123935</v>
      </c>
      <c r="H40" s="943"/>
    </row>
    <row r="41" spans="1:11" s="392" customFormat="1">
      <c r="A41" s="605"/>
      <c r="B41" s="640" t="s">
        <v>647</v>
      </c>
      <c r="C41" s="618">
        <f>SUM(C40)</f>
        <v>2.3710772328123935</v>
      </c>
      <c r="D41" s="944"/>
      <c r="E41" s="626">
        <f>SUM(E40)</f>
        <v>2.3710772328123935</v>
      </c>
      <c r="F41" s="949"/>
      <c r="G41" s="618">
        <f>SUM(G40)</f>
        <v>2.3710772328123935</v>
      </c>
      <c r="H41" s="944"/>
    </row>
    <row r="42" spans="1:11">
      <c r="A42" s="605" t="s">
        <v>642</v>
      </c>
      <c r="B42" s="503" t="s">
        <v>426</v>
      </c>
      <c r="C42" s="236">
        <f>Mombasa!D22</f>
        <v>8.19</v>
      </c>
      <c r="D42" s="573"/>
      <c r="E42" s="236">
        <f>Mombasa!E22</f>
        <v>8.19</v>
      </c>
      <c r="F42" s="573"/>
      <c r="G42" s="236">
        <f>Mombasa!F22</f>
        <v>8.19</v>
      </c>
      <c r="H42" s="629"/>
    </row>
    <row r="43" spans="1:11">
      <c r="B43" s="620" t="s">
        <v>447</v>
      </c>
      <c r="C43" s="613">
        <f>C$37+C$42+C$41</f>
        <v>167.91583863256187</v>
      </c>
      <c r="D43" s="610"/>
      <c r="E43" s="613">
        <f>E$37+E$42+E$41</f>
        <v>170.56622978040534</v>
      </c>
      <c r="F43" s="610"/>
      <c r="G43" s="236">
        <f>G$37+G$42+G$41</f>
        <v>167.76091402943061</v>
      </c>
      <c r="H43" s="573"/>
    </row>
    <row r="44" spans="1:11">
      <c r="B44" s="640" t="s">
        <v>458</v>
      </c>
      <c r="C44" s="641">
        <v>0</v>
      </c>
      <c r="D44" s="610"/>
      <c r="E44" s="641">
        <v>0</v>
      </c>
      <c r="F44" s="610"/>
      <c r="G44" s="642">
        <v>0</v>
      </c>
      <c r="H44" s="573"/>
    </row>
    <row r="45" spans="1:11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11">
      <c r="B46" s="620" t="s">
        <v>432</v>
      </c>
      <c r="C46" s="641">
        <f>C$43-C44-C45+D$38</f>
        <v>156.25583863256188</v>
      </c>
      <c r="D46" s="641"/>
      <c r="E46" s="641">
        <f>E$43-E44-E45+F$38</f>
        <v>158.71622978040534</v>
      </c>
      <c r="F46" s="641"/>
      <c r="G46" s="641">
        <f>G$43-G44-G45+H$38</f>
        <v>156.12091402943059</v>
      </c>
      <c r="H46" s="573"/>
    </row>
    <row r="47" spans="1:11">
      <c r="B47" s="503" t="s">
        <v>445</v>
      </c>
      <c r="C47" s="644"/>
      <c r="D47" s="627" t="str">
        <f>CONCATENATE("+ ",ROUND((C$46*0.08),2))</f>
        <v>+ 12.5</v>
      </c>
      <c r="E47" s="644"/>
      <c r="F47" s="627" t="str">
        <f>CONCATENATE("+ ",ROUND((E$46*0.08),2))</f>
        <v>+ 12.7</v>
      </c>
      <c r="G47" s="645"/>
      <c r="H47" s="627" t="str">
        <f>CONCATENATE("+ ",ROUND((G$46*0.08),2))</f>
        <v>+ 12.49</v>
      </c>
    </row>
    <row r="48" spans="1:11" ht="15" thickBot="1">
      <c r="B48" s="646" t="s">
        <v>449</v>
      </c>
      <c r="C48" s="702" t="str">
        <f>D47</f>
        <v>+ 12.5</v>
      </c>
      <c r="D48" s="632"/>
      <c r="E48" s="631" t="str">
        <f>F47</f>
        <v>+ 12.7</v>
      </c>
      <c r="F48" s="632"/>
      <c r="G48" s="631" t="str">
        <f>H47</f>
        <v>+ 12.49</v>
      </c>
      <c r="H48" s="632"/>
    </row>
    <row r="49" spans="1:8" s="392" customFormat="1" ht="15" thickBot="1">
      <c r="B49" s="647" t="s">
        <v>452</v>
      </c>
      <c r="C49" s="648">
        <f>C$46+C$48+C$44+C$45</f>
        <v>168.75583863256188</v>
      </c>
      <c r="D49" s="649">
        <f>D38+D47</f>
        <v>0.83999999999999986</v>
      </c>
      <c r="E49" s="698">
        <f>E$46+E$48+E$44+E$45</f>
        <v>171.41622978040533</v>
      </c>
      <c r="F49" s="649">
        <f>F38+F47</f>
        <v>0.84999999999999964</v>
      </c>
      <c r="G49" s="650">
        <f>G$46+G$48+G$44+G$45</f>
        <v>168.6109140294306</v>
      </c>
      <c r="H49" s="651">
        <f>H38+H47</f>
        <v>0.84999999999999964</v>
      </c>
    </row>
    <row r="50" spans="1:8" s="392" customFormat="1">
      <c r="B50" s="652"/>
      <c r="C50" s="653"/>
      <c r="D50" s="652"/>
      <c r="E50" s="653"/>
      <c r="F50" s="652"/>
      <c r="G50" s="653"/>
      <c r="H50" s="653"/>
    </row>
    <row r="51" spans="1:8" s="392" customFormat="1" ht="15" hidden="1" customHeight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8" ht="15" hidden="1" customHeight="1"/>
    <row r="53" spans="1:8" ht="15" hidden="1" customHeight="1">
      <c r="B53" s="656" t="s">
        <v>441</v>
      </c>
      <c r="C53" s="657">
        <f>Mombasa!D26</f>
        <v>154.61210483715561</v>
      </c>
      <c r="D53" s="162">
        <f>C9+C20+C21+C28+C42+0.16*C8+0.16*SUM(C24:C25)</f>
        <v>153.98809640775983</v>
      </c>
      <c r="E53" s="657">
        <f>'Breakdown for PMS, AGO &amp; DPK'!E26</f>
        <v>160.05845058085328</v>
      </c>
      <c r="G53" s="657">
        <f>'Breakdown for PMS, AGO &amp; DPK'!F26</f>
        <v>157.48855959511991</v>
      </c>
    </row>
    <row r="54" spans="1:8" ht="15.75" hidden="1" customHeight="1">
      <c r="B54" s="658" t="s">
        <v>442</v>
      </c>
      <c r="C54" s="659">
        <f>C49-C53</f>
        <v>14.143733795406263</v>
      </c>
      <c r="D54" s="162">
        <f>C53-D53</f>
        <v>0.62400842939578638</v>
      </c>
      <c r="E54" s="659">
        <f>E49-E53</f>
        <v>11.357779199552056</v>
      </c>
      <c r="G54" s="659">
        <f>G49-G53</f>
        <v>11.122354434310694</v>
      </c>
    </row>
    <row r="55" spans="1:8" ht="15.75" hidden="1" customHeight="1">
      <c r="B55" s="660" t="s">
        <v>443</v>
      </c>
      <c r="C55" s="661">
        <f>C54/C53</f>
        <v>9.1478825738146932E-2</v>
      </c>
      <c r="D55" s="662">
        <f>7-5.55+3.89-3.112</f>
        <v>2.2279999999999998</v>
      </c>
      <c r="E55" s="661">
        <f>E54/E53</f>
        <v>7.0960197092590813E-2</v>
      </c>
      <c r="F55" s="392"/>
      <c r="G55" s="661">
        <f>G54/G53</f>
        <v>7.0623253288395318E-2</v>
      </c>
    </row>
    <row r="56" spans="1:8" ht="15.75" hidden="1" customHeight="1">
      <c r="B56" s="663" t="s">
        <v>451</v>
      </c>
      <c r="C56" s="664">
        <f>D$33+D$49+-$D$10</f>
        <v>12.5</v>
      </c>
      <c r="E56" s="664">
        <f>F$33+F$49</f>
        <v>4.4590574521374862</v>
      </c>
      <c r="G56" s="664">
        <f>H$33+H$49</f>
        <v>4.0577517448881277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B2:K31"/>
  <sheetViews>
    <sheetView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.1796875" style="159" customWidth="1"/>
    <col min="9" max="16384" width="9.1796875" style="159"/>
  </cols>
  <sheetData>
    <row r="2" spans="2:11">
      <c r="C2" s="258" t="s">
        <v>757</v>
      </c>
      <c r="G2" s="160"/>
    </row>
    <row r="3" spans="2:11">
      <c r="C3" s="258" t="s">
        <v>27</v>
      </c>
      <c r="G3" s="160"/>
    </row>
    <row r="4" spans="2:11">
      <c r="C4" s="259" t="str">
        <f>Taveta!C4</f>
        <v>March 15 - April 14, 2023</v>
      </c>
      <c r="D4" s="258"/>
      <c r="E4" s="160"/>
      <c r="F4" s="160"/>
      <c r="G4" s="260"/>
    </row>
    <row r="5" spans="2:11">
      <c r="C5" s="160"/>
      <c r="D5" s="160"/>
      <c r="E5" s="160"/>
      <c r="F5" s="160"/>
      <c r="G5" s="261"/>
      <c r="H5" s="262"/>
      <c r="I5" s="262"/>
      <c r="J5" s="262"/>
      <c r="K5" s="262"/>
    </row>
    <row r="6" spans="2:11">
      <c r="C6" s="263"/>
      <c r="D6" s="264" t="s">
        <v>0</v>
      </c>
      <c r="E6" s="264" t="s">
        <v>1</v>
      </c>
      <c r="F6" s="264" t="s">
        <v>3</v>
      </c>
      <c r="G6" s="160"/>
      <c r="H6" s="262"/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Mombasa!G8</f>
        <v>1.1599999999999999</v>
      </c>
      <c r="H8" s="262" t="s">
        <v>42</v>
      </c>
      <c r="I8" s="262"/>
      <c r="J8" s="262"/>
      <c r="K8" s="262"/>
    </row>
    <row r="9" spans="2:11" ht="15" thickBot="1">
      <c r="C9" s="263" t="s">
        <v>20</v>
      </c>
      <c r="D9" s="195">
        <f>$G$10*$G$9*$G$8</f>
        <v>0</v>
      </c>
      <c r="E9" s="195">
        <f>$G$10*$G$9*$G$8</f>
        <v>0</v>
      </c>
      <c r="F9" s="195">
        <f>$G$10*$G$9*$G$8</f>
        <v>0</v>
      </c>
      <c r="G9" s="303">
        <v>0</v>
      </c>
      <c r="H9" s="262" t="s">
        <v>28</v>
      </c>
      <c r="I9" s="262"/>
      <c r="J9" s="262"/>
      <c r="K9" s="262"/>
    </row>
    <row r="10" spans="2:11" ht="15" thickBot="1">
      <c r="C10" s="263"/>
      <c r="D10" s="274"/>
      <c r="E10" s="274"/>
      <c r="F10" s="274"/>
      <c r="G10" s="304">
        <v>0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195">
        <f>$G$11*G12*$G$8</f>
        <v>0</v>
      </c>
      <c r="E11" s="195">
        <f>$G$11*G12*$G$8</f>
        <v>0</v>
      </c>
      <c r="F11" s="195">
        <f>$G$11*G12*$G$8</f>
        <v>0</v>
      </c>
      <c r="G11" s="305">
        <f>8.14*G14/1000</f>
        <v>0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1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0</v>
      </c>
      <c r="E13" s="277">
        <f>$G$13*E7</f>
        <v>0</v>
      </c>
      <c r="F13" s="277">
        <f>$G$13*F7</f>
        <v>0</v>
      </c>
      <c r="G13" s="278">
        <v>0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0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Mombasa!D18</f>
        <v>4.2039999999999997</v>
      </c>
      <c r="E17" s="280">
        <f>Mombasa!E18</f>
        <v>4.1739999999999995</v>
      </c>
      <c r="F17" s="280">
        <f>Mombasa!F18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145.79849820066073</v>
      </c>
      <c r="E19" s="282">
        <f>SUM(E7:E18)</f>
        <v>148.24726824540289</v>
      </c>
      <c r="F19" s="282">
        <f>SUM(F7:F18)</f>
        <v>145.67854679553881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Mombasa!D22</f>
        <v>8.19</v>
      </c>
      <c r="E21" s="168">
        <f>Mombasa!E22</f>
        <v>8.19</v>
      </c>
      <c r="F21" s="168">
        <f>Mombasa!F22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0.79179609410886587</v>
      </c>
      <c r="E23" s="283">
        <f t="shared" ref="E23:F23" si="0">$G$23*$G$8</f>
        <v>0.79179609410886587</v>
      </c>
      <c r="F23" s="283">
        <f t="shared" si="0"/>
        <v>0.79179609410886587</v>
      </c>
      <c r="G23" s="284">
        <f>'Delivery &gt;40km-Sept 2013'!E24*I23/1000</f>
        <v>0.68258283974902234</v>
      </c>
      <c r="H23" s="262" t="s">
        <v>126</v>
      </c>
      <c r="I23" s="259">
        <v>57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306">
        <f>D19+D21+D23</f>
        <v>154.78029429476959</v>
      </c>
      <c r="E25" s="306">
        <f>E19+E21+E23</f>
        <v>157.22906433951175</v>
      </c>
      <c r="F25" s="306">
        <f>F19+F21+F23</f>
        <v>154.66034288964767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700"/>
      <c r="E27" s="700"/>
      <c r="F27" s="700"/>
    </row>
    <row r="28" spans="3:11">
      <c r="D28" s="700"/>
      <c r="E28" s="700"/>
      <c r="F28" s="700"/>
    </row>
    <row r="29" spans="3:11">
      <c r="D29" s="700"/>
      <c r="E29" s="700"/>
      <c r="F29" s="700"/>
    </row>
    <row r="31" spans="3:11">
      <c r="E31" s="210"/>
    </row>
  </sheetData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2:K56"/>
  <sheetViews>
    <sheetView topLeftCell="A34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8" width="15.453125" style="159" customWidth="1"/>
    <col min="9" max="9" width="3.26953125" style="159" customWidth="1"/>
    <col min="10" max="10" width="14.7265625" style="159" customWidth="1"/>
    <col min="11" max="16384" width="9.1796875" style="159"/>
  </cols>
  <sheetData>
    <row r="2" spans="1:8" ht="15" thickBot="1"/>
    <row r="3" spans="1:8" ht="15" thickBot="1">
      <c r="B3" s="1067" t="s">
        <v>435</v>
      </c>
      <c r="C3" s="1069"/>
      <c r="D3" s="1069"/>
      <c r="E3" s="1069"/>
      <c r="F3" s="1069"/>
      <c r="G3" s="1069"/>
      <c r="H3" s="1068"/>
    </row>
    <row r="4" spans="1:8" ht="15" thickBot="1">
      <c r="B4" s="443" t="str">
        <f>Mombasa!C4</f>
        <v>March 15 - April 14, 2023</v>
      </c>
      <c r="C4" s="1070" t="s">
        <v>399</v>
      </c>
      <c r="D4" s="1071"/>
      <c r="E4" s="1070" t="s">
        <v>338</v>
      </c>
      <c r="F4" s="1070"/>
      <c r="G4" s="1072" t="s">
        <v>337</v>
      </c>
      <c r="H4" s="1071"/>
    </row>
    <row r="5" spans="1:8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8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8" ht="18" customHeight="1">
      <c r="B7" s="597" t="s">
        <v>400</v>
      </c>
      <c r="C7" s="598">
        <f>'PMS SUMMARY'!D45</f>
        <v>89.740844909393786</v>
      </c>
      <c r="D7" s="599"/>
      <c r="E7" s="849">
        <f>'AGO SUMMARY'!E47</f>
        <v>102.43801744706063</v>
      </c>
      <c r="F7" s="600"/>
      <c r="G7" s="849">
        <f>'DPK SUMMARY'!D44</f>
        <v>104.66296430977627</v>
      </c>
      <c r="H7" s="599"/>
    </row>
    <row r="8" spans="1:8" s="163" customFormat="1">
      <c r="B8" s="601" t="s">
        <v>420</v>
      </c>
      <c r="C8" s="602">
        <f>'PMS SUMMARY'!D44</f>
        <v>0.64584380006463771</v>
      </c>
      <c r="D8" s="603"/>
      <c r="E8" s="850">
        <f>'AGO SUMMARY'!E46</f>
        <v>0.57376440122077432</v>
      </c>
      <c r="F8" s="604"/>
      <c r="G8" s="850">
        <f>'DPK SUMMARY'!D43</f>
        <v>0.74013887912213949</v>
      </c>
      <c r="H8" s="603"/>
    </row>
    <row r="9" spans="1:8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8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8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8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8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8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8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v>0</v>
      </c>
      <c r="H15" s="610"/>
    </row>
    <row r="16" spans="1:8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10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  <c r="J17" s="162"/>
    </row>
    <row r="18" spans="1:10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10">
      <c r="A19" s="605"/>
      <c r="B19" s="614" t="s">
        <v>319</v>
      </c>
      <c r="C19" s="613">
        <f>'Breakdown for PMS, AGO &amp; DPK'!D23</f>
        <v>1.7335007701822511</v>
      </c>
      <c r="D19" s="610"/>
      <c r="E19" s="613">
        <f>'Breakdown for PMS, AGO &amp; DPK'!E23</f>
        <v>1.994329137255715</v>
      </c>
      <c r="F19" s="616"/>
      <c r="G19" s="613">
        <f>'Breakdown for PMS, AGO &amp; DPK'!F23</f>
        <v>2.0134755528419217</v>
      </c>
      <c r="H19" s="610"/>
    </row>
    <row r="20" spans="1:10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10">
      <c r="A21" s="605" t="s">
        <v>403</v>
      </c>
      <c r="B21" s="620" t="s">
        <v>421</v>
      </c>
      <c r="C21" s="618">
        <f>SUM(C$22:C$23)</f>
        <v>0.70445023980428223</v>
      </c>
      <c r="D21" s="573"/>
      <c r="E21" s="618">
        <f>SUM(E$22:E$23)</f>
        <v>0.43092702366521302</v>
      </c>
      <c r="F21" s="621"/>
      <c r="G21" s="618">
        <f>SUM(G$22:G$23)</f>
        <v>0.42324390866063455</v>
      </c>
      <c r="H21" s="573"/>
    </row>
    <row r="22" spans="1:10">
      <c r="A22" s="605"/>
      <c r="B22" s="614" t="s">
        <v>455</v>
      </c>
      <c r="C22" s="613">
        <f>SUM(C$24:C$25)</f>
        <v>0</v>
      </c>
      <c r="D22" s="573"/>
      <c r="E22" s="613">
        <f>SUM(E$24:E$25)</f>
        <v>0</v>
      </c>
      <c r="F22" s="621"/>
      <c r="G22" s="613">
        <f>SUM(G$24:G$25)</f>
        <v>0</v>
      </c>
      <c r="H22" s="573"/>
    </row>
    <row r="23" spans="1:10">
      <c r="A23" s="605"/>
      <c r="B23" s="614" t="s">
        <v>456</v>
      </c>
      <c r="C23" s="613">
        <f>C$26+C$27</f>
        <v>0.70445023980428223</v>
      </c>
      <c r="D23" s="573"/>
      <c r="E23" s="613">
        <f>E$26+E$27</f>
        <v>0.43092702366521302</v>
      </c>
      <c r="F23" s="621"/>
      <c r="G23" s="613">
        <f>G$26+G$27</f>
        <v>0.42324390866063455</v>
      </c>
      <c r="H23" s="573"/>
    </row>
    <row r="24" spans="1:10">
      <c r="A24" s="605"/>
      <c r="B24" s="622" t="s">
        <v>459</v>
      </c>
      <c r="C24" s="602">
        <f>Mombasa!D9</f>
        <v>0</v>
      </c>
      <c r="D24" s="623"/>
      <c r="E24" s="602">
        <f>Mombasa!E9</f>
        <v>0</v>
      </c>
      <c r="F24" s="624"/>
      <c r="G24" s="602">
        <f>Mombasa!F9</f>
        <v>0</v>
      </c>
      <c r="H24" s="573"/>
    </row>
    <row r="25" spans="1:10">
      <c r="A25" s="605"/>
      <c r="B25" s="622" t="s">
        <v>460</v>
      </c>
      <c r="C25" s="602">
        <f>Mombasa!D11</f>
        <v>0</v>
      </c>
      <c r="D25" s="623"/>
      <c r="E25" s="602">
        <f>Mombasa!E11</f>
        <v>0</v>
      </c>
      <c r="F25" s="624"/>
      <c r="G25" s="602">
        <f>Mombasa!F11</f>
        <v>0</v>
      </c>
      <c r="H25" s="573"/>
    </row>
    <row r="26" spans="1:10">
      <c r="A26" s="605"/>
      <c r="B26" s="622" t="s">
        <v>334</v>
      </c>
      <c r="C26" s="602">
        <f>Mombasa!D13</f>
        <v>0</v>
      </c>
      <c r="D26" s="623"/>
      <c r="E26" s="602">
        <f>Mombasa!E13</f>
        <v>0</v>
      </c>
      <c r="F26" s="624"/>
      <c r="G26" s="602">
        <f>Mombasa!F13</f>
        <v>0</v>
      </c>
      <c r="H26" s="573"/>
    </row>
    <row r="27" spans="1:10">
      <c r="A27" s="605"/>
      <c r="B27" s="622" t="s">
        <v>332</v>
      </c>
      <c r="C27" s="602">
        <f>Mombasa!D15</f>
        <v>0.70445023980428223</v>
      </c>
      <c r="D27" s="623"/>
      <c r="E27" s="602">
        <f>Mombasa!E15</f>
        <v>0.43092702366521302</v>
      </c>
      <c r="F27" s="624"/>
      <c r="G27" s="602">
        <f>Mombasa!F15</f>
        <v>0.42324390866063455</v>
      </c>
      <c r="H27" s="573"/>
    </row>
    <row r="28" spans="1:10">
      <c r="A28" s="605" t="s">
        <v>404</v>
      </c>
      <c r="B28" s="620" t="s">
        <v>427</v>
      </c>
      <c r="C28" s="618">
        <f>Mombasa!D18</f>
        <v>4.2039999999999997</v>
      </c>
      <c r="D28" s="618"/>
      <c r="E28" s="618">
        <f>Mombasa!E18</f>
        <v>4.1739999999999995</v>
      </c>
      <c r="F28" s="618"/>
      <c r="G28" s="618">
        <f>Mombasa!F18</f>
        <v>4.1739999999999995</v>
      </c>
      <c r="H28" s="573"/>
    </row>
    <row r="29" spans="1:10">
      <c r="A29" s="605"/>
      <c r="B29" s="620" t="s">
        <v>440</v>
      </c>
      <c r="C29" s="618">
        <f>C$9+C$20+C$22+C$23+C$28</f>
        <v>145.6947613997495</v>
      </c>
      <c r="D29" s="625"/>
      <c r="E29" s="626">
        <f>E$9+E$20+E$22+E$23+E$28</f>
        <v>148.15515254759296</v>
      </c>
      <c r="F29" s="625"/>
      <c r="G29" s="618">
        <f>G$9+G$20+G$22+G$23+G$28</f>
        <v>145.55983679661824</v>
      </c>
      <c r="H29" s="625"/>
    </row>
    <row r="30" spans="1:10">
      <c r="A30" s="605"/>
      <c r="B30" s="494" t="s">
        <v>444</v>
      </c>
      <c r="C30" s="606"/>
      <c r="D30" s="627" t="str">
        <f>CONCATENATE("+ ",ROUND((C$29*0.08),2))</f>
        <v>+ 11.66</v>
      </c>
      <c r="E30" s="628"/>
      <c r="F30" s="627" t="str">
        <f>CONCATENATE("+ ",ROUND((E$29*0.08),2))</f>
        <v>+ 11.85</v>
      </c>
      <c r="G30" s="606"/>
      <c r="H30" s="627" t="str">
        <f>CONCATENATE("+ ",ROUND((G$29*0.08),2))</f>
        <v>+ 11.64</v>
      </c>
    </row>
    <row r="31" spans="1:10">
      <c r="A31" s="605"/>
      <c r="B31" s="620" t="s">
        <v>436</v>
      </c>
      <c r="C31" s="606">
        <f>C$9+C$20+C$21+C$28</f>
        <v>145.6947613997495</v>
      </c>
      <c r="D31" s="629"/>
      <c r="E31" s="628">
        <f>E$9+E$20+E$21+E$28</f>
        <v>148.15515254759296</v>
      </c>
      <c r="F31" s="629"/>
      <c r="G31" s="606">
        <f>G$9+G$20+G$21+G$28</f>
        <v>145.55983679661824</v>
      </c>
      <c r="H31" s="629"/>
    </row>
    <row r="32" spans="1:10" ht="15" thickBot="1">
      <c r="A32" s="605"/>
      <c r="B32" s="630" t="s">
        <v>448</v>
      </c>
      <c r="C32" s="631" t="str">
        <f>D30</f>
        <v>+ 11.66</v>
      </c>
      <c r="D32" s="632"/>
      <c r="E32" s="631" t="str">
        <f>F30</f>
        <v>+ 11.85</v>
      </c>
      <c r="F32" s="632"/>
      <c r="G32" s="631" t="str">
        <f>H30</f>
        <v>+ 11.64</v>
      </c>
      <c r="H32" s="632"/>
    </row>
    <row r="33" spans="1:11" ht="15" thickBot="1">
      <c r="A33" s="605"/>
      <c r="B33" s="633" t="s">
        <v>418</v>
      </c>
      <c r="C33" s="634">
        <f>C31+C32</f>
        <v>157.35476139974949</v>
      </c>
      <c r="D33" s="634">
        <f>+D10+D30</f>
        <v>4.4290649032433258</v>
      </c>
      <c r="E33" s="635">
        <f>E31+E32</f>
        <v>160.00515254759296</v>
      </c>
      <c r="F33" s="634">
        <f>F10+F30</f>
        <v>3.6090574521374865</v>
      </c>
      <c r="G33" s="634">
        <f>G31+G32</f>
        <v>157.19983679661823</v>
      </c>
      <c r="H33" s="636">
        <f>H10+H30</f>
        <v>3.2077517448881281</v>
      </c>
      <c r="K33" s="162"/>
    </row>
    <row r="34" spans="1:11" ht="15" thickBot="1"/>
    <row r="35" spans="1:11" ht="15.75" customHeight="1" thickBot="1">
      <c r="B35" s="1064" t="s">
        <v>417</v>
      </c>
      <c r="C35" s="1065"/>
      <c r="D35" s="1065"/>
      <c r="E35" s="1065"/>
      <c r="F35" s="1065"/>
      <c r="G35" s="1065"/>
      <c r="H35" s="1066"/>
    </row>
    <row r="36" spans="1:11" ht="15" thickBot="1">
      <c r="B36" s="443"/>
      <c r="C36" s="1067" t="str">
        <f>C4</f>
        <v>Super petrol</v>
      </c>
      <c r="D36" s="1068"/>
      <c r="E36" s="1069" t="str">
        <f>E4</f>
        <v>Diesel</v>
      </c>
      <c r="F36" s="1069"/>
      <c r="G36" s="1067" t="str">
        <f>G4</f>
        <v>Kerosene</v>
      </c>
      <c r="H36" s="1068"/>
    </row>
    <row r="37" spans="1:11">
      <c r="A37" s="605" t="s">
        <v>428</v>
      </c>
      <c r="B37" s="503" t="s">
        <v>422</v>
      </c>
      <c r="C37" s="236">
        <f>C33</f>
        <v>157.35476139974949</v>
      </c>
      <c r="D37" s="573"/>
      <c r="E37" s="236">
        <f>E33</f>
        <v>160.00515254759296</v>
      </c>
      <c r="F37" s="573"/>
      <c r="G37" s="236">
        <f>G33</f>
        <v>157.19983679661823</v>
      </c>
      <c r="H37" s="629"/>
    </row>
    <row r="38" spans="1:11">
      <c r="A38" s="605"/>
      <c r="B38" s="637" t="s">
        <v>425</v>
      </c>
      <c r="C38" s="638"/>
      <c r="D38" s="609">
        <f>-C32</f>
        <v>-11.66</v>
      </c>
      <c r="E38" s="639"/>
      <c r="F38" s="609">
        <f>-E32</f>
        <v>-11.85</v>
      </c>
      <c r="G38" s="638"/>
      <c r="H38" s="609">
        <f>-G32</f>
        <v>-11.64</v>
      </c>
    </row>
    <row r="39" spans="1:11">
      <c r="A39" s="605" t="s">
        <v>429</v>
      </c>
      <c r="B39" s="613" t="s">
        <v>644</v>
      </c>
      <c r="C39" s="613"/>
      <c r="D39" s="943"/>
      <c r="E39" s="879"/>
      <c r="F39" s="943"/>
      <c r="G39" s="613"/>
      <c r="H39" s="943"/>
    </row>
    <row r="40" spans="1:11">
      <c r="A40" s="605"/>
      <c r="B40" s="948" t="s">
        <v>646</v>
      </c>
      <c r="C40" s="613">
        <f>Kaloleni!G23</f>
        <v>0.68258283974902234</v>
      </c>
      <c r="D40" s="943"/>
      <c r="E40" s="880">
        <f>C40</f>
        <v>0.68258283974902234</v>
      </c>
      <c r="F40" s="943"/>
      <c r="G40" s="613">
        <f>E40</f>
        <v>0.68258283974902234</v>
      </c>
      <c r="H40" s="943"/>
    </row>
    <row r="41" spans="1:11" s="392" customFormat="1">
      <c r="A41" s="605"/>
      <c r="B41" s="640" t="s">
        <v>647</v>
      </c>
      <c r="C41" s="618">
        <f>SUM(C40)</f>
        <v>0.68258283974902234</v>
      </c>
      <c r="D41" s="944"/>
      <c r="E41" s="626">
        <f>SUM(E40)</f>
        <v>0.68258283974902234</v>
      </c>
      <c r="F41" s="949"/>
      <c r="G41" s="618">
        <f>SUM(G40)</f>
        <v>0.68258283974902234</v>
      </c>
      <c r="H41" s="944"/>
    </row>
    <row r="42" spans="1:11">
      <c r="A42" s="605" t="s">
        <v>642</v>
      </c>
      <c r="B42" s="503" t="s">
        <v>426</v>
      </c>
      <c r="C42" s="236">
        <f>Mombasa!D22</f>
        <v>8.19</v>
      </c>
      <c r="D42" s="573"/>
      <c r="E42" s="236">
        <f>Mombasa!E22</f>
        <v>8.19</v>
      </c>
      <c r="F42" s="573"/>
      <c r="G42" s="236">
        <f>Mombasa!F22</f>
        <v>8.19</v>
      </c>
      <c r="H42" s="629"/>
    </row>
    <row r="43" spans="1:11">
      <c r="B43" s="620" t="s">
        <v>447</v>
      </c>
      <c r="C43" s="613">
        <f>C$37+C$42+C$41</f>
        <v>166.22734423949851</v>
      </c>
      <c r="D43" s="610"/>
      <c r="E43" s="613">
        <f>E$37+E$42+E$41</f>
        <v>168.87773538734197</v>
      </c>
      <c r="F43" s="610"/>
      <c r="G43" s="236">
        <f>G$37+G$42+G$41</f>
        <v>166.07241963636724</v>
      </c>
      <c r="H43" s="573"/>
    </row>
    <row r="44" spans="1:11">
      <c r="B44" s="640" t="s">
        <v>458</v>
      </c>
      <c r="C44" s="641">
        <v>0</v>
      </c>
      <c r="D44" s="610"/>
      <c r="E44" s="641">
        <v>0</v>
      </c>
      <c r="F44" s="610"/>
      <c r="G44" s="642">
        <v>0</v>
      </c>
      <c r="H44" s="573"/>
    </row>
    <row r="45" spans="1:11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11">
      <c r="B46" s="620" t="s">
        <v>432</v>
      </c>
      <c r="C46" s="641">
        <f>C$43-C44-C45+D$38</f>
        <v>154.56734423949851</v>
      </c>
      <c r="D46" s="641"/>
      <c r="E46" s="641">
        <f>E$43-E44-E45+F$38</f>
        <v>157.02773538734198</v>
      </c>
      <c r="F46" s="641"/>
      <c r="G46" s="641">
        <f>G$43-G44-G45+H$38</f>
        <v>154.43241963636723</v>
      </c>
      <c r="H46" s="573"/>
    </row>
    <row r="47" spans="1:11">
      <c r="B47" s="503" t="s">
        <v>445</v>
      </c>
      <c r="C47" s="644"/>
      <c r="D47" s="627" t="str">
        <f>CONCATENATE("+ ",ROUND((C$46*0.08),2))</f>
        <v>+ 12.37</v>
      </c>
      <c r="E47" s="644"/>
      <c r="F47" s="627" t="str">
        <f>CONCATENATE("+ ",ROUND((E$46*0.08),2))</f>
        <v>+ 12.56</v>
      </c>
      <c r="G47" s="645"/>
      <c r="H47" s="627" t="str">
        <f>CONCATENATE("+ ",ROUND((G$46*0.08),2))</f>
        <v>+ 12.35</v>
      </c>
    </row>
    <row r="48" spans="1:11" ht="15" thickBot="1">
      <c r="B48" s="646" t="s">
        <v>449</v>
      </c>
      <c r="C48" s="702" t="str">
        <f>D47</f>
        <v>+ 12.37</v>
      </c>
      <c r="D48" s="632"/>
      <c r="E48" s="631" t="str">
        <f>F47</f>
        <v>+ 12.56</v>
      </c>
      <c r="F48" s="632"/>
      <c r="G48" s="631" t="str">
        <f>H47</f>
        <v>+ 12.35</v>
      </c>
      <c r="H48" s="632"/>
    </row>
    <row r="49" spans="1:8" s="392" customFormat="1" ht="15" thickBot="1">
      <c r="B49" s="647" t="s">
        <v>452</v>
      </c>
      <c r="C49" s="648">
        <f>C$46+C$48+C$44+C$45</f>
        <v>166.93734423949851</v>
      </c>
      <c r="D49" s="649">
        <f>D38+D47</f>
        <v>0.70999999999999908</v>
      </c>
      <c r="E49" s="698">
        <f>E$46+E$48+E$44+E$45</f>
        <v>169.58773538734198</v>
      </c>
      <c r="F49" s="649">
        <f>F38+F47</f>
        <v>0.71000000000000085</v>
      </c>
      <c r="G49" s="650">
        <f>G$46+G$48+G$44+G$45</f>
        <v>166.78241963636722</v>
      </c>
      <c r="H49" s="651">
        <f>H38+H47</f>
        <v>0.70999999999999908</v>
      </c>
    </row>
    <row r="50" spans="1:8" s="392" customFormat="1">
      <c r="B50" s="652"/>
      <c r="C50" s="653"/>
      <c r="D50" s="652"/>
      <c r="E50" s="653"/>
      <c r="F50" s="652"/>
      <c r="G50" s="653"/>
      <c r="H50" s="653"/>
    </row>
    <row r="51" spans="1:8" s="392" customFormat="1" ht="15" hidden="1" customHeight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8" ht="15" hidden="1" customHeight="1"/>
    <row r="53" spans="1:8" ht="15" hidden="1" customHeight="1">
      <c r="B53" s="656" t="s">
        <v>441</v>
      </c>
      <c r="C53" s="657">
        <f>Mombasa!D26</f>
        <v>154.61210483715561</v>
      </c>
      <c r="D53" s="162">
        <f>C9+C20+C21+C28+C42+0.16*C8+0.16*SUM(C24:C25)</f>
        <v>153.98809640775983</v>
      </c>
      <c r="E53" s="657">
        <f>'Breakdown for PMS, AGO &amp; DPK'!E26</f>
        <v>160.05845058085328</v>
      </c>
      <c r="G53" s="657">
        <f>'Breakdown for PMS, AGO &amp; DPK'!F26</f>
        <v>157.48855959511991</v>
      </c>
    </row>
    <row r="54" spans="1:8" ht="15.75" hidden="1" customHeight="1">
      <c r="B54" s="658" t="s">
        <v>442</v>
      </c>
      <c r="C54" s="659">
        <f>C49-C53</f>
        <v>12.325239402342902</v>
      </c>
      <c r="D54" s="162">
        <f>C53-D53</f>
        <v>0.62400842939578638</v>
      </c>
      <c r="E54" s="659">
        <f>E49-E53</f>
        <v>9.5292848064887039</v>
      </c>
      <c r="G54" s="659">
        <f>G49-G53</f>
        <v>9.2938600412473136</v>
      </c>
    </row>
    <row r="55" spans="1:8" ht="15.75" hidden="1" customHeight="1">
      <c r="B55" s="660" t="s">
        <v>443</v>
      </c>
      <c r="C55" s="661">
        <f>C54/C53</f>
        <v>7.9717169721765291E-2</v>
      </c>
      <c r="D55" s="662">
        <f>7-5.55+3.89-3.112</f>
        <v>2.2279999999999998</v>
      </c>
      <c r="E55" s="661">
        <f>E54/E53</f>
        <v>5.9536280476956138E-2</v>
      </c>
      <c r="F55" s="392"/>
      <c r="G55" s="661">
        <f>G54/G53</f>
        <v>5.9012921733111727E-2</v>
      </c>
    </row>
    <row r="56" spans="1:8" ht="15.75" hidden="1" customHeight="1">
      <c r="B56" s="663" t="s">
        <v>451</v>
      </c>
      <c r="C56" s="664">
        <f>D$33+D$49+-$D$10</f>
        <v>12.37</v>
      </c>
      <c r="E56" s="664">
        <f>F$33+F$49</f>
        <v>4.3190574521374874</v>
      </c>
      <c r="G56" s="664">
        <f>H$33+H$49</f>
        <v>3.9177517448881272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B2:K31"/>
  <sheetViews>
    <sheetView topLeftCell="A11" workbookViewId="0">
      <selection activeCell="D21" sqref="D21:F21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.1796875" style="159" customWidth="1"/>
    <col min="9" max="16384" width="9.1796875" style="159"/>
  </cols>
  <sheetData>
    <row r="2" spans="2:11">
      <c r="C2" s="258" t="s">
        <v>756</v>
      </c>
      <c r="G2" s="160"/>
    </row>
    <row r="3" spans="2:11">
      <c r="C3" s="258" t="s">
        <v>27</v>
      </c>
      <c r="G3" s="160"/>
    </row>
    <row r="4" spans="2:11">
      <c r="C4" s="259" t="str">
        <f>Taveta!C4</f>
        <v>March 15 - April 14, 2023</v>
      </c>
      <c r="D4" s="258"/>
      <c r="E4" s="160"/>
      <c r="F4" s="160"/>
      <c r="G4" s="260"/>
    </row>
    <row r="5" spans="2:11">
      <c r="C5" s="160"/>
      <c r="D5" s="160"/>
      <c r="E5" s="160"/>
      <c r="F5" s="160"/>
      <c r="G5" s="261"/>
      <c r="H5" s="262"/>
      <c r="I5" s="262"/>
      <c r="J5" s="262"/>
      <c r="K5" s="262"/>
    </row>
    <row r="6" spans="2:11">
      <c r="C6" s="263"/>
      <c r="D6" s="264" t="s">
        <v>0</v>
      </c>
      <c r="E6" s="264" t="s">
        <v>1</v>
      </c>
      <c r="F6" s="264" t="s">
        <v>3</v>
      </c>
      <c r="G6" s="160"/>
      <c r="H6" s="262"/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Mombasa!G8</f>
        <v>1.1599999999999999</v>
      </c>
      <c r="H8" s="262" t="s">
        <v>42</v>
      </c>
      <c r="I8" s="262"/>
      <c r="J8" s="262"/>
      <c r="K8" s="262"/>
    </row>
    <row r="9" spans="2:11" ht="15" thickBot="1">
      <c r="C9" s="263" t="s">
        <v>20</v>
      </c>
      <c r="D9" s="195">
        <f>$G$10*$G$9*$G$8</f>
        <v>0</v>
      </c>
      <c r="E9" s="195">
        <f>$G$10*$G$9*$G$8</f>
        <v>0</v>
      </c>
      <c r="F9" s="195">
        <f>$G$10*$G$9*$G$8</f>
        <v>0</v>
      </c>
      <c r="G9" s="303">
        <v>0</v>
      </c>
      <c r="H9" s="262" t="s">
        <v>28</v>
      </c>
      <c r="I9" s="262"/>
      <c r="J9" s="262"/>
      <c r="K9" s="262"/>
    </row>
    <row r="10" spans="2:11" ht="15" thickBot="1">
      <c r="C10" s="263"/>
      <c r="D10" s="274"/>
      <c r="E10" s="274"/>
      <c r="F10" s="274"/>
      <c r="G10" s="304">
        <v>0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195">
        <f>$G$11*G12*$G$8</f>
        <v>0</v>
      </c>
      <c r="E11" s="195">
        <f>$G$11*G12*$G$8</f>
        <v>0</v>
      </c>
      <c r="F11" s="195">
        <f>$G$11*G12*$G$8</f>
        <v>0</v>
      </c>
      <c r="G11" s="305">
        <f>8.14*G14/1000</f>
        <v>0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1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0</v>
      </c>
      <c r="E13" s="277">
        <f>$G$13*E7</f>
        <v>0</v>
      </c>
      <c r="F13" s="277">
        <f>$G$13*F7</f>
        <v>0</v>
      </c>
      <c r="G13" s="278">
        <v>0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0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Mombasa!D18</f>
        <v>4.2039999999999997</v>
      </c>
      <c r="E17" s="280">
        <f>Mombasa!E18</f>
        <v>4.1739999999999995</v>
      </c>
      <c r="F17" s="280">
        <f>Mombasa!F18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145.79849820066073</v>
      </c>
      <c r="E19" s="282">
        <f>SUM(E7:E18)</f>
        <v>148.24726824540289</v>
      </c>
      <c r="F19" s="282">
        <f>SUM(F7:F18)</f>
        <v>145.67854679553881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Mombasa!D22</f>
        <v>8.19</v>
      </c>
      <c r="E21" s="168">
        <f>Mombasa!E22</f>
        <v>8.19</v>
      </c>
      <c r="F21" s="168">
        <f>Mombasa!F22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2.3198236441435194</v>
      </c>
      <c r="E23" s="283">
        <f t="shared" ref="E23:F23" si="0">$G$23*$G$8</f>
        <v>2.3198236441435194</v>
      </c>
      <c r="F23" s="283">
        <f t="shared" si="0"/>
        <v>2.3198236441435194</v>
      </c>
      <c r="G23" s="284">
        <f>'Delivery &gt;40km-Sept 2013'!E24*I23/1000</f>
        <v>1.999847969089241</v>
      </c>
      <c r="H23" s="262" t="s">
        <v>126</v>
      </c>
      <c r="I23" s="259">
        <v>167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306">
        <f>D19+D21+D23</f>
        <v>156.30832184480425</v>
      </c>
      <c r="E25" s="306">
        <f>E19+E21+E23</f>
        <v>158.75709188954642</v>
      </c>
      <c r="F25" s="306">
        <f>F19+F21+F23</f>
        <v>156.18837043968233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700"/>
      <c r="E27" s="700"/>
      <c r="F27" s="700"/>
    </row>
    <row r="28" spans="3:11">
      <c r="D28" s="700"/>
      <c r="E28" s="700"/>
      <c r="F28" s="700"/>
    </row>
    <row r="29" spans="3:11">
      <c r="D29" s="700"/>
      <c r="E29" s="700"/>
      <c r="F29" s="700"/>
    </row>
    <row r="31" spans="3:11">
      <c r="E31" s="210"/>
    </row>
  </sheetData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2:K56"/>
  <sheetViews>
    <sheetView workbookViewId="0">
      <selection activeCell="C25" sqref="C25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8" width="15.453125" style="159" customWidth="1"/>
    <col min="9" max="9" width="3.26953125" style="159" customWidth="1"/>
    <col min="10" max="10" width="14.7265625" style="159" customWidth="1"/>
    <col min="11" max="16384" width="9.1796875" style="159"/>
  </cols>
  <sheetData>
    <row r="2" spans="1:8" ht="15" thickBot="1"/>
    <row r="3" spans="1:8" ht="15" thickBot="1">
      <c r="B3" s="1067" t="s">
        <v>435</v>
      </c>
      <c r="C3" s="1069"/>
      <c r="D3" s="1069"/>
      <c r="E3" s="1069"/>
      <c r="F3" s="1069"/>
      <c r="G3" s="1069"/>
      <c r="H3" s="1068"/>
    </row>
    <row r="4" spans="1:8" ht="15" thickBot="1">
      <c r="B4" s="443" t="str">
        <f>Mombasa!C4</f>
        <v>March 15 - April 14, 2023</v>
      </c>
      <c r="C4" s="1070" t="s">
        <v>399</v>
      </c>
      <c r="D4" s="1071"/>
      <c r="E4" s="1070" t="s">
        <v>338</v>
      </c>
      <c r="F4" s="1070"/>
      <c r="G4" s="1072" t="s">
        <v>337</v>
      </c>
      <c r="H4" s="1071"/>
    </row>
    <row r="5" spans="1:8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8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8" ht="18" customHeight="1">
      <c r="B7" s="597" t="s">
        <v>400</v>
      </c>
      <c r="C7" s="598">
        <f>'PMS SUMMARY'!D45</f>
        <v>89.740844909393786</v>
      </c>
      <c r="D7" s="599"/>
      <c r="E7" s="849">
        <f>'AGO SUMMARY'!E47</f>
        <v>102.43801744706063</v>
      </c>
      <c r="F7" s="600"/>
      <c r="G7" s="849">
        <f>'DPK SUMMARY'!D44</f>
        <v>104.66296430977627</v>
      </c>
      <c r="H7" s="599"/>
    </row>
    <row r="8" spans="1:8" s="163" customFormat="1">
      <c r="B8" s="601" t="s">
        <v>420</v>
      </c>
      <c r="C8" s="602">
        <f>'PMS SUMMARY'!D44</f>
        <v>0.64584380006463771</v>
      </c>
      <c r="D8" s="603"/>
      <c r="E8" s="850">
        <f>'AGO SUMMARY'!E46</f>
        <v>0.57376440122077432</v>
      </c>
      <c r="F8" s="604"/>
      <c r="G8" s="850">
        <f>'DPK SUMMARY'!D43</f>
        <v>0.74013887912213949</v>
      </c>
      <c r="H8" s="603"/>
    </row>
    <row r="9" spans="1:8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8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8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8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8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8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8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v>0</v>
      </c>
      <c r="H15" s="610"/>
    </row>
    <row r="16" spans="1:8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10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  <c r="J17" s="162"/>
    </row>
    <row r="18" spans="1:10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10">
      <c r="A19" s="605"/>
      <c r="B19" s="614" t="s">
        <v>319</v>
      </c>
      <c r="C19" s="613">
        <f>'Breakdown for PMS, AGO &amp; DPK'!D23</f>
        <v>1.7335007701822511</v>
      </c>
      <c r="D19" s="610"/>
      <c r="E19" s="613">
        <f>'Breakdown for PMS, AGO &amp; DPK'!E23</f>
        <v>1.994329137255715</v>
      </c>
      <c r="F19" s="616"/>
      <c r="G19" s="613">
        <f>'Breakdown for PMS, AGO &amp; DPK'!F23</f>
        <v>2.0134755528419217</v>
      </c>
      <c r="H19" s="610"/>
    </row>
    <row r="20" spans="1:10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10">
      <c r="A21" s="605" t="s">
        <v>403</v>
      </c>
      <c r="B21" s="620" t="s">
        <v>421</v>
      </c>
      <c r="C21" s="618">
        <f>SUM(C$22:C$23)</f>
        <v>0.70445023980428223</v>
      </c>
      <c r="D21" s="573"/>
      <c r="E21" s="618">
        <f>SUM(E$22:E$23)</f>
        <v>0.43092702366521302</v>
      </c>
      <c r="F21" s="621"/>
      <c r="G21" s="618">
        <f>SUM(G$22:G$23)</f>
        <v>0.42324390866063455</v>
      </c>
      <c r="H21" s="573"/>
    </row>
    <row r="22" spans="1:10">
      <c r="A22" s="605"/>
      <c r="B22" s="614" t="s">
        <v>455</v>
      </c>
      <c r="C22" s="613">
        <f>SUM(C$24:C$25)</f>
        <v>0</v>
      </c>
      <c r="D22" s="573"/>
      <c r="E22" s="613">
        <f>SUM(E$24:E$25)</f>
        <v>0</v>
      </c>
      <c r="F22" s="621"/>
      <c r="G22" s="613">
        <f>SUM(G$24:G$25)</f>
        <v>0</v>
      </c>
      <c r="H22" s="573"/>
    </row>
    <row r="23" spans="1:10">
      <c r="A23" s="605"/>
      <c r="B23" s="614" t="s">
        <v>456</v>
      </c>
      <c r="C23" s="613">
        <f>C$26+C$27</f>
        <v>0.70445023980428223</v>
      </c>
      <c r="D23" s="573"/>
      <c r="E23" s="613">
        <f>E$26+E$27</f>
        <v>0.43092702366521302</v>
      </c>
      <c r="F23" s="621"/>
      <c r="G23" s="613">
        <f>G$26+G$27</f>
        <v>0.42324390866063455</v>
      </c>
      <c r="H23" s="573"/>
    </row>
    <row r="24" spans="1:10">
      <c r="A24" s="605"/>
      <c r="B24" s="622" t="s">
        <v>459</v>
      </c>
      <c r="C24" s="602">
        <f>Mombasa!D9</f>
        <v>0</v>
      </c>
      <c r="D24" s="623"/>
      <c r="E24" s="602">
        <f>Mombasa!E9</f>
        <v>0</v>
      </c>
      <c r="F24" s="624"/>
      <c r="G24" s="602">
        <f>Mombasa!F9</f>
        <v>0</v>
      </c>
      <c r="H24" s="573"/>
    </row>
    <row r="25" spans="1:10">
      <c r="A25" s="605"/>
      <c r="B25" s="622" t="s">
        <v>460</v>
      </c>
      <c r="C25" s="602">
        <f>Mombasa!D11</f>
        <v>0</v>
      </c>
      <c r="D25" s="623"/>
      <c r="E25" s="602">
        <f>Mombasa!E11</f>
        <v>0</v>
      </c>
      <c r="F25" s="624"/>
      <c r="G25" s="602">
        <f>Mombasa!F11</f>
        <v>0</v>
      </c>
      <c r="H25" s="573"/>
    </row>
    <row r="26" spans="1:10">
      <c r="A26" s="605"/>
      <c r="B26" s="622" t="s">
        <v>334</v>
      </c>
      <c r="C26" s="602">
        <f>Mombasa!D13</f>
        <v>0</v>
      </c>
      <c r="D26" s="623"/>
      <c r="E26" s="602">
        <f>Mombasa!E13</f>
        <v>0</v>
      </c>
      <c r="F26" s="624"/>
      <c r="G26" s="602">
        <f>Mombasa!F13</f>
        <v>0</v>
      </c>
      <c r="H26" s="573"/>
    </row>
    <row r="27" spans="1:10">
      <c r="A27" s="605"/>
      <c r="B27" s="622" t="s">
        <v>332</v>
      </c>
      <c r="C27" s="602">
        <f>Mombasa!D15</f>
        <v>0.70445023980428223</v>
      </c>
      <c r="D27" s="623"/>
      <c r="E27" s="602">
        <f>Mombasa!E15</f>
        <v>0.43092702366521302</v>
      </c>
      <c r="F27" s="624"/>
      <c r="G27" s="602">
        <f>Mombasa!F15</f>
        <v>0.42324390866063455</v>
      </c>
      <c r="H27" s="573"/>
    </row>
    <row r="28" spans="1:10">
      <c r="A28" s="605" t="s">
        <v>404</v>
      </c>
      <c r="B28" s="620" t="s">
        <v>427</v>
      </c>
      <c r="C28" s="618">
        <f>Mombasa!D18</f>
        <v>4.2039999999999997</v>
      </c>
      <c r="D28" s="618"/>
      <c r="E28" s="618">
        <f>Mombasa!E18</f>
        <v>4.1739999999999995</v>
      </c>
      <c r="F28" s="618"/>
      <c r="G28" s="618">
        <f>Mombasa!F18</f>
        <v>4.1739999999999995</v>
      </c>
      <c r="H28" s="573"/>
    </row>
    <row r="29" spans="1:10">
      <c r="A29" s="605"/>
      <c r="B29" s="620" t="s">
        <v>440</v>
      </c>
      <c r="C29" s="618">
        <f>C$9+C$20+C$22+C$23+C$28</f>
        <v>145.6947613997495</v>
      </c>
      <c r="D29" s="625"/>
      <c r="E29" s="626">
        <f>E$9+E$20+E$22+E$23+E$28</f>
        <v>148.15515254759296</v>
      </c>
      <c r="F29" s="625"/>
      <c r="G29" s="618">
        <f>G$9+G$20+G$22+G$23+G$28</f>
        <v>145.55983679661824</v>
      </c>
      <c r="H29" s="625"/>
    </row>
    <row r="30" spans="1:10">
      <c r="A30" s="605"/>
      <c r="B30" s="494" t="s">
        <v>444</v>
      </c>
      <c r="C30" s="606"/>
      <c r="D30" s="627" t="str">
        <f>CONCATENATE("+ ",ROUND((C$29*0.08),2))</f>
        <v>+ 11.66</v>
      </c>
      <c r="E30" s="628"/>
      <c r="F30" s="627" t="str">
        <f>CONCATENATE("+ ",ROUND((E$29*0.08),2))</f>
        <v>+ 11.85</v>
      </c>
      <c r="G30" s="606"/>
      <c r="H30" s="627" t="str">
        <f>CONCATENATE("+ ",ROUND((G$29*0.08),2))</f>
        <v>+ 11.64</v>
      </c>
    </row>
    <row r="31" spans="1:10">
      <c r="A31" s="605"/>
      <c r="B31" s="620" t="s">
        <v>436</v>
      </c>
      <c r="C31" s="606">
        <f>C$9+C$20+C$21+C$28</f>
        <v>145.6947613997495</v>
      </c>
      <c r="D31" s="629"/>
      <c r="E31" s="628">
        <f>E$9+E$20+E$21+E$28</f>
        <v>148.15515254759296</v>
      </c>
      <c r="F31" s="629"/>
      <c r="G31" s="606">
        <f>G$9+G$20+G$21+G$28</f>
        <v>145.55983679661824</v>
      </c>
      <c r="H31" s="629"/>
    </row>
    <row r="32" spans="1:10" ht="15" thickBot="1">
      <c r="A32" s="605"/>
      <c r="B32" s="630" t="s">
        <v>448</v>
      </c>
      <c r="C32" s="631" t="str">
        <f>D30</f>
        <v>+ 11.66</v>
      </c>
      <c r="D32" s="632"/>
      <c r="E32" s="631" t="str">
        <f>F30</f>
        <v>+ 11.85</v>
      </c>
      <c r="F32" s="632"/>
      <c r="G32" s="631" t="str">
        <f>H30</f>
        <v>+ 11.64</v>
      </c>
      <c r="H32" s="632"/>
    </row>
    <row r="33" spans="1:11" ht="15" thickBot="1">
      <c r="A33" s="605"/>
      <c r="B33" s="633" t="s">
        <v>418</v>
      </c>
      <c r="C33" s="634">
        <f>C31+C32</f>
        <v>157.35476139974949</v>
      </c>
      <c r="D33" s="634">
        <f>+D10+D30</f>
        <v>4.4290649032433258</v>
      </c>
      <c r="E33" s="635">
        <f>E31+E32</f>
        <v>160.00515254759296</v>
      </c>
      <c r="F33" s="634">
        <f>F10+F30</f>
        <v>3.6090574521374865</v>
      </c>
      <c r="G33" s="634">
        <f>G31+G32</f>
        <v>157.19983679661823</v>
      </c>
      <c r="H33" s="636">
        <f>H10+H30</f>
        <v>3.2077517448881281</v>
      </c>
      <c r="K33" s="162"/>
    </row>
    <row r="34" spans="1:11" ht="15" thickBot="1"/>
    <row r="35" spans="1:11" ht="15.75" customHeight="1" thickBot="1">
      <c r="B35" s="1064" t="s">
        <v>417</v>
      </c>
      <c r="C35" s="1065"/>
      <c r="D35" s="1065"/>
      <c r="E35" s="1065"/>
      <c r="F35" s="1065"/>
      <c r="G35" s="1065"/>
      <c r="H35" s="1066"/>
    </row>
    <row r="36" spans="1:11" ht="15" thickBot="1">
      <c r="B36" s="443"/>
      <c r="C36" s="1067" t="str">
        <f>C4</f>
        <v>Super petrol</v>
      </c>
      <c r="D36" s="1068"/>
      <c r="E36" s="1069" t="str">
        <f>E4</f>
        <v>Diesel</v>
      </c>
      <c r="F36" s="1069"/>
      <c r="G36" s="1067" t="str">
        <f>G4</f>
        <v>Kerosene</v>
      </c>
      <c r="H36" s="1068"/>
    </row>
    <row r="37" spans="1:11">
      <c r="A37" s="605" t="s">
        <v>428</v>
      </c>
      <c r="B37" s="503" t="s">
        <v>422</v>
      </c>
      <c r="C37" s="236">
        <f>C33</f>
        <v>157.35476139974949</v>
      </c>
      <c r="D37" s="573"/>
      <c r="E37" s="236">
        <f>E33</f>
        <v>160.00515254759296</v>
      </c>
      <c r="F37" s="573"/>
      <c r="G37" s="236">
        <f>G33</f>
        <v>157.19983679661823</v>
      </c>
      <c r="H37" s="629"/>
    </row>
    <row r="38" spans="1:11">
      <c r="A38" s="605"/>
      <c r="B38" s="637" t="s">
        <v>425</v>
      </c>
      <c r="C38" s="638"/>
      <c r="D38" s="609">
        <f>-C32</f>
        <v>-11.66</v>
      </c>
      <c r="E38" s="639"/>
      <c r="F38" s="609">
        <f>-E32</f>
        <v>-11.85</v>
      </c>
      <c r="G38" s="638"/>
      <c r="H38" s="609">
        <f>-G32</f>
        <v>-11.64</v>
      </c>
    </row>
    <row r="39" spans="1:11">
      <c r="A39" s="605" t="s">
        <v>429</v>
      </c>
      <c r="B39" s="613" t="s">
        <v>644</v>
      </c>
      <c r="C39" s="613"/>
      <c r="D39" s="943"/>
      <c r="E39" s="879"/>
      <c r="F39" s="943"/>
      <c r="G39" s="613"/>
      <c r="H39" s="943"/>
    </row>
    <row r="40" spans="1:11">
      <c r="A40" s="605"/>
      <c r="B40" s="948" t="s">
        <v>646</v>
      </c>
      <c r="C40" s="613">
        <f>Marereni!G23</f>
        <v>1.999847969089241</v>
      </c>
      <c r="D40" s="943"/>
      <c r="E40" s="880">
        <f>C40</f>
        <v>1.999847969089241</v>
      </c>
      <c r="F40" s="943"/>
      <c r="G40" s="613">
        <f>E40</f>
        <v>1.999847969089241</v>
      </c>
      <c r="H40" s="943"/>
    </row>
    <row r="41" spans="1:11" s="392" customFormat="1">
      <c r="A41" s="605"/>
      <c r="B41" s="640" t="s">
        <v>647</v>
      </c>
      <c r="C41" s="618">
        <f>SUM(C40)</f>
        <v>1.999847969089241</v>
      </c>
      <c r="D41" s="944"/>
      <c r="E41" s="626">
        <f>SUM(E40)</f>
        <v>1.999847969089241</v>
      </c>
      <c r="F41" s="949"/>
      <c r="G41" s="618">
        <f>SUM(G40)</f>
        <v>1.999847969089241</v>
      </c>
      <c r="H41" s="944"/>
    </row>
    <row r="42" spans="1:11">
      <c r="A42" s="605" t="s">
        <v>642</v>
      </c>
      <c r="B42" s="503" t="s">
        <v>426</v>
      </c>
      <c r="C42" s="236">
        <f>Mombasa!D22</f>
        <v>8.19</v>
      </c>
      <c r="D42" s="573"/>
      <c r="E42" s="236">
        <f>Mombasa!E22</f>
        <v>8.19</v>
      </c>
      <c r="F42" s="573"/>
      <c r="G42" s="236">
        <f>Mombasa!F22</f>
        <v>8.19</v>
      </c>
      <c r="H42" s="629"/>
    </row>
    <row r="43" spans="1:11">
      <c r="B43" s="620" t="s">
        <v>447</v>
      </c>
      <c r="C43" s="613">
        <f>C$37+C$42+C$41</f>
        <v>167.54460936883874</v>
      </c>
      <c r="D43" s="610"/>
      <c r="E43" s="613">
        <f>E$37+E$42+E$41</f>
        <v>170.1950005166822</v>
      </c>
      <c r="F43" s="610"/>
      <c r="G43" s="236">
        <f>G$37+G$42+G$41</f>
        <v>167.38968476570747</v>
      </c>
      <c r="H43" s="573"/>
    </row>
    <row r="44" spans="1:11">
      <c r="B44" s="640" t="s">
        <v>458</v>
      </c>
      <c r="C44" s="641">
        <v>0</v>
      </c>
      <c r="D44" s="610"/>
      <c r="E44" s="641">
        <v>0</v>
      </c>
      <c r="F44" s="610"/>
      <c r="G44" s="642">
        <v>0</v>
      </c>
      <c r="H44" s="573"/>
    </row>
    <row r="45" spans="1:11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11">
      <c r="B46" s="620" t="s">
        <v>432</v>
      </c>
      <c r="C46" s="641">
        <f>C$43-C44-C45+D$38</f>
        <v>155.88460936883874</v>
      </c>
      <c r="D46" s="641"/>
      <c r="E46" s="641">
        <f>E$43-E44-E45+F$38</f>
        <v>158.34500051668221</v>
      </c>
      <c r="F46" s="641"/>
      <c r="G46" s="641">
        <f>G$43-G44-G45+H$38</f>
        <v>155.74968476570746</v>
      </c>
      <c r="H46" s="573"/>
    </row>
    <row r="47" spans="1:11">
      <c r="B47" s="503" t="s">
        <v>445</v>
      </c>
      <c r="C47" s="644"/>
      <c r="D47" s="627" t="str">
        <f>CONCATENATE("+ ",ROUND((C$46*0.08),2))</f>
        <v>+ 12.47</v>
      </c>
      <c r="E47" s="644"/>
      <c r="F47" s="627" t="str">
        <f>CONCATENATE("+ ",ROUND((E$46*0.08),2))</f>
        <v>+ 12.67</v>
      </c>
      <c r="G47" s="645"/>
      <c r="H47" s="627" t="str">
        <f>CONCATENATE("+ ",ROUND((G$46*0.08),2))</f>
        <v>+ 12.46</v>
      </c>
    </row>
    <row r="48" spans="1:11" ht="15" thickBot="1">
      <c r="B48" s="646" t="s">
        <v>449</v>
      </c>
      <c r="C48" s="702" t="str">
        <f>D47</f>
        <v>+ 12.47</v>
      </c>
      <c r="D48" s="632"/>
      <c r="E48" s="631" t="str">
        <f>F47</f>
        <v>+ 12.67</v>
      </c>
      <c r="F48" s="632"/>
      <c r="G48" s="631" t="str">
        <f>H47</f>
        <v>+ 12.46</v>
      </c>
      <c r="H48" s="632"/>
    </row>
    <row r="49" spans="1:8" s="392" customFormat="1" ht="15" thickBot="1">
      <c r="B49" s="647" t="s">
        <v>452</v>
      </c>
      <c r="C49" s="648">
        <f>C$46+C$48+C$44+C$45</f>
        <v>168.35460936883874</v>
      </c>
      <c r="D49" s="649">
        <f>D38+D47</f>
        <v>0.8100000000000005</v>
      </c>
      <c r="E49" s="698">
        <f>E$46+E$48+E$44+E$45</f>
        <v>171.01500051668219</v>
      </c>
      <c r="F49" s="649">
        <f>F38+F47</f>
        <v>0.82000000000000028</v>
      </c>
      <c r="G49" s="650">
        <f>G$46+G$48+G$44+G$45</f>
        <v>168.20968476570746</v>
      </c>
      <c r="H49" s="651">
        <f>H38+H47</f>
        <v>0.82000000000000028</v>
      </c>
    </row>
    <row r="50" spans="1:8" s="392" customFormat="1">
      <c r="B50" s="652"/>
      <c r="C50" s="653"/>
      <c r="D50" s="652"/>
      <c r="E50" s="653"/>
      <c r="F50" s="652"/>
      <c r="G50" s="653"/>
      <c r="H50" s="653"/>
    </row>
    <row r="51" spans="1:8" s="392" customFormat="1" ht="15" hidden="1" customHeight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8" ht="15" hidden="1" customHeight="1"/>
    <row r="53" spans="1:8" ht="15" hidden="1" customHeight="1">
      <c r="B53" s="656" t="s">
        <v>441</v>
      </c>
      <c r="C53" s="657">
        <f>Mombasa!D26</f>
        <v>154.61210483715561</v>
      </c>
      <c r="D53" s="162">
        <f>C9+C20+C21+C28+C42+0.16*C8+0.16*SUM(C24:C25)</f>
        <v>153.98809640775983</v>
      </c>
      <c r="E53" s="657">
        <f>'Breakdown for PMS, AGO &amp; DPK'!E26</f>
        <v>160.05845058085328</v>
      </c>
      <c r="G53" s="657">
        <f>'Breakdown for PMS, AGO &amp; DPK'!F26</f>
        <v>157.48855959511991</v>
      </c>
    </row>
    <row r="54" spans="1:8" ht="15.75" hidden="1" customHeight="1">
      <c r="B54" s="658" t="s">
        <v>442</v>
      </c>
      <c r="C54" s="659">
        <f>C49-C53</f>
        <v>13.742504531683124</v>
      </c>
      <c r="D54" s="162">
        <f>C53-D53</f>
        <v>0.62400842939578638</v>
      </c>
      <c r="E54" s="659">
        <f>E49-E53</f>
        <v>10.956549935828917</v>
      </c>
      <c r="G54" s="659">
        <f>G49-G53</f>
        <v>10.721125170587555</v>
      </c>
    </row>
    <row r="55" spans="1:8" ht="15.75" hidden="1" customHeight="1">
      <c r="B55" s="660" t="s">
        <v>443</v>
      </c>
      <c r="C55" s="661">
        <f>C54/C53</f>
        <v>8.8883755551723106E-2</v>
      </c>
      <c r="D55" s="662">
        <f>7-5.55+3.89-3.112</f>
        <v>2.2279999999999998</v>
      </c>
      <c r="E55" s="661">
        <f>E54/E53</f>
        <v>6.8453429956790893E-2</v>
      </c>
      <c r="F55" s="392"/>
      <c r="G55" s="661">
        <f>G54/G53</f>
        <v>6.80755808431419E-2</v>
      </c>
    </row>
    <row r="56" spans="1:8" ht="15.75" hidden="1" customHeight="1">
      <c r="B56" s="663" t="s">
        <v>451</v>
      </c>
      <c r="C56" s="664">
        <f>D$33+D$49+-$D$10</f>
        <v>12.47</v>
      </c>
      <c r="E56" s="664">
        <f>F$33+F$49</f>
        <v>4.4290574521374868</v>
      </c>
      <c r="G56" s="664">
        <f>H$33+H$49</f>
        <v>4.0277517448881284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>
    <tabColor rgb="FFFF0000"/>
  </sheetPr>
  <dimension ref="B1:M36"/>
  <sheetViews>
    <sheetView topLeftCell="A18" zoomScaleNormal="100" workbookViewId="0">
      <selection activeCell="D27" sqref="D27:F27"/>
    </sheetView>
  </sheetViews>
  <sheetFormatPr defaultColWidth="9.1796875" defaultRowHeight="14.5"/>
  <cols>
    <col min="1" max="1" width="9.1796875" style="159"/>
    <col min="2" max="2" width="28.26953125" style="159" bestFit="1" customWidth="1"/>
    <col min="3" max="3" width="9.1796875" style="159"/>
    <col min="4" max="4" width="12.54296875" style="159" bestFit="1" customWidth="1"/>
    <col min="5" max="5" width="13.7265625" style="159" bestFit="1" customWidth="1"/>
    <col min="6" max="6" width="13.81640625" style="159" bestFit="1" customWidth="1"/>
    <col min="7" max="7" width="13.1796875" style="159" customWidth="1"/>
    <col min="8" max="8" width="10.54296875" style="159" customWidth="1"/>
    <col min="9" max="9" width="56" style="159" bestFit="1" customWidth="1"/>
    <col min="10" max="10" width="22.26953125" style="159" customWidth="1"/>
    <col min="11" max="11" width="35" style="159" customWidth="1"/>
    <col min="12" max="13" width="14.453125" style="159" customWidth="1"/>
    <col min="14" max="16384" width="9.1796875" style="159"/>
  </cols>
  <sheetData>
    <row r="1" spans="2:13" ht="15" thickBot="1"/>
    <row r="2" spans="2:13" ht="15" thickBot="1">
      <c r="C2" s="258" t="s">
        <v>151</v>
      </c>
      <c r="G2" s="160"/>
      <c r="H2" s="160"/>
      <c r="I2" s="325"/>
      <c r="K2" s="1233" t="s">
        <v>366</v>
      </c>
      <c r="L2" s="1234"/>
      <c r="M2" s="1235"/>
    </row>
    <row r="3" spans="2:13" ht="15" thickBot="1">
      <c r="C3" s="258" t="s">
        <v>27</v>
      </c>
      <c r="G3" s="160"/>
      <c r="H3" s="160"/>
      <c r="K3" s="421" t="s">
        <v>372</v>
      </c>
      <c r="L3" s="421" t="s">
        <v>367</v>
      </c>
      <c r="M3" s="422" t="s">
        <v>368</v>
      </c>
    </row>
    <row r="4" spans="2:13">
      <c r="C4" s="259" t="str">
        <f>Mombasa!C4</f>
        <v>March 15 - April 14, 2023</v>
      </c>
      <c r="D4" s="258"/>
      <c r="E4" s="160"/>
      <c r="F4" s="160"/>
      <c r="G4" s="260"/>
      <c r="H4" s="277"/>
      <c r="K4" s="423">
        <v>42736</v>
      </c>
      <c r="L4" s="424">
        <v>-6.9999999999999999E-4</v>
      </c>
      <c r="M4" s="425">
        <v>-6.9999999999999999E-4</v>
      </c>
    </row>
    <row r="5" spans="2:13" ht="15" thickBot="1">
      <c r="C5" s="160"/>
      <c r="D5" s="160"/>
      <c r="E5" s="160"/>
      <c r="F5" s="160"/>
      <c r="G5" s="261"/>
      <c r="H5" s="261"/>
      <c r="I5" s="262"/>
      <c r="J5" s="262"/>
      <c r="K5" s="426">
        <v>42767</v>
      </c>
      <c r="L5" s="427">
        <v>-5.9999999999999995E-4</v>
      </c>
      <c r="M5" s="428">
        <v>-5.9999999999999995E-4</v>
      </c>
    </row>
    <row r="6" spans="2:13" ht="15" thickBot="1">
      <c r="C6" s="288"/>
      <c r="D6" s="169" t="s">
        <v>0</v>
      </c>
      <c r="E6" s="169" t="s">
        <v>1</v>
      </c>
      <c r="F6" s="169" t="s">
        <v>3</v>
      </c>
      <c r="G6" s="265">
        <v>1</v>
      </c>
      <c r="H6" s="852"/>
      <c r="I6" s="289" t="s">
        <v>167</v>
      </c>
      <c r="J6" s="262"/>
      <c r="K6" s="429">
        <v>42795</v>
      </c>
      <c r="L6" s="430">
        <v>-6.9999999999999999E-4</v>
      </c>
      <c r="M6" s="431">
        <v>-6.9999999999999999E-4</v>
      </c>
    </row>
    <row r="7" spans="2:13" ht="15" thickBot="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160"/>
      <c r="I7" s="262" t="s">
        <v>26</v>
      </c>
      <c r="J7" s="262"/>
      <c r="K7" s="432" t="s">
        <v>369</v>
      </c>
      <c r="L7" s="433">
        <f>AVERAGE(L4:L6)</f>
        <v>-6.6666666666666664E-4</v>
      </c>
      <c r="M7" s="434">
        <f>AVERAGE(M4:M6)</f>
        <v>-6.6666666666666664E-4</v>
      </c>
    </row>
    <row r="8" spans="2:13" ht="15" thickBot="1">
      <c r="C8" s="263"/>
      <c r="D8" s="263"/>
      <c r="E8" s="263"/>
      <c r="F8" s="263"/>
      <c r="G8" s="268">
        <v>1.1599999999999999</v>
      </c>
      <c r="H8" s="268"/>
      <c r="I8" s="262" t="s">
        <v>659</v>
      </c>
      <c r="J8" s="262"/>
      <c r="K8" s="253" t="s">
        <v>371</v>
      </c>
      <c r="L8" s="254"/>
      <c r="M8" s="255">
        <f>L7-M7</f>
        <v>0</v>
      </c>
    </row>
    <row r="9" spans="2:13" ht="15" thickBot="1">
      <c r="C9" s="263" t="s">
        <v>20</v>
      </c>
      <c r="D9" s="269">
        <f>$G$10*G9*$G$8</f>
        <v>2.9308559999999999</v>
      </c>
      <c r="E9" s="195">
        <f>$G$10*$G$9*$G$8</f>
        <v>2.9308559999999999</v>
      </c>
      <c r="F9" s="298">
        <f>$G$10*G6*$G$8</f>
        <v>2.9308559999999999</v>
      </c>
      <c r="G9" s="270">
        <v>1</v>
      </c>
      <c r="H9" s="853"/>
      <c r="I9" s="289" t="s">
        <v>166</v>
      </c>
      <c r="J9" s="262"/>
      <c r="K9" s="435">
        <v>42826</v>
      </c>
      <c r="L9" s="424">
        <v>-5.9999999999999995E-4</v>
      </c>
      <c r="M9" s="424">
        <v>-5.9999999999999995E-4</v>
      </c>
    </row>
    <row r="10" spans="2:13" ht="15" thickBot="1">
      <c r="C10" s="263"/>
      <c r="D10" s="290"/>
      <c r="E10" s="274"/>
      <c r="F10" s="274"/>
      <c r="G10" s="1113">
        <v>2.5266000000000002</v>
      </c>
      <c r="H10" s="854"/>
      <c r="I10" s="262" t="s">
        <v>30</v>
      </c>
      <c r="J10" s="262"/>
      <c r="K10" s="436">
        <v>42856</v>
      </c>
      <c r="L10" s="427">
        <v>1E-3</v>
      </c>
      <c r="M10" s="424">
        <v>-5.9999999999999995E-4</v>
      </c>
    </row>
    <row r="11" spans="2:13" ht="15" thickBot="1">
      <c r="C11" s="227" t="s">
        <v>20</v>
      </c>
      <c r="D11" s="195">
        <f>$G$11*$G$12*$G$8</f>
        <v>0</v>
      </c>
      <c r="E11" s="195">
        <f>$G$11*$G$12*$G$8</f>
        <v>0</v>
      </c>
      <c r="F11" s="269">
        <v>0</v>
      </c>
      <c r="G11" s="273">
        <f>'Bridging - Sept 2013'!E23*G14/1000</f>
        <v>4.4398149358122394</v>
      </c>
      <c r="H11" s="297"/>
      <c r="I11" s="262" t="s">
        <v>272</v>
      </c>
      <c r="J11" s="262"/>
      <c r="K11" s="439">
        <v>42887</v>
      </c>
      <c r="L11" s="437">
        <v>-1E-3</v>
      </c>
      <c r="M11" s="424">
        <v>-5.9999999999999995E-4</v>
      </c>
    </row>
    <row r="12" spans="2:13" ht="15" thickBot="1">
      <c r="C12" s="263"/>
      <c r="D12" s="274"/>
      <c r="E12" s="274"/>
      <c r="F12" s="274"/>
      <c r="G12" s="665">
        <f>1-G9</f>
        <v>0</v>
      </c>
      <c r="H12" s="665"/>
      <c r="I12" s="275" t="s">
        <v>168</v>
      </c>
      <c r="J12" s="275"/>
      <c r="K12" s="438" t="s">
        <v>370</v>
      </c>
      <c r="L12" s="433">
        <f>AVERAGE(L9:L11)</f>
        <v>-1.9999999999999998E-4</v>
      </c>
      <c r="M12" s="299"/>
    </row>
    <row r="13" spans="2:13" ht="15" thickBot="1">
      <c r="C13" s="276" t="s">
        <v>20</v>
      </c>
      <c r="D13" s="277">
        <f>$G$13*D7</f>
        <v>6.5748689048399672E-2</v>
      </c>
      <c r="E13" s="300">
        <f>$G$13*E7</f>
        <v>6.703309257014424E-2</v>
      </c>
      <c r="F13" s="300">
        <f>$G$13*F7</f>
        <v>6.5837941347209814E-2</v>
      </c>
      <c r="G13" s="885">
        <f>'KPC LOSSES'!E100</f>
        <v>4.6666666666666666E-4</v>
      </c>
      <c r="H13" s="278"/>
      <c r="I13" s="262" t="s">
        <v>25</v>
      </c>
      <c r="J13" s="262"/>
      <c r="K13" s="435">
        <v>42917</v>
      </c>
      <c r="L13" s="424">
        <v>-8.0000000000000004E-4</v>
      </c>
      <c r="M13" s="424">
        <v>-8.0000000000000004E-4</v>
      </c>
    </row>
    <row r="14" spans="2:13" ht="15" thickBot="1">
      <c r="C14" s="263"/>
      <c r="D14" s="274"/>
      <c r="E14" s="274"/>
      <c r="F14" s="274"/>
      <c r="G14" s="279">
        <v>487</v>
      </c>
      <c r="H14" s="279">
        <v>450</v>
      </c>
      <c r="I14" s="262" t="s">
        <v>35</v>
      </c>
      <c r="J14" s="262"/>
      <c r="K14" s="436">
        <v>42948</v>
      </c>
      <c r="L14" s="427">
        <v>-1.1000000000000001E-3</v>
      </c>
      <c r="M14" s="427">
        <v>1.1000000000000001E-3</v>
      </c>
    </row>
    <row r="15" spans="2:13" ht="15" thickBot="1">
      <c r="C15" s="263" t="s">
        <v>20</v>
      </c>
      <c r="D15" s="195">
        <f>G15*D7</f>
        <v>0.70445023980428223</v>
      </c>
      <c r="E15" s="301">
        <f>G16*E7</f>
        <v>0.43092702366521302</v>
      </c>
      <c r="F15" s="195">
        <f>G16*F7</f>
        <v>0.42324390866063455</v>
      </c>
      <c r="G15" s="278">
        <v>5.0000000000000001E-3</v>
      </c>
      <c r="H15" s="278"/>
      <c r="I15" s="262" t="s">
        <v>29</v>
      </c>
      <c r="J15" s="262"/>
      <c r="K15" s="439">
        <v>42979</v>
      </c>
      <c r="L15" s="437">
        <v>-8.0000000000000004E-4</v>
      </c>
      <c r="M15" s="256"/>
    </row>
    <row r="16" spans="2:13" ht="15" thickBot="1">
      <c r="C16" s="263"/>
      <c r="D16" s="263"/>
      <c r="E16" s="263"/>
      <c r="F16" s="263"/>
      <c r="G16" s="278">
        <v>3.0000000000000001E-3</v>
      </c>
      <c r="H16" s="278"/>
      <c r="I16" s="262"/>
      <c r="J16" s="262"/>
      <c r="K16" s="438" t="s">
        <v>386</v>
      </c>
      <c r="L16" s="433">
        <f>AVERAGE(L13:L15)</f>
        <v>-9.0000000000000008E-4</v>
      </c>
      <c r="M16" s="433">
        <v>-8.0000000000000004E-4</v>
      </c>
    </row>
    <row r="17" spans="2:13">
      <c r="C17" s="263" t="s">
        <v>20</v>
      </c>
      <c r="D17" s="280">
        <v>4.2039999999999997</v>
      </c>
      <c r="E17" s="280">
        <v>4.1739999999999995</v>
      </c>
      <c r="F17" s="280">
        <v>4.1739999999999995</v>
      </c>
      <c r="G17" s="281"/>
      <c r="H17" s="281"/>
      <c r="I17" s="262" t="s">
        <v>24</v>
      </c>
      <c r="J17" s="262"/>
      <c r="K17" s="435">
        <v>43009</v>
      </c>
      <c r="L17" s="424">
        <v>-8.9999999999999998E-4</v>
      </c>
      <c r="M17" s="424">
        <v>-8.9999999999999998E-4</v>
      </c>
    </row>
    <row r="18" spans="2:13">
      <c r="C18" s="263"/>
      <c r="D18" s="263"/>
      <c r="E18" s="263"/>
      <c r="F18" s="263"/>
      <c r="G18" s="160"/>
      <c r="H18" s="160"/>
      <c r="I18" s="262"/>
      <c r="J18" s="262"/>
      <c r="K18" s="436">
        <v>43040</v>
      </c>
      <c r="L18" s="427">
        <v>-8.9999999999999998E-4</v>
      </c>
      <c r="M18" s="427">
        <v>-8.9999999999999998E-4</v>
      </c>
    </row>
    <row r="19" spans="2:13" ht="15" thickBot="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160"/>
      <c r="I19" s="262" t="s">
        <v>23</v>
      </c>
      <c r="J19" s="262"/>
      <c r="K19" s="439">
        <v>43070</v>
      </c>
      <c r="L19" s="437">
        <v>-8.0000000000000004E-4</v>
      </c>
      <c r="M19" s="427">
        <v>-8.0000000000000004E-4</v>
      </c>
    </row>
    <row r="20" spans="2:13" ht="15" thickBot="1">
      <c r="C20" s="263"/>
      <c r="D20" s="263"/>
      <c r="E20" s="263"/>
      <c r="F20" s="263"/>
      <c r="G20" s="160"/>
      <c r="H20" s="160"/>
      <c r="I20" s="262"/>
      <c r="J20" s="262"/>
      <c r="K20" s="438" t="s">
        <v>387</v>
      </c>
      <c r="L20" s="433">
        <f>AVERAGE(L17:L19)</f>
        <v>-8.6666666666666663E-4</v>
      </c>
      <c r="M20" s="433">
        <v>-8.0000000000000004E-4</v>
      </c>
    </row>
    <row r="21" spans="2:13">
      <c r="C21" s="263" t="s">
        <v>20</v>
      </c>
      <c r="D21" s="168">
        <v>8.19</v>
      </c>
      <c r="E21" s="168">
        <v>8.19</v>
      </c>
      <c r="F21" s="168">
        <v>8.19</v>
      </c>
      <c r="G21" s="160"/>
      <c r="H21" s="160"/>
      <c r="I21" s="262" t="s">
        <v>22</v>
      </c>
      <c r="J21" s="262"/>
      <c r="K21" s="435">
        <v>43101</v>
      </c>
      <c r="L21" s="424">
        <v>-8.9999999999999998E-4</v>
      </c>
      <c r="M21" s="424">
        <v>-8.0000000000000004E-4</v>
      </c>
    </row>
    <row r="22" spans="2:13" ht="15" thickBot="1">
      <c r="C22" s="263"/>
      <c r="D22" s="168"/>
      <c r="E22" s="168"/>
      <c r="F22" s="168"/>
      <c r="G22" s="160"/>
      <c r="H22" s="160"/>
      <c r="I22" s="262"/>
      <c r="J22" s="262"/>
      <c r="K22" s="436">
        <v>43132</v>
      </c>
      <c r="L22" s="427">
        <v>-1.1000000000000001E-3</v>
      </c>
      <c r="M22" s="427">
        <v>-8.9999999999999998E-4</v>
      </c>
    </row>
    <row r="23" spans="2:13" ht="15" thickBot="1">
      <c r="C23" s="263" t="s">
        <v>20</v>
      </c>
      <c r="D23" s="283">
        <f>$G$23*$G$8</f>
        <v>0.62360663649487535</v>
      </c>
      <c r="E23" s="283">
        <f t="shared" ref="E23:F23" si="0">$G$23*$G$8</f>
        <v>0.62360663649487535</v>
      </c>
      <c r="F23" s="283">
        <f t="shared" si="0"/>
        <v>0.62360663649487535</v>
      </c>
      <c r="G23" s="284">
        <f>Mombasa!G24</f>
        <v>0.53759192801282363</v>
      </c>
      <c r="H23" s="855"/>
      <c r="I23" s="262" t="s">
        <v>21</v>
      </c>
      <c r="J23" s="262"/>
      <c r="K23" s="436">
        <v>43160</v>
      </c>
      <c r="L23" s="437">
        <v>-8.9999999999999998E-4</v>
      </c>
      <c r="M23" s="437">
        <v>-8.9999999999999998E-4</v>
      </c>
    </row>
    <row r="24" spans="2:13" ht="15" thickBot="1">
      <c r="C24" s="263"/>
      <c r="D24" s="276"/>
      <c r="E24" s="276"/>
      <c r="F24" s="276"/>
      <c r="G24" s="160"/>
      <c r="H24" s="160"/>
      <c r="I24" s="262"/>
      <c r="J24" s="262"/>
      <c r="K24" s="438" t="s">
        <v>387</v>
      </c>
      <c r="L24" s="433">
        <f>AVERAGE(L21:L23)</f>
        <v>-9.6666666666666656E-4</v>
      </c>
      <c r="M24" s="433">
        <v>-8.9999999999999998E-4</v>
      </c>
    </row>
    <row r="25" spans="2:13">
      <c r="C25" s="263" t="s">
        <v>20</v>
      </c>
      <c r="D25" s="285">
        <f>D19+D21+D23+D24</f>
        <v>157.60870952620402</v>
      </c>
      <c r="E25" s="285">
        <f>E19+E21+E23+E24</f>
        <v>160.05876397446792</v>
      </c>
      <c r="F25" s="285">
        <f>F19+F21+F23+F24</f>
        <v>157.48884737338091</v>
      </c>
      <c r="G25" s="302"/>
      <c r="H25" s="302"/>
      <c r="I25" s="262" t="s">
        <v>19</v>
      </c>
      <c r="J25" s="262"/>
      <c r="K25" s="435">
        <v>43191</v>
      </c>
      <c r="L25" s="424">
        <v>-8.9999999999999998E-4</v>
      </c>
      <c r="M25" s="424">
        <v>-8.0000000000000004E-4</v>
      </c>
    </row>
    <row r="26" spans="2:13" ht="15" thickBot="1">
      <c r="C26" s="160"/>
      <c r="D26" s="286"/>
      <c r="E26" s="160"/>
      <c r="F26" s="160"/>
      <c r="G26" s="160"/>
      <c r="H26" s="160"/>
      <c r="K26" s="436">
        <v>43221</v>
      </c>
      <c r="L26" s="427">
        <v>-1.1000000000000001E-3</v>
      </c>
      <c r="M26" s="427">
        <v>-8.9999999999999998E-4</v>
      </c>
    </row>
    <row r="27" spans="2:13" ht="15" thickBot="1">
      <c r="B27" s="678" t="str">
        <f>Mombasa!B28</f>
        <v>February 15 - March 14 2023</v>
      </c>
      <c r="C27" s="691" t="str">
        <f>C25</f>
        <v>Kshs/lt</v>
      </c>
      <c r="D27" s="679">
        <v>154.10640681047633</v>
      </c>
      <c r="E27" s="680">
        <v>160.40196381192834</v>
      </c>
      <c r="F27" s="681">
        <v>153.70535408539359</v>
      </c>
      <c r="G27" s="210"/>
      <c r="H27" s="210"/>
      <c r="K27" s="436">
        <v>43252</v>
      </c>
      <c r="L27" s="437">
        <v>-1E-3</v>
      </c>
      <c r="M27" s="257"/>
    </row>
    <row r="28" spans="2:13" ht="5.25" customHeight="1" thickBot="1">
      <c r="B28" s="392"/>
      <c r="C28" s="392"/>
      <c r="D28" s="675"/>
      <c r="E28" s="676"/>
      <c r="F28" s="677"/>
      <c r="G28" s="210"/>
      <c r="H28" s="210"/>
      <c r="K28" s="438" t="s">
        <v>387</v>
      </c>
      <c r="L28" s="433">
        <f>AVERAGE(L25:L27)</f>
        <v>-1E-3</v>
      </c>
      <c r="M28" s="433">
        <v>-1E-3</v>
      </c>
    </row>
    <row r="29" spans="2:13" ht="15" thickBot="1">
      <c r="B29" s="682" t="s">
        <v>162</v>
      </c>
      <c r="C29" s="692" t="str">
        <f>C25</f>
        <v>Kshs/lt</v>
      </c>
      <c r="D29" s="683">
        <f>D25-D27</f>
        <v>3.5023027157276942</v>
      </c>
      <c r="E29" s="683">
        <f>E25-E27</f>
        <v>-0.34319983746041771</v>
      </c>
      <c r="F29" s="684">
        <f>F25-F27</f>
        <v>3.7834932879873122</v>
      </c>
      <c r="G29" s="215"/>
      <c r="H29" s="215"/>
    </row>
    <row r="30" spans="2:13" ht="6.75" customHeight="1" thickBot="1">
      <c r="B30" s="392"/>
      <c r="C30" s="392"/>
      <c r="D30" s="685"/>
      <c r="E30" s="686"/>
      <c r="F30" s="687"/>
    </row>
    <row r="31" spans="2:13" ht="15" thickBot="1">
      <c r="B31" s="682" t="str">
        <f>B29</f>
        <v>Change</v>
      </c>
      <c r="C31" s="692" t="s">
        <v>159</v>
      </c>
      <c r="D31" s="688">
        <f>D29/D27*100</f>
        <v>2.2726522460775485</v>
      </c>
      <c r="E31" s="689">
        <f>E29/E27*100</f>
        <v>-0.21396236636031485</v>
      </c>
      <c r="F31" s="690">
        <f>F29/F27*100</f>
        <v>2.4615234195975564</v>
      </c>
      <c r="G31" s="159" t="s">
        <v>63</v>
      </c>
      <c r="I31" s="171"/>
      <c r="J31" s="171"/>
      <c r="K31" s="435">
        <v>43191</v>
      </c>
      <c r="L31" s="424">
        <v>-8.9999999999999998E-4</v>
      </c>
      <c r="M31" s="424">
        <v>-8.0000000000000004E-4</v>
      </c>
    </row>
    <row r="32" spans="2:13">
      <c r="I32" s="210"/>
      <c r="J32" s="210"/>
      <c r="K32" s="436">
        <v>43221</v>
      </c>
      <c r="L32" s="427">
        <v>-1.1000000000000001E-3</v>
      </c>
      <c r="M32" s="427">
        <v>-8.9999999999999998E-4</v>
      </c>
    </row>
    <row r="33" spans="3:9">
      <c r="I33" s="1056"/>
    </row>
    <row r="34" spans="3:9">
      <c r="C34" s="171"/>
      <c r="D34" s="171"/>
      <c r="E34" s="171"/>
      <c r="F34" s="171"/>
    </row>
    <row r="35" spans="3:9">
      <c r="C35" s="171"/>
      <c r="D35" s="171"/>
      <c r="E35" s="207"/>
      <c r="F35" s="207"/>
    </row>
    <row r="36" spans="3:9">
      <c r="D36" s="1056"/>
      <c r="E36" s="1056"/>
      <c r="F36" s="1056"/>
    </row>
  </sheetData>
  <mergeCells count="1">
    <mergeCell ref="K2:M2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23562" r:id="rId4">
          <objectPr defaultSize="0" autoPict="0" r:id="rId5">
            <anchor>
              <from>
                <xdr:col>1</xdr:col>
                <xdr:colOff>57150</xdr:colOff>
                <xdr:row>18</xdr:row>
                <xdr:rowOff>69850</xdr:rowOff>
              </from>
              <to>
                <xdr:col>1</xdr:col>
                <xdr:colOff>527050</xdr:colOff>
                <xdr:row>19</xdr:row>
                <xdr:rowOff>57150</xdr:rowOff>
              </to>
            </anchor>
          </objectPr>
        </oleObject>
      </mc:Choice>
      <mc:Fallback>
        <oleObject progId="Equation.3" shapeId="23562" r:id="rId4"/>
      </mc:Fallback>
    </mc:AlternateContent>
  </oleObjec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>
    <tabColor rgb="FF0070C0"/>
  </sheetPr>
  <dimension ref="A2:M80"/>
  <sheetViews>
    <sheetView topLeftCell="A43" zoomScale="87" zoomScaleNormal="87" workbookViewId="0">
      <selection activeCell="E64" sqref="E64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5" width="17.26953125" style="159" customWidth="1"/>
    <col min="6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594" t="s">
        <v>431</v>
      </c>
      <c r="D5" s="204" t="s">
        <v>430</v>
      </c>
      <c r="E5" s="594" t="s">
        <v>431</v>
      </c>
      <c r="F5" s="204" t="s">
        <v>430</v>
      </c>
      <c r="G5" s="594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-C8*0.14</f>
        <v>-9.0418132009049287E-2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1052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D8</f>
        <v>-9.0418132009049287E-2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Import'!V10</f>
        <v>1.7335007701822511</v>
      </c>
      <c r="D19" s="610"/>
      <c r="E19" s="613">
        <f>'AGO Import'!V10</f>
        <v>1.994329137255715</v>
      </c>
      <c r="F19" s="616"/>
      <c r="G19" s="613">
        <f>'DPK Import'!V10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950">
        <f>0.14*-C24</f>
        <v>-0.35372400000000004</v>
      </c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950">
        <f>0.14*C25</f>
        <v>0</v>
      </c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10" ht="15" thickBot="1">
      <c r="A33" s="605"/>
      <c r="B33" s="633" t="s">
        <v>529</v>
      </c>
      <c r="C33" s="634">
        <f>C31+C32</f>
        <v>160.14711008879789</v>
      </c>
      <c r="D33" s="634">
        <f>D8+D10+D30</f>
        <v>11.6791637359819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10" ht="15" thickBot="1"/>
    <row r="35" spans="1:10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10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10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10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10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10">
      <c r="A40" s="605"/>
      <c r="B40" s="614" t="s">
        <v>645</v>
      </c>
      <c r="C40" s="613">
        <f>Nairobi!G23</f>
        <v>0.53759192801282363</v>
      </c>
      <c r="D40" s="943"/>
      <c r="E40" s="880">
        <f>C40</f>
        <v>0.53759192801282363</v>
      </c>
      <c r="F40" s="943"/>
      <c r="G40" s="613">
        <f>C40</f>
        <v>0.53759192801282363</v>
      </c>
      <c r="H40" s="943"/>
      <c r="J40" s="162"/>
    </row>
    <row r="41" spans="1:10" s="392" customFormat="1">
      <c r="A41" s="605"/>
      <c r="B41" s="617" t="s">
        <v>446</v>
      </c>
      <c r="C41" s="618">
        <f>SUM(C40)</f>
        <v>0.53759192801282363</v>
      </c>
      <c r="D41" s="618">
        <f>D$9+D$20+D$22+D$28</f>
        <v>0</v>
      </c>
      <c r="E41" s="626">
        <f>SUM(E40)</f>
        <v>0.53759192801282363</v>
      </c>
      <c r="F41" s="944"/>
      <c r="G41" s="618">
        <f>SUM(G40)</f>
        <v>0.53759192801282363</v>
      </c>
      <c r="H41" s="944"/>
      <c r="J41" s="662"/>
    </row>
    <row r="42" spans="1:10">
      <c r="A42" s="605" t="s">
        <v>642</v>
      </c>
      <c r="B42" s="503" t="s">
        <v>426</v>
      </c>
      <c r="C42" s="236">
        <f>Nairobi!D21</f>
        <v>8.19</v>
      </c>
      <c r="D42" s="573"/>
      <c r="E42" s="236">
        <f>Nairobi!E21</f>
        <v>8.19</v>
      </c>
      <c r="F42" s="573"/>
      <c r="G42" s="236">
        <f>Nairobi!F21</f>
        <v>8.19</v>
      </c>
      <c r="H42" s="629"/>
      <c r="J42" s="162"/>
    </row>
    <row r="43" spans="1:10">
      <c r="B43" s="620" t="s">
        <v>447</v>
      </c>
      <c r="C43" s="613">
        <f>C$37+C$42+C$41</f>
        <v>168.87470201681072</v>
      </c>
      <c r="D43" s="610"/>
      <c r="E43" s="613">
        <f>E$37+E$42+E$41</f>
        <v>171.53637756817594</v>
      </c>
      <c r="F43" s="610"/>
      <c r="G43" s="236">
        <f>G$37+G$42+G$41</f>
        <v>168.72986666597828</v>
      </c>
      <c r="H43" s="573"/>
      <c r="J43" s="162"/>
    </row>
    <row r="44" spans="1:10" s="392" customFormat="1">
      <c r="B44" s="640" t="s">
        <v>661</v>
      </c>
      <c r="C44" s="618">
        <v>0</v>
      </c>
      <c r="D44" s="946"/>
      <c r="E44" s="947">
        <v>0</v>
      </c>
      <c r="F44" s="946"/>
      <c r="G44" s="645">
        <v>0</v>
      </c>
      <c r="H44" s="625"/>
      <c r="J44" s="662"/>
    </row>
    <row r="45" spans="1:10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10">
      <c r="B46" s="620" t="s">
        <v>432</v>
      </c>
      <c r="C46" s="641">
        <f>C$43-$C$44-$C$45+D$38</f>
        <v>157.0147020168107</v>
      </c>
      <c r="D46" s="610"/>
      <c r="E46" s="641">
        <f>E$43-E44-E45+F$38</f>
        <v>159.47637756817593</v>
      </c>
      <c r="F46" s="610"/>
      <c r="G46" s="642">
        <f>G$43-G44-G45+H$38</f>
        <v>156.87986666597828</v>
      </c>
      <c r="H46" s="573"/>
    </row>
    <row r="47" spans="1:10">
      <c r="B47" s="503" t="s">
        <v>445</v>
      </c>
      <c r="C47" s="644"/>
      <c r="D47" s="696" t="str">
        <f>CONCATENATE("+ ",ROUND((C$46*0.08),2))</f>
        <v>+ 12.56</v>
      </c>
      <c r="E47" s="644"/>
      <c r="F47" s="627" t="str">
        <f>CONCATENATE("+ ",ROUND((E$46*0.08),2))</f>
        <v>+ 12.76</v>
      </c>
      <c r="G47" s="645"/>
      <c r="H47" s="627" t="str">
        <f>CONCATENATE("+ ",ROUND((G$46*0.08),2))</f>
        <v>+ 12.55</v>
      </c>
    </row>
    <row r="48" spans="1:10" ht="15" thickBot="1">
      <c r="B48" s="646" t="s">
        <v>449</v>
      </c>
      <c r="C48" s="697" t="str">
        <f>D47</f>
        <v>+ 12.56</v>
      </c>
      <c r="D48" s="632"/>
      <c r="E48" s="1037" t="str">
        <f>F47</f>
        <v>+ 12.76</v>
      </c>
      <c r="F48" s="632"/>
      <c r="G48" s="631" t="str">
        <f>H47</f>
        <v>+ 12.55</v>
      </c>
      <c r="H48" s="632"/>
    </row>
    <row r="49" spans="1:8" s="392" customFormat="1" ht="15" thickBot="1">
      <c r="B49" s="647" t="s">
        <v>452</v>
      </c>
      <c r="C49" s="648">
        <f>C$46+C$48+C$44+C$45</f>
        <v>169.5747020168107</v>
      </c>
      <c r="D49" s="1053">
        <f>D38+D47</f>
        <v>0.70000000000000107</v>
      </c>
      <c r="E49" s="648">
        <f>E$46+E$48+E$44+E$45</f>
        <v>172.23637756817593</v>
      </c>
      <c r="F49" s="649">
        <f>F38+F47</f>
        <v>0.69999999999999929</v>
      </c>
      <c r="G49" s="650">
        <f>G$46+G$48+G$44+G$45</f>
        <v>169.4298666659783</v>
      </c>
      <c r="H49" s="651">
        <f>H38+H47</f>
        <v>0.70000000000000107</v>
      </c>
    </row>
    <row r="50" spans="1:8" s="392" customFormat="1">
      <c r="B50" s="652"/>
      <c r="C50" s="653"/>
      <c r="D50" s="652"/>
      <c r="E50" s="653"/>
      <c r="F50" s="652"/>
      <c r="G50" s="653"/>
      <c r="H50" s="653"/>
    </row>
    <row r="51" spans="1:8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8" hidden="1"/>
    <row r="53" spans="1:8" hidden="1">
      <c r="B53" s="656" t="s">
        <v>441</v>
      </c>
      <c r="C53" s="657"/>
      <c r="D53" s="657"/>
      <c r="E53" s="657"/>
      <c r="F53" s="162"/>
      <c r="G53" s="162"/>
      <c r="H53" s="162"/>
    </row>
    <row r="54" spans="1:8" hidden="1">
      <c r="B54" s="656" t="s">
        <v>464</v>
      </c>
      <c r="C54" s="657"/>
      <c r="D54" s="657"/>
      <c r="E54" s="657"/>
    </row>
    <row r="55" spans="1:8" ht="15" hidden="1" thickBot="1">
      <c r="B55" s="658" t="s">
        <v>442</v>
      </c>
      <c r="C55" s="659"/>
      <c r="D55" s="659"/>
      <c r="E55" s="659"/>
    </row>
    <row r="56" spans="1:8" ht="15" hidden="1" thickBot="1">
      <c r="B56" s="660" t="s">
        <v>443</v>
      </c>
      <c r="C56" s="661"/>
      <c r="D56" s="661"/>
      <c r="E56" s="661"/>
    </row>
    <row r="57" spans="1:8" ht="15" hidden="1" thickBot="1">
      <c r="B57" s="663" t="s">
        <v>451</v>
      </c>
      <c r="C57" s="664"/>
      <c r="D57" s="664"/>
      <c r="E57" s="664"/>
    </row>
    <row r="58" spans="1:8" ht="15" thickBot="1"/>
    <row r="59" spans="1:8" ht="15" thickBot="1">
      <c r="C59" s="668" t="s">
        <v>0</v>
      </c>
      <c r="D59" s="669" t="s">
        <v>1</v>
      </c>
      <c r="E59" s="670" t="s">
        <v>155</v>
      </c>
      <c r="F59" s="162"/>
    </row>
    <row r="60" spans="1:8" ht="15" thickBot="1">
      <c r="B60" s="671" t="str">
        <f>B4</f>
        <v>March 15 - April 14, 2023</v>
      </c>
      <c r="C60" s="672">
        <f>C49</f>
        <v>169.5747020168107</v>
      </c>
      <c r="D60" s="673">
        <f>E49</f>
        <v>172.23637756817593</v>
      </c>
      <c r="E60" s="674">
        <f>G49</f>
        <v>169.4298666659783</v>
      </c>
      <c r="F60" s="699"/>
    </row>
    <row r="61" spans="1:8" ht="15" thickBot="1">
      <c r="C61" s="675"/>
      <c r="D61" s="676"/>
      <c r="E61" s="677"/>
    </row>
    <row r="62" spans="1:8" ht="15" thickBot="1">
      <c r="B62" s="678" t="str">
        <f>'MOMBASA_PRICE VAT Inclusive'!B62</f>
        <v>February 15 - March 14 2023</v>
      </c>
      <c r="C62" s="679">
        <v>165.7871154434138</v>
      </c>
      <c r="D62" s="679">
        <v>172.61362894452807</v>
      </c>
      <c r="E62" s="679">
        <v>165.35490170058259</v>
      </c>
      <c r="G62" s="162"/>
      <c r="H62" s="162"/>
    </row>
    <row r="63" spans="1:8" ht="4.5" customHeight="1" thickBot="1">
      <c r="B63" s="392"/>
      <c r="C63" s="675"/>
      <c r="D63" s="676"/>
      <c r="E63" s="677"/>
    </row>
    <row r="64" spans="1:8" ht="15" thickBot="1">
      <c r="B64" s="682" t="s">
        <v>474</v>
      </c>
      <c r="C64" s="683">
        <f>C60-C62</f>
        <v>3.7875865733969079</v>
      </c>
      <c r="D64" s="683">
        <f>D60-D62</f>
        <v>-0.37725137635214878</v>
      </c>
      <c r="E64" s="684">
        <f>E60-E62</f>
        <v>4.0749649653957078</v>
      </c>
    </row>
    <row r="65" spans="2:8" ht="4.5" customHeight="1" thickBot="1">
      <c r="B65" s="392"/>
      <c r="C65" s="685"/>
      <c r="D65" s="686"/>
      <c r="E65" s="687"/>
    </row>
    <row r="66" spans="2:8" ht="15" thickBot="1">
      <c r="B66" s="682" t="s">
        <v>475</v>
      </c>
      <c r="C66" s="1034">
        <f>C64/C62</f>
        <v>2.2846085253770406E-2</v>
      </c>
      <c r="D66" s="1035">
        <f>D64/D62</f>
        <v>-2.1855248548965046E-3</v>
      </c>
      <c r="E66" s="1036">
        <f>E64/E62</f>
        <v>2.4643750644746387E-2</v>
      </c>
    </row>
    <row r="67" spans="2:8">
      <c r="B67" s="953"/>
      <c r="C67" s="954"/>
      <c r="D67" s="954"/>
      <c r="E67" s="954"/>
    </row>
    <row r="68" spans="2:8" hidden="1">
      <c r="B68" s="196" t="s">
        <v>654</v>
      </c>
      <c r="C68" s="955">
        <f>C60</f>
        <v>169.5747020168107</v>
      </c>
      <c r="D68" s="955">
        <f>D60</f>
        <v>172.23637756817593</v>
      </c>
      <c r="E68" s="955">
        <f>E60</f>
        <v>169.4298666659783</v>
      </c>
      <c r="G68" s="984"/>
      <c r="H68" s="347"/>
    </row>
    <row r="69" spans="2:8" hidden="1">
      <c r="B69" s="196" t="s">
        <v>655</v>
      </c>
      <c r="C69" s="956">
        <v>89.103316273411394</v>
      </c>
      <c r="D69" s="956">
        <v>74.571300155929706</v>
      </c>
      <c r="E69" s="956">
        <v>62.46318933892519</v>
      </c>
    </row>
    <row r="70" spans="2:8" hidden="1">
      <c r="B70" s="196" t="s">
        <v>652</v>
      </c>
      <c r="C70" s="960">
        <f>C60-C69</f>
        <v>80.47138574339931</v>
      </c>
      <c r="D70" s="960">
        <f>D60-D69</f>
        <v>97.66507741224622</v>
      </c>
      <c r="E70" s="960">
        <f>E60-E69</f>
        <v>106.96667732705311</v>
      </c>
      <c r="F70" s="961" t="str">
        <f>C48</f>
        <v>+ 12.56</v>
      </c>
    </row>
    <row r="71" spans="2:8" hidden="1">
      <c r="B71" s="196" t="s">
        <v>653</v>
      </c>
      <c r="C71" s="957">
        <v>35312.642999999996</v>
      </c>
      <c r="D71" s="957">
        <v>78066.283999999985</v>
      </c>
      <c r="E71" s="957">
        <v>46102.498</v>
      </c>
      <c r="F71" s="159" t="s">
        <v>658</v>
      </c>
      <c r="G71" s="961"/>
    </row>
    <row r="72" spans="2:8" s="392" customFormat="1" hidden="1">
      <c r="B72" s="312" t="s">
        <v>651</v>
      </c>
      <c r="C72" s="958">
        <f>C71*C70*1000</f>
        <v>2841657316.4719491</v>
      </c>
      <c r="D72" s="958">
        <f>D71*D70*1000</f>
        <v>7624349670.1463976</v>
      </c>
      <c r="E72" s="958">
        <f>E71*E70*1000</f>
        <v>4931431027.5371113</v>
      </c>
      <c r="F72" s="916">
        <f>SUM(C72:E72)</f>
        <v>15397438014.155458</v>
      </c>
    </row>
    <row r="73" spans="2:8" hidden="1"/>
    <row r="74" spans="2:8" hidden="1">
      <c r="B74" s="196" t="s">
        <v>656</v>
      </c>
      <c r="C74" s="162">
        <f>C33</f>
        <v>160.14711008879789</v>
      </c>
      <c r="D74" s="162">
        <f>E33</f>
        <v>162.80878564016311</v>
      </c>
      <c r="E74" s="162">
        <f>G33</f>
        <v>160.00227473796545</v>
      </c>
    </row>
    <row r="75" spans="2:8" hidden="1">
      <c r="B75" s="196" t="s">
        <v>657</v>
      </c>
      <c r="C75" s="162">
        <v>79.67572434539855</v>
      </c>
      <c r="D75" s="162">
        <v>65.15370822791688</v>
      </c>
      <c r="E75" s="162">
        <v>53.035597410912366</v>
      </c>
    </row>
    <row r="76" spans="2:8" hidden="1">
      <c r="B76" s="159" t="s">
        <v>652</v>
      </c>
      <c r="C76" s="959">
        <f>C74-C75</f>
        <v>80.471385743399338</v>
      </c>
      <c r="D76" s="959">
        <f>D74-D75</f>
        <v>97.655077412246229</v>
      </c>
      <c r="E76" s="959">
        <f>E74-E75</f>
        <v>106.96667732705308</v>
      </c>
    </row>
    <row r="77" spans="2:8" hidden="1">
      <c r="C77" s="162"/>
      <c r="D77" s="162"/>
      <c r="E77" s="162"/>
    </row>
    <row r="79" spans="2:8">
      <c r="C79" s="171"/>
      <c r="D79" s="171"/>
      <c r="E79" s="171"/>
    </row>
    <row r="80" spans="2:8">
      <c r="C80" s="1056"/>
      <c r="D80" s="1056"/>
      <c r="E80" s="1056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  <pageSetup orientation="portrait" r:id="rId1"/>
  <ignoredErrors>
    <ignoredError sqref="E49 G33 E33 F33 F49" formula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>
    <tabColor rgb="FF00CC00"/>
  </sheetPr>
  <dimension ref="B2:K31"/>
  <sheetViews>
    <sheetView topLeftCell="A6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147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43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2.9308559999999999</v>
      </c>
      <c r="E9" s="269">
        <f>$G$10*$G$9*$G$8</f>
        <v>2.9308559999999999</v>
      </c>
      <c r="F9" s="269">
        <f>$G$10*G6*$G$8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195">
        <f>Nairobi!D11</f>
        <v>0</v>
      </c>
      <c r="E11" s="195">
        <f>$G$11*G12*$G$8</f>
        <v>0</v>
      </c>
      <c r="F11" s="269">
        <v>0</v>
      </c>
      <c r="G11" s="297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Nairobi!D21</f>
        <v>8.19</v>
      </c>
      <c r="E21" s="168">
        <f>Nairobi!E21</f>
        <v>8.19</v>
      </c>
      <c r="F21" s="168">
        <f>Nairobi!F21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0.62510217955963099</v>
      </c>
      <c r="E23" s="283">
        <f t="shared" ref="E23:F23" si="0">$G$23*$G$8</f>
        <v>0.62510217955963099</v>
      </c>
      <c r="F23" s="283">
        <f t="shared" si="0"/>
        <v>0.62510217955963099</v>
      </c>
      <c r="G23" s="284">
        <f>'Delivery &gt;40km-Sept 2013'!E24*I23/1000</f>
        <v>0.53888118927554396</v>
      </c>
      <c r="H23" s="262" t="s">
        <v>127</v>
      </c>
      <c r="I23" s="259">
        <v>45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157.61020506926877</v>
      </c>
      <c r="E25" s="285">
        <f>E19+E21+E23</f>
        <v>160.06025951753267</v>
      </c>
      <c r="F25" s="285">
        <f>F19+F21+F23</f>
        <v>157.49034291644566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46442" r:id="rId4">
          <objectPr defaultSize="0" autoPict="0" r:id="rId5">
            <anchor>
              <from>
                <xdr:col>1</xdr:col>
                <xdr:colOff>57150</xdr:colOff>
                <xdr:row>18</xdr:row>
                <xdr:rowOff>152400</xdr:rowOff>
              </from>
              <to>
                <xdr:col>1</xdr:col>
                <xdr:colOff>527050</xdr:colOff>
                <xdr:row>19</xdr:row>
                <xdr:rowOff>152400</xdr:rowOff>
              </to>
            </anchor>
          </objectPr>
        </oleObject>
      </mc:Choice>
      <mc:Fallback>
        <oleObject progId="Equation.3" shapeId="146442" r:id="rId4"/>
      </mc:Fallback>
    </mc:AlternateContent>
  </oleObjec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>
    <tabColor rgb="FF0070C0"/>
  </sheetPr>
  <dimension ref="A2:M69"/>
  <sheetViews>
    <sheetView topLeftCell="A24" workbookViewId="0">
      <selection activeCell="C27" sqref="C27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Thika!G23</f>
        <v>0.53888118927554396</v>
      </c>
      <c r="D40" s="943"/>
      <c r="E40" s="880">
        <f>C40</f>
        <v>0.53888118927554396</v>
      </c>
      <c r="F40" s="943"/>
      <c r="G40" s="613">
        <f>C40</f>
        <v>0.53888118927554396</v>
      </c>
      <c r="H40" s="943"/>
    </row>
    <row r="41" spans="1:8" s="392" customFormat="1">
      <c r="A41" s="605"/>
      <c r="B41" s="617" t="s">
        <v>446</v>
      </c>
      <c r="C41" s="618">
        <f>SUM(C40)</f>
        <v>0.53888118927554396</v>
      </c>
      <c r="D41" s="618">
        <f>D$9+D$20+D$22+D$28</f>
        <v>0</v>
      </c>
      <c r="E41" s="626">
        <f>SUM(E40)</f>
        <v>0.53888118927554396</v>
      </c>
      <c r="F41" s="944"/>
      <c r="G41" s="618">
        <f>SUM(G40)</f>
        <v>0.53888118927554396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168.87599127807343</v>
      </c>
      <c r="D43" s="610"/>
      <c r="E43" s="613">
        <f>E$37+E$42+E$41</f>
        <v>171.53766682943865</v>
      </c>
      <c r="F43" s="610"/>
      <c r="G43" s="236">
        <f>G$37+G$42+G$41</f>
        <v>168.73115592724099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157.01599127807344</v>
      </c>
      <c r="D46" s="610"/>
      <c r="E46" s="641">
        <f>E$43-E44-E45+F$38</f>
        <v>159.47766682943865</v>
      </c>
      <c r="F46" s="610"/>
      <c r="G46" s="642">
        <f>G$43-G44-G45+H$38</f>
        <v>156.881155927241</v>
      </c>
      <c r="H46" s="573"/>
    </row>
    <row r="47" spans="1:8">
      <c r="B47" s="503" t="s">
        <v>445</v>
      </c>
      <c r="C47" s="644"/>
      <c r="D47" s="696" t="str">
        <f>CONCATENATE("+ ",ROUND((C$46*0.08),2))</f>
        <v>+ 12.56</v>
      </c>
      <c r="E47" s="644"/>
      <c r="F47" s="627" t="str">
        <f>CONCATENATE("+ ",ROUND((E$46*0.08),2))</f>
        <v>+ 12.76</v>
      </c>
      <c r="G47" s="645"/>
      <c r="H47" s="627" t="str">
        <f>CONCATENATE("+ ",ROUND((G$46*0.08),2))</f>
        <v>+ 12.55</v>
      </c>
    </row>
    <row r="48" spans="1:8" ht="15" thickBot="1">
      <c r="B48" s="646" t="s">
        <v>449</v>
      </c>
      <c r="C48" s="697" t="str">
        <f>D47</f>
        <v>+ 12.56</v>
      </c>
      <c r="D48" s="632"/>
      <c r="E48" s="631" t="str">
        <f>F47</f>
        <v>+ 12.76</v>
      </c>
      <c r="F48" s="632"/>
      <c r="G48" s="631" t="str">
        <f>H47</f>
        <v>+ 12.55</v>
      </c>
      <c r="H48" s="632"/>
    </row>
    <row r="49" spans="1:9" s="392" customFormat="1" ht="15" thickBot="1">
      <c r="B49" s="647" t="s">
        <v>452</v>
      </c>
      <c r="C49" s="648">
        <f>C$46+C$48+C$44+C$45</f>
        <v>169.57599127807345</v>
      </c>
      <c r="D49" s="649">
        <f>D38+D47</f>
        <v>0.70000000000000107</v>
      </c>
      <c r="E49" s="648">
        <f>E$46+E$48+E$44+E$45</f>
        <v>172.23766682943864</v>
      </c>
      <c r="F49" s="649">
        <f>F38+F47</f>
        <v>0.69999999999999929</v>
      </c>
      <c r="G49" s="650">
        <f>G$46+G$48+G$44+G$45</f>
        <v>169.43115592724101</v>
      </c>
      <c r="H49" s="651">
        <f>H38+H47</f>
        <v>0.70000000000000107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60" spans="1:9">
      <c r="C60" s="888"/>
      <c r="D60" s="888"/>
      <c r="E60" s="888"/>
    </row>
    <row r="61" spans="1:9">
      <c r="G61" s="162"/>
      <c r="H61" s="162"/>
      <c r="I61" s="162"/>
    </row>
    <row r="63" spans="1:9">
      <c r="C63" s="162"/>
      <c r="D63" s="162"/>
      <c r="E63" s="162"/>
    </row>
    <row r="67" spans="3:5">
      <c r="C67" s="162"/>
      <c r="D67" s="162"/>
      <c r="E67" s="162"/>
    </row>
    <row r="68" spans="3:5">
      <c r="C68" s="162"/>
      <c r="D68" s="162"/>
      <c r="E68" s="162"/>
    </row>
    <row r="69" spans="3:5">
      <c r="C69" s="162"/>
      <c r="D69" s="162"/>
      <c r="E69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>
    <tabColor rgb="FF00CC00"/>
  </sheetPr>
  <dimension ref="B2:K31"/>
  <sheetViews>
    <sheetView topLeftCell="A13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92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2.9308559999999999</v>
      </c>
      <c r="E9" s="269">
        <f>$G$10*$G$9*$G$8</f>
        <v>2.9308559999999999</v>
      </c>
      <c r="F9" s="269">
        <f>$G$10*G6*$G$8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97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Nairobi!D21</f>
        <v>8.19</v>
      </c>
      <c r="E21" s="168">
        <f>Nairobi!E21</f>
        <v>8.19</v>
      </c>
      <c r="F21" s="168">
        <f>Nairobi!F21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0.87514305138348336</v>
      </c>
      <c r="E23" s="283">
        <f t="shared" ref="E23:F23" si="0">$G$23*$G$8</f>
        <v>0.87514305138348336</v>
      </c>
      <c r="F23" s="283">
        <f t="shared" si="0"/>
        <v>0.87514305138348336</v>
      </c>
      <c r="G23" s="284">
        <f>'Delivery &gt;40km-Sept 2013'!E24*I23/1000</f>
        <v>0.75443366498576159</v>
      </c>
      <c r="H23" s="262" t="s">
        <v>127</v>
      </c>
      <c r="I23" s="259">
        <v>63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157.86024594109261</v>
      </c>
      <c r="E25" s="285">
        <f>E19+E21+E23</f>
        <v>160.31030038935651</v>
      </c>
      <c r="F25" s="285">
        <f>F19+F21+F23</f>
        <v>157.7403837882695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93194" r:id="rId4">
          <objectPr defaultSize="0" autoPict="0" r:id="rId5">
            <anchor>
              <from>
                <xdr:col>1</xdr:col>
                <xdr:colOff>57150</xdr:colOff>
                <xdr:row>18</xdr:row>
                <xdr:rowOff>152400</xdr:rowOff>
              </from>
              <to>
                <xdr:col>1</xdr:col>
                <xdr:colOff>527050</xdr:colOff>
                <xdr:row>19</xdr:row>
                <xdr:rowOff>152400</xdr:rowOff>
              </to>
            </anchor>
          </objectPr>
        </oleObject>
      </mc:Choice>
      <mc:Fallback>
        <oleObject progId="Equation.3" shapeId="93194" r:id="rId4"/>
      </mc:Fallback>
    </mc:AlternateContent>
  </oleObjec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>
    <tabColor rgb="FF0070C0"/>
  </sheetPr>
  <dimension ref="A2:M68"/>
  <sheetViews>
    <sheetView topLeftCell="A38" workbookViewId="0">
      <selection activeCell="G8" sqref="G8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'Nairobi_Price VAT Inclusive'!C28</f>
        <v>4.2039999999999997</v>
      </c>
      <c r="D28" s="625"/>
      <c r="E28" s="626">
        <f>'Nairobi_Price VAT Inclusive'!E28</f>
        <v>4.1739999999999995</v>
      </c>
      <c r="F28" s="625"/>
      <c r="G28" s="618">
        <f>'Nairobi_Price VAT Inclusive'!G28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Machakos!G23</f>
        <v>0.75443366498576159</v>
      </c>
      <c r="D40" s="943"/>
      <c r="E40" s="880">
        <f>C40</f>
        <v>0.75443366498576159</v>
      </c>
      <c r="F40" s="943"/>
      <c r="G40" s="613">
        <f>C40</f>
        <v>0.75443366498576159</v>
      </c>
      <c r="H40" s="943"/>
    </row>
    <row r="41" spans="1:8" s="392" customFormat="1">
      <c r="A41" s="605"/>
      <c r="B41" s="617" t="s">
        <v>446</v>
      </c>
      <c r="C41" s="618">
        <f>SUM(C40)</f>
        <v>0.75443366498576159</v>
      </c>
      <c r="D41" s="618"/>
      <c r="E41" s="626">
        <f>SUM(E40)</f>
        <v>0.75443366498576159</v>
      </c>
      <c r="F41" s="944"/>
      <c r="G41" s="618">
        <f>SUM(G40)</f>
        <v>0.75443366498576159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169.09154375378364</v>
      </c>
      <c r="D43" s="610"/>
      <c r="E43" s="613">
        <f>E$37+E$42+E$41</f>
        <v>171.75321930514886</v>
      </c>
      <c r="F43" s="610"/>
      <c r="G43" s="236">
        <f>G$37+G$42+G$41</f>
        <v>168.9467084029512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157.23154375378363</v>
      </c>
      <c r="D46" s="610"/>
      <c r="E46" s="641">
        <f>E$43-E44-E45+F$38</f>
        <v>159.69321930514886</v>
      </c>
      <c r="F46" s="610"/>
      <c r="G46" s="642">
        <f>G$43-G44-G45+H$38</f>
        <v>157.09670840295121</v>
      </c>
      <c r="H46" s="573"/>
    </row>
    <row r="47" spans="1:8">
      <c r="B47" s="503" t="s">
        <v>445</v>
      </c>
      <c r="C47" s="644"/>
      <c r="D47" s="696" t="str">
        <f>CONCATENATE("+ ",ROUND((C$46*0.08),2))</f>
        <v>+ 12.58</v>
      </c>
      <c r="E47" s="644"/>
      <c r="F47" s="627" t="str">
        <f>CONCATENATE("+ ",ROUND((E$46*0.08),2))</f>
        <v>+ 12.78</v>
      </c>
      <c r="G47" s="645"/>
      <c r="H47" s="627" t="str">
        <f>CONCATENATE("+ ",ROUND((G$46*0.08),2))</f>
        <v>+ 12.57</v>
      </c>
    </row>
    <row r="48" spans="1:8" ht="15" thickBot="1">
      <c r="B48" s="646" t="s">
        <v>449</v>
      </c>
      <c r="C48" s="697" t="str">
        <f>D47</f>
        <v>+ 12.58</v>
      </c>
      <c r="D48" s="632"/>
      <c r="E48" s="631" t="str">
        <f>F47</f>
        <v>+ 12.78</v>
      </c>
      <c r="F48" s="632"/>
      <c r="G48" s="631" t="str">
        <f>H47</f>
        <v>+ 12.57</v>
      </c>
      <c r="H48" s="632"/>
    </row>
    <row r="49" spans="1:9" s="392" customFormat="1" ht="15" thickBot="1">
      <c r="B49" s="647" t="s">
        <v>452</v>
      </c>
      <c r="C49" s="648">
        <f>C$46+C$48+C$44+C$45</f>
        <v>169.81154375378364</v>
      </c>
      <c r="D49" s="649">
        <f>D38+D47</f>
        <v>0.72000000000000064</v>
      </c>
      <c r="E49" s="648">
        <f>E$46+E$48+E$44+E$45</f>
        <v>172.47321930514886</v>
      </c>
      <c r="F49" s="649">
        <f>F38+F47</f>
        <v>0.71999999999999886</v>
      </c>
      <c r="G49" s="650">
        <f>G$46+G$48+G$44+G$45</f>
        <v>169.6667084029512</v>
      </c>
      <c r="H49" s="651">
        <f>H38+H47</f>
        <v>0.72000000000000064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>
    <tabColor rgb="FF00CC00"/>
  </sheetPr>
  <dimension ref="B2:K31"/>
  <sheetViews>
    <sheetView topLeftCell="A9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179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$G$10*$G$9*$G$8</f>
        <v>2.9308559999999999</v>
      </c>
      <c r="F9" s="269">
        <f>$G$10*G6*$G$8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97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Nairobi!D21</f>
        <v>8.19</v>
      </c>
      <c r="E21" s="168">
        <f>Nairobi!E21</f>
        <v>8.19</v>
      </c>
      <c r="F21" s="168">
        <f>Nairobi!F21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2.2781501655062106</v>
      </c>
      <c r="E23" s="283">
        <f t="shared" ref="E23:F23" si="0">$G$23*$G$8</f>
        <v>2.2781501655062106</v>
      </c>
      <c r="F23" s="283">
        <f t="shared" si="0"/>
        <v>2.2781501655062106</v>
      </c>
      <c r="G23" s="284">
        <f>'Delivery &gt;40km-Sept 2013'!E24*I23/1000</f>
        <v>1.9639225564708713</v>
      </c>
      <c r="H23" s="262" t="s">
        <v>127</v>
      </c>
      <c r="I23" s="259">
        <v>164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159.26325305521536</v>
      </c>
      <c r="E25" s="285">
        <f>E19+E21+E23</f>
        <v>161.71330750347926</v>
      </c>
      <c r="F25" s="285">
        <f>F19+F21+F23</f>
        <v>159.14339090239224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312330" r:id="rId4">
          <objectPr defaultSize="0" autoPict="0" r:id="rId5">
            <anchor>
              <from>
                <xdr:col>1</xdr:col>
                <xdr:colOff>57150</xdr:colOff>
                <xdr:row>18</xdr:row>
                <xdr:rowOff>152400</xdr:rowOff>
              </from>
              <to>
                <xdr:col>1</xdr:col>
                <xdr:colOff>527050</xdr:colOff>
                <xdr:row>19</xdr:row>
                <xdr:rowOff>152400</xdr:rowOff>
              </to>
            </anchor>
          </objectPr>
        </oleObject>
      </mc:Choice>
      <mc:Fallback>
        <oleObject progId="Equation.3" shapeId="312330" r:id="rId4"/>
      </mc:Fallback>
    </mc:AlternateContent>
  </oleObjec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>
    <tabColor rgb="FF0070C0"/>
  </sheetPr>
  <dimension ref="A2:M68"/>
  <sheetViews>
    <sheetView topLeftCell="A22" workbookViewId="0">
      <selection activeCell="E28" sqref="E28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Namanga!G23</f>
        <v>1.9639225564708713</v>
      </c>
      <c r="D40" s="943"/>
      <c r="E40" s="880">
        <f>C40</f>
        <v>1.9639225564708713</v>
      </c>
      <c r="F40" s="943"/>
      <c r="G40" s="613">
        <f>C40</f>
        <v>1.9639225564708713</v>
      </c>
      <c r="H40" s="943"/>
    </row>
    <row r="41" spans="1:8" s="392" customFormat="1">
      <c r="A41" s="605"/>
      <c r="B41" s="617" t="s">
        <v>446</v>
      </c>
      <c r="C41" s="618">
        <f>SUM(C40)</f>
        <v>1.9639225564708713</v>
      </c>
      <c r="D41" s="618"/>
      <c r="E41" s="626">
        <f>SUM(E40)</f>
        <v>1.9639225564708713</v>
      </c>
      <c r="F41" s="944"/>
      <c r="G41" s="618">
        <f>SUM(G40)</f>
        <v>1.9639225564708713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170.30103264526875</v>
      </c>
      <c r="D43" s="610"/>
      <c r="E43" s="613">
        <f>E$37+E$42+E$41</f>
        <v>172.96270819663397</v>
      </c>
      <c r="F43" s="610"/>
      <c r="G43" s="236">
        <f>G$37+G$42+G$41</f>
        <v>170.15619729443631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158.44103264526876</v>
      </c>
      <c r="D46" s="610"/>
      <c r="E46" s="641">
        <f>E$43-E44-E45+F$38</f>
        <v>160.90270819663397</v>
      </c>
      <c r="F46" s="610"/>
      <c r="G46" s="642">
        <f>G$43-G44-G45+H$38</f>
        <v>158.30619729443632</v>
      </c>
      <c r="H46" s="573"/>
    </row>
    <row r="47" spans="1:8">
      <c r="B47" s="503" t="s">
        <v>445</v>
      </c>
      <c r="C47" s="644"/>
      <c r="D47" s="696" t="str">
        <f>CONCATENATE("+ ",ROUND((C$46*0.08),2))</f>
        <v>+ 12.68</v>
      </c>
      <c r="E47" s="644"/>
      <c r="F47" s="627" t="str">
        <f>CONCATENATE("+ ",ROUND((E$46*0.08),2))</f>
        <v>+ 12.87</v>
      </c>
      <c r="G47" s="645"/>
      <c r="H47" s="627" t="str">
        <f>CONCATENATE("+ ",ROUND((G$46*0.08),2))</f>
        <v>+ 12.66</v>
      </c>
    </row>
    <row r="48" spans="1:8" ht="15" thickBot="1">
      <c r="B48" s="646" t="s">
        <v>449</v>
      </c>
      <c r="C48" s="697" t="str">
        <f>D47</f>
        <v>+ 12.68</v>
      </c>
      <c r="D48" s="632"/>
      <c r="E48" s="631" t="str">
        <f>F47</f>
        <v>+ 12.87</v>
      </c>
      <c r="F48" s="632"/>
      <c r="G48" s="631" t="str">
        <f>H47</f>
        <v>+ 12.66</v>
      </c>
      <c r="H48" s="632"/>
    </row>
    <row r="49" spans="1:9" s="392" customFormat="1" ht="15" thickBot="1">
      <c r="B49" s="647" t="s">
        <v>452</v>
      </c>
      <c r="C49" s="648">
        <f>C$46+C$48+C$44+C$45</f>
        <v>171.12103264526877</v>
      </c>
      <c r="D49" s="649">
        <f>D38+D47</f>
        <v>0.82000000000000028</v>
      </c>
      <c r="E49" s="648">
        <f>E$46+E$48+E$44+E$45</f>
        <v>173.77270819663397</v>
      </c>
      <c r="F49" s="649">
        <f>F38+F47</f>
        <v>0.80999999999999872</v>
      </c>
      <c r="G49" s="650">
        <f>G$46+G$48+G$44+G$45</f>
        <v>170.96619729443631</v>
      </c>
      <c r="H49" s="651">
        <f>H38+H47</f>
        <v>0.8100000000000005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>
    <tabColor rgb="FF00CC00"/>
  </sheetPr>
  <dimension ref="B2:K31"/>
  <sheetViews>
    <sheetView topLeftCell="A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95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$G$10*$G$9*$G$8</f>
        <v>2.9308559999999999</v>
      </c>
      <c r="F9" s="269">
        <f>$G$10*G6*$G$8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97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Nairobi!D21</f>
        <v>8.19</v>
      </c>
      <c r="E21" s="168">
        <f>Nairobi!E21</f>
        <v>8.19</v>
      </c>
      <c r="F21" s="168">
        <f>Nairobi!F21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1.0696192850242574</v>
      </c>
      <c r="E23" s="283">
        <f t="shared" ref="E23:F23" si="0">$G$23*$G$8</f>
        <v>1.0696192850242574</v>
      </c>
      <c r="F23" s="283">
        <f t="shared" si="0"/>
        <v>1.0696192850242574</v>
      </c>
      <c r="G23" s="284">
        <f>'Delivery &gt;40km-Sept 2013'!E24*I23/1000</f>
        <v>0.92208559053815309</v>
      </c>
      <c r="H23" s="262" t="s">
        <v>127</v>
      </c>
      <c r="I23" s="259">
        <v>77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158.0547221747334</v>
      </c>
      <c r="E25" s="285">
        <f>E19+E21+E23</f>
        <v>160.5047766229973</v>
      </c>
      <c r="F25" s="285">
        <f>F19+F21+F23</f>
        <v>157.93486002191028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98314" r:id="rId4">
          <objectPr defaultSize="0" autoPict="0" r:id="rId5">
            <anchor>
              <from>
                <xdr:col>1</xdr:col>
                <xdr:colOff>57150</xdr:colOff>
                <xdr:row>18</xdr:row>
                <xdr:rowOff>152400</xdr:rowOff>
              </from>
              <to>
                <xdr:col>1</xdr:col>
                <xdr:colOff>527050</xdr:colOff>
                <xdr:row>19</xdr:row>
                <xdr:rowOff>152400</xdr:rowOff>
              </to>
            </anchor>
          </objectPr>
        </oleObject>
      </mc:Choice>
      <mc:Fallback>
        <oleObject progId="Equation.3" shapeId="98314" r:id="rId4"/>
      </mc:Fallback>
    </mc:AlternateContent>
  </oleObjec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>
    <tabColor rgb="FF0070C0"/>
  </sheetPr>
  <dimension ref="A2:M68"/>
  <sheetViews>
    <sheetView topLeftCell="A28" workbookViewId="0">
      <selection activeCell="D61" sqref="D6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Kajiado!G23</f>
        <v>0.92208559053815309</v>
      </c>
      <c r="D40" s="943"/>
      <c r="E40" s="880">
        <f>C40</f>
        <v>0.92208559053815309</v>
      </c>
      <c r="F40" s="943"/>
      <c r="G40" s="613">
        <f>C40</f>
        <v>0.92208559053815309</v>
      </c>
      <c r="H40" s="943"/>
    </row>
    <row r="41" spans="1:8" s="392" customFormat="1">
      <c r="A41" s="605"/>
      <c r="B41" s="617" t="s">
        <v>446</v>
      </c>
      <c r="C41" s="618">
        <f>SUM(C40)</f>
        <v>0.92208559053815309</v>
      </c>
      <c r="D41" s="618"/>
      <c r="E41" s="626">
        <f>SUM(E40)</f>
        <v>0.92208559053815309</v>
      </c>
      <c r="F41" s="944"/>
      <c r="G41" s="618">
        <f>SUM(G40)</f>
        <v>0.92208559053815309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169.25919567933605</v>
      </c>
      <c r="D43" s="610"/>
      <c r="E43" s="613">
        <f>E$37+E$42+E$41</f>
        <v>171.92087123070127</v>
      </c>
      <c r="F43" s="610"/>
      <c r="G43" s="236">
        <f>G$37+G$42+G$41</f>
        <v>169.11436032850361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157.39919567933606</v>
      </c>
      <c r="D46" s="610"/>
      <c r="E46" s="641">
        <f>E$43-E44-E45+F$38</f>
        <v>159.86087123070126</v>
      </c>
      <c r="F46" s="610"/>
      <c r="G46" s="642">
        <f>G$43-G44-G45+H$38</f>
        <v>157.26436032850361</v>
      </c>
      <c r="H46" s="573"/>
    </row>
    <row r="47" spans="1:8">
      <c r="B47" s="503" t="s">
        <v>445</v>
      </c>
      <c r="C47" s="644"/>
      <c r="D47" s="696" t="str">
        <f>CONCATENATE("+ ",ROUND((C$46*0.08),2))</f>
        <v>+ 12.59</v>
      </c>
      <c r="E47" s="644"/>
      <c r="F47" s="627" t="str">
        <f>CONCATENATE("+ ",ROUND((E$46*0.08),2))</f>
        <v>+ 12.79</v>
      </c>
      <c r="G47" s="645"/>
      <c r="H47" s="627" t="str">
        <f>CONCATENATE("+ ",ROUND((G$46*0.08),2))</f>
        <v>+ 12.58</v>
      </c>
    </row>
    <row r="48" spans="1:8" ht="15" thickBot="1">
      <c r="B48" s="646" t="s">
        <v>449</v>
      </c>
      <c r="C48" s="697" t="str">
        <f>D47</f>
        <v>+ 12.59</v>
      </c>
      <c r="D48" s="632"/>
      <c r="E48" s="631" t="str">
        <f>F47</f>
        <v>+ 12.79</v>
      </c>
      <c r="F48" s="632"/>
      <c r="G48" s="631" t="str">
        <f>H47</f>
        <v>+ 12.58</v>
      </c>
      <c r="H48" s="632"/>
    </row>
    <row r="49" spans="1:9" s="392" customFormat="1" ht="15" thickBot="1">
      <c r="B49" s="647" t="s">
        <v>452</v>
      </c>
      <c r="C49" s="648">
        <f>C$46+C$48+C$44+C$45</f>
        <v>169.98919567933606</v>
      </c>
      <c r="D49" s="649">
        <f>D38+D47</f>
        <v>0.73000000000000043</v>
      </c>
      <c r="E49" s="648">
        <f>E$46+E$48+E$44+E$45</f>
        <v>172.65087123070126</v>
      </c>
      <c r="F49" s="649">
        <f>F38+F47</f>
        <v>0.72999999999999865</v>
      </c>
      <c r="G49" s="650">
        <f>G$46+G$48+G$44+G$45</f>
        <v>169.84436032850363</v>
      </c>
      <c r="H49" s="651">
        <f>H38+H47</f>
        <v>0.73000000000000043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>
    <tabColor rgb="FF00CC00"/>
  </sheetPr>
  <dimension ref="B2:K31"/>
  <sheetViews>
    <sheetView topLeftCell="B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93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$G$10*$G$9*$G$8</f>
        <v>2.9308559999999999</v>
      </c>
      <c r="F9" s="269">
        <f>$G$10*G6*$G$8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97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Nairobi!D21</f>
        <v>8.19</v>
      </c>
      <c r="E21" s="168">
        <f>Nairobi!E21</f>
        <v>8.19</v>
      </c>
      <c r="F21" s="168">
        <f>Nairobi!F21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1.1807485613904141</v>
      </c>
      <c r="E23" s="283">
        <f t="shared" ref="E23:F23" si="0">$G$23*$G$8</f>
        <v>1.1807485613904141</v>
      </c>
      <c r="F23" s="283">
        <f t="shared" si="0"/>
        <v>1.1807485613904141</v>
      </c>
      <c r="G23" s="284">
        <f>'Delivery &gt;40km-Sept 2013'!E24*I23/1000</f>
        <v>1.0178866908538053</v>
      </c>
      <c r="H23" s="262" t="s">
        <v>127</v>
      </c>
      <c r="I23" s="259">
        <v>85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158.16585145109954</v>
      </c>
      <c r="E25" s="285">
        <f>E19+E21+E23</f>
        <v>160.61590589936344</v>
      </c>
      <c r="F25" s="285">
        <f>F19+F21+F23</f>
        <v>158.04598929827642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94218" r:id="rId4">
          <objectPr defaultSize="0" autoPict="0" r:id="rId5">
            <anchor>
              <from>
                <xdr:col>1</xdr:col>
                <xdr:colOff>57150</xdr:colOff>
                <xdr:row>18</xdr:row>
                <xdr:rowOff>152400</xdr:rowOff>
              </from>
              <to>
                <xdr:col>1</xdr:col>
                <xdr:colOff>527050</xdr:colOff>
                <xdr:row>19</xdr:row>
                <xdr:rowOff>152400</xdr:rowOff>
              </to>
            </anchor>
          </objectPr>
        </oleObject>
      </mc:Choice>
      <mc:Fallback>
        <oleObject progId="Equation.3" shapeId="94218" r:id="rId4"/>
      </mc:Fallback>
    </mc:AlternateContent>
  </oleObjec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>
    <tabColor rgb="FF0070C0"/>
  </sheetPr>
  <dimension ref="A2:M68"/>
  <sheetViews>
    <sheetView topLeftCell="A26" workbookViewId="0">
      <selection activeCell="G42" sqref="G42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Muranga!G23</f>
        <v>1.0178866908538053</v>
      </c>
      <c r="D40" s="943"/>
      <c r="E40" s="880">
        <f>C40</f>
        <v>1.0178866908538053</v>
      </c>
      <c r="F40" s="943"/>
      <c r="G40" s="613">
        <f>C40</f>
        <v>1.0178866908538053</v>
      </c>
      <c r="H40" s="943"/>
    </row>
    <row r="41" spans="1:8" s="392" customFormat="1">
      <c r="A41" s="605"/>
      <c r="B41" s="617" t="s">
        <v>446</v>
      </c>
      <c r="C41" s="618">
        <f>SUM(C40)</f>
        <v>1.0178866908538053</v>
      </c>
      <c r="D41" s="618"/>
      <c r="E41" s="626">
        <f>SUM(E40)</f>
        <v>1.0178866908538053</v>
      </c>
      <c r="F41" s="944"/>
      <c r="G41" s="618">
        <f>SUM(G40)</f>
        <v>1.0178866908538053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169.35499677965169</v>
      </c>
      <c r="D43" s="610"/>
      <c r="E43" s="613">
        <f>E$37+E$42+E$41</f>
        <v>172.01667233101691</v>
      </c>
      <c r="F43" s="610"/>
      <c r="G43" s="236">
        <f>G$37+G$42+G$41</f>
        <v>169.21016142881925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157.49499677965167</v>
      </c>
      <c r="D46" s="610"/>
      <c r="E46" s="641">
        <f>E$43-E44-E45+F$38</f>
        <v>159.9566723310169</v>
      </c>
      <c r="F46" s="610"/>
      <c r="G46" s="642">
        <f>G$43-G44-G45+H$38</f>
        <v>157.36016142881925</v>
      </c>
      <c r="H46" s="573"/>
    </row>
    <row r="47" spans="1:8">
      <c r="B47" s="503" t="s">
        <v>445</v>
      </c>
      <c r="C47" s="644"/>
      <c r="D47" s="696" t="str">
        <f>CONCATENATE("+ ",ROUND((C$46*0.08),2))</f>
        <v>+ 12.6</v>
      </c>
      <c r="E47" s="644"/>
      <c r="F47" s="627" t="str">
        <f>CONCATENATE("+ ",ROUND((E$46*0.08),2))</f>
        <v>+ 12.8</v>
      </c>
      <c r="G47" s="645"/>
      <c r="H47" s="627" t="str">
        <f>CONCATENATE("+ ",ROUND((G$46*0.08),2))</f>
        <v>+ 12.59</v>
      </c>
    </row>
    <row r="48" spans="1:8" ht="15" thickBot="1">
      <c r="B48" s="646" t="s">
        <v>449</v>
      </c>
      <c r="C48" s="697" t="str">
        <f>D47</f>
        <v>+ 12.6</v>
      </c>
      <c r="D48" s="632"/>
      <c r="E48" s="631" t="str">
        <f>F47</f>
        <v>+ 12.8</v>
      </c>
      <c r="F48" s="632"/>
      <c r="G48" s="631" t="str">
        <f>H47</f>
        <v>+ 12.59</v>
      </c>
      <c r="H48" s="632"/>
    </row>
    <row r="49" spans="1:9" s="392" customFormat="1" ht="15" thickBot="1">
      <c r="B49" s="647" t="s">
        <v>452</v>
      </c>
      <c r="C49" s="648">
        <f>C$46+C$48+C$44+C$45</f>
        <v>170.09499677965167</v>
      </c>
      <c r="D49" s="649">
        <f>D38+D47</f>
        <v>0.74000000000000021</v>
      </c>
      <c r="E49" s="648">
        <f>E$46+E$48+E$44+E$45</f>
        <v>172.75667233101692</v>
      </c>
      <c r="F49" s="649">
        <f>F38+F47</f>
        <v>0.74000000000000021</v>
      </c>
      <c r="G49" s="650">
        <f>G$46+G$48+G$44+G$45</f>
        <v>169.95016142881926</v>
      </c>
      <c r="H49" s="651">
        <f>H38+H47</f>
        <v>0.74000000000000021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>
    <tabColor rgb="FF00CC00"/>
  </sheetPr>
  <dimension ref="B2:K31"/>
  <sheetViews>
    <sheetView topLeftCell="A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77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$G$10*$G$9*$G$8</f>
        <v>2.9308559999999999</v>
      </c>
      <c r="F9" s="269">
        <f>$G$10*G6*$G$8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97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Nairobi!D21</f>
        <v>8.19</v>
      </c>
      <c r="E21" s="168">
        <f>Nairobi!E21</f>
        <v>8.19</v>
      </c>
      <c r="F21" s="168">
        <f>Nairobi!F21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1.8058507409500453</v>
      </c>
      <c r="E23" s="283">
        <f t="shared" ref="E23:F23" si="0">$G$23*$G$8</f>
        <v>1.8058507409500453</v>
      </c>
      <c r="F23" s="283">
        <f t="shared" si="0"/>
        <v>1.8058507409500453</v>
      </c>
      <c r="G23" s="284">
        <f>'Delivery &gt;40km-Sept 2013'!E24*I23/1000</f>
        <v>1.5567678801293494</v>
      </c>
      <c r="H23" s="262" t="s">
        <v>127</v>
      </c>
      <c r="I23" s="259">
        <v>130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158.79095363065917</v>
      </c>
      <c r="E25" s="285">
        <f>E19+E21+E23</f>
        <v>161.24100807892307</v>
      </c>
      <c r="F25" s="285">
        <f>F19+F21+F23</f>
        <v>158.67109147783606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91146" r:id="rId4">
          <objectPr defaultSize="0" autoPict="0" r:id="rId5">
            <anchor>
              <from>
                <xdr:col>1</xdr:col>
                <xdr:colOff>57150</xdr:colOff>
                <xdr:row>18</xdr:row>
                <xdr:rowOff>152400</xdr:rowOff>
              </from>
              <to>
                <xdr:col>1</xdr:col>
                <xdr:colOff>527050</xdr:colOff>
                <xdr:row>19</xdr:row>
                <xdr:rowOff>152400</xdr:rowOff>
              </to>
            </anchor>
          </objectPr>
        </oleObject>
      </mc:Choice>
      <mc:Fallback>
        <oleObject progId="Equation.3" shapeId="91146" r:id="rId4"/>
      </mc:Fallback>
    </mc:AlternateContent>
  </oleObjec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>
    <tabColor rgb="FF0070C0"/>
  </sheetPr>
  <dimension ref="A2:M68"/>
  <sheetViews>
    <sheetView topLeftCell="A32" workbookViewId="0">
      <selection activeCell="C47" sqref="C47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Embu!G23</f>
        <v>1.5567678801293494</v>
      </c>
      <c r="D40" s="943"/>
      <c r="E40" s="880">
        <f>C40</f>
        <v>1.5567678801293494</v>
      </c>
      <c r="F40" s="943"/>
      <c r="G40" s="613">
        <f>C40</f>
        <v>1.5567678801293494</v>
      </c>
      <c r="H40" s="943"/>
    </row>
    <row r="41" spans="1:8" s="392" customFormat="1">
      <c r="A41" s="605"/>
      <c r="B41" s="617" t="s">
        <v>446</v>
      </c>
      <c r="C41" s="618">
        <f>SUM(C40)</f>
        <v>1.5567678801293494</v>
      </c>
      <c r="D41" s="618"/>
      <c r="E41" s="626">
        <f>SUM(E40)</f>
        <v>1.5567678801293494</v>
      </c>
      <c r="F41" s="944"/>
      <c r="G41" s="618">
        <f>SUM(G40)</f>
        <v>1.5567678801293494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169.89387796892723</v>
      </c>
      <c r="D43" s="610"/>
      <c r="E43" s="613">
        <f>E$37+E$42+E$41</f>
        <v>172.55555352029245</v>
      </c>
      <c r="F43" s="610"/>
      <c r="G43" s="236">
        <f>G$37+G$42+G$41</f>
        <v>169.74904261809479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158.03387796892724</v>
      </c>
      <c r="D46" s="610"/>
      <c r="E46" s="641">
        <f>E$43-E44-E45+F$38</f>
        <v>160.49555352029245</v>
      </c>
      <c r="F46" s="610"/>
      <c r="G46" s="642">
        <f>G$43-G44-G45+H$38</f>
        <v>157.8990426180948</v>
      </c>
      <c r="H46" s="573"/>
    </row>
    <row r="47" spans="1:8">
      <c r="B47" s="503" t="s">
        <v>445</v>
      </c>
      <c r="C47" s="644"/>
      <c r="D47" s="696" t="str">
        <f>CONCATENATE("+ ",ROUND((C$46*0.08),2))</f>
        <v>+ 12.64</v>
      </c>
      <c r="E47" s="644"/>
      <c r="F47" s="627" t="str">
        <f>CONCATENATE("+ ",ROUND((E$46*0.08),2))</f>
        <v>+ 12.84</v>
      </c>
      <c r="G47" s="645"/>
      <c r="H47" s="627" t="str">
        <f>CONCATENATE("+ ",ROUND((G$46*0.08),2))</f>
        <v>+ 12.63</v>
      </c>
    </row>
    <row r="48" spans="1:8" ht="15" thickBot="1">
      <c r="B48" s="646" t="s">
        <v>449</v>
      </c>
      <c r="C48" s="697" t="str">
        <f>D47</f>
        <v>+ 12.64</v>
      </c>
      <c r="D48" s="632"/>
      <c r="E48" s="631" t="str">
        <f>F47</f>
        <v>+ 12.84</v>
      </c>
      <c r="F48" s="632"/>
      <c r="G48" s="631" t="str">
        <f>H47</f>
        <v>+ 12.63</v>
      </c>
      <c r="H48" s="632"/>
    </row>
    <row r="49" spans="1:9" s="392" customFormat="1" ht="15" thickBot="1">
      <c r="B49" s="647" t="s">
        <v>452</v>
      </c>
      <c r="C49" s="648">
        <f>C$46+C$48+C$44+C$45</f>
        <v>170.67387796892723</v>
      </c>
      <c r="D49" s="649">
        <f>D38+D47</f>
        <v>0.78000000000000114</v>
      </c>
      <c r="E49" s="648">
        <f>E$46+E$48+E$44+E$45</f>
        <v>173.33555352029245</v>
      </c>
      <c r="F49" s="649">
        <f>F38+F47</f>
        <v>0.77999999999999936</v>
      </c>
      <c r="G49" s="650">
        <f>G$46+G$48+G$44+G$45</f>
        <v>170.52904261809479</v>
      </c>
      <c r="H49" s="651">
        <f>H38+H47</f>
        <v>0.78000000000000114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>
    <tabColor rgb="FF00CC00"/>
  </sheetPr>
  <dimension ref="B2:K31"/>
  <sheetViews>
    <sheetView topLeftCell="A13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176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195">
        <f>$G$10*$G$9*$G$8</f>
        <v>2.9308559999999999</v>
      </c>
      <c r="F9" s="269">
        <f>$G$10*G6*$G$8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97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Nairobi!D21</f>
        <v>8.19</v>
      </c>
      <c r="E21" s="168">
        <f>Nairobi!E21</f>
        <v>8.19</v>
      </c>
      <c r="F21" s="168">
        <f>Nairobi!F21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1.7225037836754278</v>
      </c>
      <c r="E23" s="283">
        <f t="shared" ref="E23:F23" si="0">$G$23*$G$8</f>
        <v>1.7225037836754278</v>
      </c>
      <c r="F23" s="283">
        <f t="shared" si="0"/>
        <v>1.7225037836754278</v>
      </c>
      <c r="G23" s="284">
        <f>'Delivery &gt;40km-Sept 2013'!E24*I23/1000</f>
        <v>1.4849170548926103</v>
      </c>
      <c r="H23" s="262" t="s">
        <v>127</v>
      </c>
      <c r="I23" s="259">
        <v>124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158.70760667338456</v>
      </c>
      <c r="E25" s="285">
        <f>E19+E21+E23</f>
        <v>161.15766112164846</v>
      </c>
      <c r="F25" s="285">
        <f>F19+F21+F23</f>
        <v>158.58774452056144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272394" r:id="rId4">
          <objectPr defaultSize="0" autoPict="0" r:id="rId5">
            <anchor>
              <from>
                <xdr:col>1</xdr:col>
                <xdr:colOff>57150</xdr:colOff>
                <xdr:row>18</xdr:row>
                <xdr:rowOff>152400</xdr:rowOff>
              </from>
              <to>
                <xdr:col>1</xdr:col>
                <xdr:colOff>527050</xdr:colOff>
                <xdr:row>19</xdr:row>
                <xdr:rowOff>152400</xdr:rowOff>
              </to>
            </anchor>
          </objectPr>
        </oleObject>
      </mc:Choice>
      <mc:Fallback>
        <oleObject progId="Equation.3" shapeId="272394" r:id="rId4"/>
      </mc:Fallback>
    </mc:AlternateContent>
  </oleObjec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>
    <tabColor rgb="FF0070C0"/>
  </sheetPr>
  <dimension ref="A2:M68"/>
  <sheetViews>
    <sheetView topLeftCell="A21" workbookViewId="0">
      <selection activeCell="F60" sqref="F60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Kerugoya!G23</f>
        <v>1.4849170548926103</v>
      </c>
      <c r="D40" s="943"/>
      <c r="E40" s="880">
        <f>C40</f>
        <v>1.4849170548926103</v>
      </c>
      <c r="F40" s="943"/>
      <c r="G40" s="613">
        <f>C40</f>
        <v>1.4849170548926103</v>
      </c>
      <c r="H40" s="943"/>
    </row>
    <row r="41" spans="1:8" s="392" customFormat="1">
      <c r="A41" s="605"/>
      <c r="B41" s="617" t="s">
        <v>446</v>
      </c>
      <c r="C41" s="618">
        <f>SUM(C40)</f>
        <v>1.4849170548926103</v>
      </c>
      <c r="D41" s="618"/>
      <c r="E41" s="626">
        <f>SUM(E40)</f>
        <v>1.4849170548926103</v>
      </c>
      <c r="F41" s="944"/>
      <c r="G41" s="618">
        <f>SUM(G40)</f>
        <v>1.4849170548926103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169.82202714369049</v>
      </c>
      <c r="D43" s="610"/>
      <c r="E43" s="613">
        <f>E$37+E$42+E$41</f>
        <v>172.48370269505571</v>
      </c>
      <c r="F43" s="610"/>
      <c r="G43" s="236">
        <f>G$37+G$42+G$41</f>
        <v>169.67719179285805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157.96202714369048</v>
      </c>
      <c r="D46" s="610"/>
      <c r="E46" s="641">
        <f>E$43-E44-E45+F$38</f>
        <v>160.42370269505571</v>
      </c>
      <c r="F46" s="610"/>
      <c r="G46" s="642">
        <f>G$43-G44-G45+H$38</f>
        <v>157.82719179285806</v>
      </c>
      <c r="H46" s="573"/>
    </row>
    <row r="47" spans="1:8">
      <c r="B47" s="503" t="s">
        <v>445</v>
      </c>
      <c r="C47" s="644"/>
      <c r="D47" s="696" t="str">
        <f>CONCATENATE("+ ",ROUND((C$46*0.08),2))</f>
        <v>+ 12.64</v>
      </c>
      <c r="E47" s="644"/>
      <c r="F47" s="627" t="str">
        <f>CONCATENATE("+ ",ROUND((E$46*0.08),2))</f>
        <v>+ 12.83</v>
      </c>
      <c r="G47" s="645"/>
      <c r="H47" s="627" t="str">
        <f>CONCATENATE("+ ",ROUND((G$46*0.08),2))</f>
        <v>+ 12.63</v>
      </c>
    </row>
    <row r="48" spans="1:8" ht="15" thickBot="1">
      <c r="B48" s="646" t="s">
        <v>449</v>
      </c>
      <c r="C48" s="697" t="str">
        <f>D47</f>
        <v>+ 12.64</v>
      </c>
      <c r="D48" s="632"/>
      <c r="E48" s="631" t="str">
        <f>F47</f>
        <v>+ 12.83</v>
      </c>
      <c r="F48" s="632"/>
      <c r="G48" s="631" t="str">
        <f>H47</f>
        <v>+ 12.63</v>
      </c>
      <c r="H48" s="632"/>
    </row>
    <row r="49" spans="1:9" s="392" customFormat="1" ht="15" thickBot="1">
      <c r="B49" s="647" t="s">
        <v>452</v>
      </c>
      <c r="C49" s="648">
        <f>C$46+C$48+C$44+C$45</f>
        <v>170.60202714369046</v>
      </c>
      <c r="D49" s="649">
        <f>D38+D47</f>
        <v>0.78000000000000114</v>
      </c>
      <c r="E49" s="648">
        <f>E$46+E$48+E$44+E$45</f>
        <v>173.25370269505572</v>
      </c>
      <c r="F49" s="649">
        <f>F38+F47</f>
        <v>0.76999999999999957</v>
      </c>
      <c r="G49" s="650">
        <f>G$46+G$48+G$44+G$45</f>
        <v>170.45719179285805</v>
      </c>
      <c r="H49" s="651">
        <f>H38+H47</f>
        <v>0.78000000000000114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7">
    <tabColor rgb="FF00CC00"/>
  </sheetPr>
  <dimension ref="B2:K31"/>
  <sheetViews>
    <sheetView topLeftCell="B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178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$G$10*$G$9*$G$8</f>
        <v>2.9308559999999999</v>
      </c>
      <c r="F9" s="269">
        <f>$G$10*G6*$G$8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97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Nairobi!D21</f>
        <v>8.19</v>
      </c>
      <c r="E21" s="168">
        <f>Nairobi!E21</f>
        <v>8.19</v>
      </c>
      <c r="F21" s="168">
        <f>Nairobi!F21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2.0558916127738973</v>
      </c>
      <c r="E23" s="283">
        <f t="shared" ref="E23:F23" si="0">$G$23*$G$8</f>
        <v>2.0558916127738973</v>
      </c>
      <c r="F23" s="283">
        <f t="shared" si="0"/>
        <v>2.0558916127738973</v>
      </c>
      <c r="G23" s="284">
        <f>'Delivery &gt;40km-Sept 2013'!E24*I23/1000</f>
        <v>1.7723203558395668</v>
      </c>
      <c r="H23" s="262" t="s">
        <v>127</v>
      </c>
      <c r="I23" s="259">
        <v>148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159.04099450248304</v>
      </c>
      <c r="E25" s="285">
        <f>E19+E21+E23</f>
        <v>161.49104895074694</v>
      </c>
      <c r="F25" s="285">
        <f>F19+F21+F23</f>
        <v>158.92113234965993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313354" r:id="rId4">
          <objectPr defaultSize="0" autoPict="0" r:id="rId5">
            <anchor>
              <from>
                <xdr:col>1</xdr:col>
                <xdr:colOff>57150</xdr:colOff>
                <xdr:row>18</xdr:row>
                <xdr:rowOff>152400</xdr:rowOff>
              </from>
              <to>
                <xdr:col>1</xdr:col>
                <xdr:colOff>527050</xdr:colOff>
                <xdr:row>19</xdr:row>
                <xdr:rowOff>152400</xdr:rowOff>
              </to>
            </anchor>
          </objectPr>
        </oleObject>
      </mc:Choice>
      <mc:Fallback>
        <oleObject progId="Equation.3" shapeId="313354" r:id="rId4"/>
      </mc:Fallback>
    </mc:AlternateContent>
  </oleObjec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8">
    <tabColor rgb="FF0070C0"/>
  </sheetPr>
  <dimension ref="A2:M68"/>
  <sheetViews>
    <sheetView topLeftCell="A25" workbookViewId="0">
      <selection activeCell="C43" sqref="C43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Kiganjo!G23</f>
        <v>1.7723203558395668</v>
      </c>
      <c r="D40" s="943"/>
      <c r="E40" s="880">
        <f>C40</f>
        <v>1.7723203558395668</v>
      </c>
      <c r="F40" s="943"/>
      <c r="G40" s="613">
        <f>C40</f>
        <v>1.7723203558395668</v>
      </c>
      <c r="H40" s="943"/>
    </row>
    <row r="41" spans="1:8" s="392" customFormat="1">
      <c r="A41" s="605"/>
      <c r="B41" s="617" t="s">
        <v>446</v>
      </c>
      <c r="C41" s="618">
        <f>SUM(C40)</f>
        <v>1.7723203558395668</v>
      </c>
      <c r="D41" s="618"/>
      <c r="E41" s="626">
        <f>SUM(E40)</f>
        <v>1.7723203558395668</v>
      </c>
      <c r="F41" s="944"/>
      <c r="G41" s="618">
        <f>SUM(G40)</f>
        <v>1.7723203558395668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170.10943044463744</v>
      </c>
      <c r="D43" s="610"/>
      <c r="E43" s="613">
        <f>E$37+E$42+E$41</f>
        <v>172.77110599600266</v>
      </c>
      <c r="F43" s="610"/>
      <c r="G43" s="236">
        <f>G$37+G$42+G$41</f>
        <v>169.964595093805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158.24943044463743</v>
      </c>
      <c r="D46" s="610"/>
      <c r="E46" s="641">
        <f>E$43-E44-E45+F$38</f>
        <v>160.71110599600266</v>
      </c>
      <c r="F46" s="610"/>
      <c r="G46" s="642">
        <f>G$43-G44-G45+H$38</f>
        <v>158.11459509380501</v>
      </c>
      <c r="H46" s="573"/>
    </row>
    <row r="47" spans="1:8">
      <c r="B47" s="503" t="s">
        <v>445</v>
      </c>
      <c r="C47" s="644"/>
      <c r="D47" s="696" t="str">
        <f>CONCATENATE("+ ",ROUND((C$46*0.08),2))</f>
        <v>+ 12.66</v>
      </c>
      <c r="E47" s="644"/>
      <c r="F47" s="627" t="str">
        <f>CONCATENATE("+ ",ROUND((E$46*0.08),2))</f>
        <v>+ 12.86</v>
      </c>
      <c r="G47" s="645"/>
      <c r="H47" s="627" t="str">
        <f>CONCATENATE("+ ",ROUND((G$46*0.08),2))</f>
        <v>+ 12.65</v>
      </c>
    </row>
    <row r="48" spans="1:8" ht="15" thickBot="1">
      <c r="B48" s="646" t="s">
        <v>449</v>
      </c>
      <c r="C48" s="697" t="str">
        <f>D47</f>
        <v>+ 12.66</v>
      </c>
      <c r="D48" s="632"/>
      <c r="E48" s="631" t="str">
        <f>F47</f>
        <v>+ 12.86</v>
      </c>
      <c r="F48" s="632"/>
      <c r="G48" s="631" t="str">
        <f>H47</f>
        <v>+ 12.65</v>
      </c>
      <c r="H48" s="632"/>
    </row>
    <row r="49" spans="1:9" s="392" customFormat="1" ht="15" thickBot="1">
      <c r="B49" s="647" t="s">
        <v>452</v>
      </c>
      <c r="C49" s="648">
        <f>C$46+C$48+C$44+C$45</f>
        <v>170.90943044463742</v>
      </c>
      <c r="D49" s="649">
        <f>D38+D47</f>
        <v>0.80000000000000071</v>
      </c>
      <c r="E49" s="648">
        <f>E$46+E$48+E$44+E$45</f>
        <v>173.57110599600264</v>
      </c>
      <c r="F49" s="649">
        <f>F38+F47</f>
        <v>0.79999999999999893</v>
      </c>
      <c r="G49" s="650">
        <f>G$46+G$48+G$44+G$45</f>
        <v>170.76459509380501</v>
      </c>
      <c r="H49" s="651">
        <f>H38+H47</f>
        <v>0.80000000000000071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9">
    <tabColor rgb="FF00CC00"/>
  </sheetPr>
  <dimension ref="B2:K31"/>
  <sheetViews>
    <sheetView topLeftCell="A11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181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$G$10*$G$9*$G$8</f>
        <v>2.9308559999999999</v>
      </c>
      <c r="F9" s="269">
        <f>$G$10*G6*$G$8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97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Nairobi!D21</f>
        <v>8.19</v>
      </c>
      <c r="E21" s="168">
        <f>Nairobi!E21</f>
        <v>8.19</v>
      </c>
      <c r="F21" s="168">
        <f>Nairobi!F21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0.93070768956656169</v>
      </c>
      <c r="E23" s="283">
        <f t="shared" ref="E23:F23" si="0">$G$23*$G$8</f>
        <v>0.93070768956656169</v>
      </c>
      <c r="F23" s="283">
        <f t="shared" si="0"/>
        <v>0.93070768956656169</v>
      </c>
      <c r="G23" s="284">
        <f>'Delivery &gt;40km-Sept 2013'!E24*I23/1000</f>
        <v>0.80233421514358771</v>
      </c>
      <c r="H23" s="262" t="s">
        <v>127</v>
      </c>
      <c r="I23" s="259">
        <v>67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157.9158105792757</v>
      </c>
      <c r="E25" s="285">
        <f>E19+E21+E23</f>
        <v>160.3658650275396</v>
      </c>
      <c r="F25" s="285">
        <f>F19+F21+F23</f>
        <v>157.79594842645258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314378" r:id="rId4">
          <objectPr defaultSize="0" autoPict="0" r:id="rId5">
            <anchor>
              <from>
                <xdr:col>1</xdr:col>
                <xdr:colOff>57150</xdr:colOff>
                <xdr:row>18</xdr:row>
                <xdr:rowOff>152400</xdr:rowOff>
              </from>
              <to>
                <xdr:col>1</xdr:col>
                <xdr:colOff>527050</xdr:colOff>
                <xdr:row>19</xdr:row>
                <xdr:rowOff>152400</xdr:rowOff>
              </to>
            </anchor>
          </objectPr>
        </oleObject>
      </mc:Choice>
      <mc:Fallback>
        <oleObject progId="Equation.3" shapeId="314378" r:id="rId4"/>
      </mc:Fallback>
    </mc:AlternateContent>
  </oleObjec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0">
    <tabColor rgb="FF0070C0"/>
  </sheetPr>
  <dimension ref="A2:M68"/>
  <sheetViews>
    <sheetView topLeftCell="A26" workbookViewId="0">
      <selection activeCell="D47" sqref="D47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Makuyu!G23</f>
        <v>0.80233421514358771</v>
      </c>
      <c r="D40" s="943"/>
      <c r="E40" s="880">
        <f>C40</f>
        <v>0.80233421514358771</v>
      </c>
      <c r="F40" s="943"/>
      <c r="G40" s="613">
        <f>C40</f>
        <v>0.80233421514358771</v>
      </c>
      <c r="H40" s="943"/>
    </row>
    <row r="41" spans="1:8" s="392" customFormat="1">
      <c r="A41" s="605"/>
      <c r="B41" s="617" t="s">
        <v>446</v>
      </c>
      <c r="C41" s="618">
        <f>SUM(C40)</f>
        <v>0.80233421514358771</v>
      </c>
      <c r="D41" s="618"/>
      <c r="E41" s="626">
        <f>SUM(E40)</f>
        <v>0.80233421514358771</v>
      </c>
      <c r="F41" s="944"/>
      <c r="G41" s="618">
        <f>SUM(G40)</f>
        <v>0.80233421514358771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169.13944430394147</v>
      </c>
      <c r="D43" s="610"/>
      <c r="E43" s="613">
        <f>E$37+E$42+E$41</f>
        <v>171.80111985530669</v>
      </c>
      <c r="F43" s="610"/>
      <c r="G43" s="236">
        <f>G$37+G$42+G$41</f>
        <v>168.99460895310904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157.27944430394149</v>
      </c>
      <c r="D46" s="610"/>
      <c r="E46" s="641">
        <f>E$43-E44-E45+F$38</f>
        <v>159.74111985530669</v>
      </c>
      <c r="F46" s="610"/>
      <c r="G46" s="642">
        <f>G$43-G44-G45+H$38</f>
        <v>157.14460895310904</v>
      </c>
      <c r="H46" s="573"/>
    </row>
    <row r="47" spans="1:8">
      <c r="B47" s="503" t="s">
        <v>445</v>
      </c>
      <c r="C47" s="644"/>
      <c r="D47" s="696" t="str">
        <f>CONCATENATE("+ ",ROUND((C$46*0.08),2))</f>
        <v>+ 12.58</v>
      </c>
      <c r="E47" s="644"/>
      <c r="F47" s="627" t="str">
        <f>CONCATENATE("+ ",ROUND((E$46*0.08),2))</f>
        <v>+ 12.78</v>
      </c>
      <c r="G47" s="645"/>
      <c r="H47" s="627" t="str">
        <f>CONCATENATE("+ ",ROUND((G$46*0.08),2))</f>
        <v>+ 12.57</v>
      </c>
    </row>
    <row r="48" spans="1:8" ht="15" thickBot="1">
      <c r="B48" s="646" t="s">
        <v>449</v>
      </c>
      <c r="C48" s="697" t="str">
        <f>D47</f>
        <v>+ 12.58</v>
      </c>
      <c r="D48" s="632"/>
      <c r="E48" s="631" t="str">
        <f>F47</f>
        <v>+ 12.78</v>
      </c>
      <c r="F48" s="632"/>
      <c r="G48" s="631" t="str">
        <f>H47</f>
        <v>+ 12.57</v>
      </c>
      <c r="H48" s="632"/>
    </row>
    <row r="49" spans="1:9" s="392" customFormat="1" ht="15" thickBot="1">
      <c r="B49" s="647" t="s">
        <v>452</v>
      </c>
      <c r="C49" s="648">
        <f>C$46+C$48+C$44+C$45</f>
        <v>169.8594443039415</v>
      </c>
      <c r="D49" s="649">
        <f>D38+D47</f>
        <v>0.72000000000000064</v>
      </c>
      <c r="E49" s="648">
        <f>E$46+E$48+E$44+E$45</f>
        <v>172.52111985530669</v>
      </c>
      <c r="F49" s="649">
        <f>F38+F47</f>
        <v>0.71999999999999886</v>
      </c>
      <c r="G49" s="650">
        <f>G$46+G$48+G$44+G$45</f>
        <v>169.71460895310904</v>
      </c>
      <c r="H49" s="651">
        <f>H38+H47</f>
        <v>0.72000000000000064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1">
    <tabColor rgb="FF00CC00"/>
  </sheetPr>
  <dimension ref="B2:K31"/>
  <sheetViews>
    <sheetView topLeftCell="A13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182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$G$10*$G$9*$G$8</f>
        <v>2.9308559999999999</v>
      </c>
      <c r="F9" s="269">
        <f>$G$10*G6*$G$8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97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Nairobi!D21</f>
        <v>8.19</v>
      </c>
      <c r="E21" s="168">
        <f>Nairobi!E21</f>
        <v>8.19</v>
      </c>
      <c r="F21" s="168">
        <f>Nairobi!F21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1.416898273668497</v>
      </c>
      <c r="E23" s="283">
        <f t="shared" ref="E23:F23" si="0">$G$23*$G$8</f>
        <v>1.416898273668497</v>
      </c>
      <c r="F23" s="283">
        <f t="shared" si="0"/>
        <v>1.416898273668497</v>
      </c>
      <c r="G23" s="284">
        <f>'Delivery &gt;40km-Sept 2013'!E24*I23/1000</f>
        <v>1.2214640290245664</v>
      </c>
      <c r="H23" s="262" t="s">
        <v>127</v>
      </c>
      <c r="I23" s="259">
        <v>102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158.40200116337763</v>
      </c>
      <c r="E25" s="285">
        <f>E19+E21+E23</f>
        <v>160.85205561164153</v>
      </c>
      <c r="F25" s="285">
        <f>F19+F21+F23</f>
        <v>158.28213901055452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315402" r:id="rId4">
          <objectPr defaultSize="0" autoPict="0" r:id="rId5">
            <anchor>
              <from>
                <xdr:col>1</xdr:col>
                <xdr:colOff>57150</xdr:colOff>
                <xdr:row>18</xdr:row>
                <xdr:rowOff>152400</xdr:rowOff>
              </from>
              <to>
                <xdr:col>1</xdr:col>
                <xdr:colOff>527050</xdr:colOff>
                <xdr:row>19</xdr:row>
                <xdr:rowOff>152400</xdr:rowOff>
              </to>
            </anchor>
          </objectPr>
        </oleObject>
      </mc:Choice>
      <mc:Fallback>
        <oleObject progId="Equation.3" shapeId="315402" r:id="rId4"/>
      </mc:Fallback>
    </mc:AlternateContent>
  </oleObjec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2">
    <tabColor rgb="FF0070C0"/>
  </sheetPr>
  <dimension ref="A2:M68"/>
  <sheetViews>
    <sheetView topLeftCell="A17" workbookViewId="0">
      <selection activeCell="C59" sqref="C59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Sagana!G23</f>
        <v>1.2214640290245664</v>
      </c>
      <c r="D40" s="943"/>
      <c r="E40" s="880">
        <f>C40</f>
        <v>1.2214640290245664</v>
      </c>
      <c r="F40" s="943"/>
      <c r="G40" s="613">
        <f>C40</f>
        <v>1.2214640290245664</v>
      </c>
      <c r="H40" s="943"/>
    </row>
    <row r="41" spans="1:8" s="392" customFormat="1">
      <c r="A41" s="605"/>
      <c r="B41" s="617" t="s">
        <v>446</v>
      </c>
      <c r="C41" s="618">
        <f>SUM(C40)</f>
        <v>1.2214640290245664</v>
      </c>
      <c r="D41" s="618"/>
      <c r="E41" s="626">
        <f>SUM(E40)</f>
        <v>1.2214640290245664</v>
      </c>
      <c r="F41" s="944"/>
      <c r="G41" s="618">
        <f>SUM(G40)</f>
        <v>1.2214640290245664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169.55857411782245</v>
      </c>
      <c r="D43" s="610"/>
      <c r="E43" s="613">
        <f>E$37+E$42+E$41</f>
        <v>172.22024966918767</v>
      </c>
      <c r="F43" s="610"/>
      <c r="G43" s="236">
        <f>G$37+G$42+G$41</f>
        <v>169.41373876699001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157.69857411782243</v>
      </c>
      <c r="D46" s="610"/>
      <c r="E46" s="641">
        <f>E$43-E44-E45+F$38</f>
        <v>160.16024966918766</v>
      </c>
      <c r="F46" s="610"/>
      <c r="G46" s="642">
        <f>G$43-G44-G45+H$38</f>
        <v>157.56373876699001</v>
      </c>
      <c r="H46" s="573"/>
    </row>
    <row r="47" spans="1:8">
      <c r="B47" s="503" t="s">
        <v>445</v>
      </c>
      <c r="C47" s="644"/>
      <c r="D47" s="696" t="str">
        <f>CONCATENATE("+ ",ROUND((C$46*0.08),2))</f>
        <v>+ 12.62</v>
      </c>
      <c r="E47" s="644"/>
      <c r="F47" s="627" t="str">
        <f>CONCATENATE("+ ",ROUND((E$46*0.08),2))</f>
        <v>+ 12.81</v>
      </c>
      <c r="G47" s="645"/>
      <c r="H47" s="627" t="str">
        <f>CONCATENATE("+ ",ROUND((G$46*0.08),2))</f>
        <v>+ 12.61</v>
      </c>
    </row>
    <row r="48" spans="1:8" ht="15" thickBot="1">
      <c r="B48" s="646" t="s">
        <v>449</v>
      </c>
      <c r="C48" s="697" t="str">
        <f>D47</f>
        <v>+ 12.62</v>
      </c>
      <c r="D48" s="632"/>
      <c r="E48" s="631" t="str">
        <f>F47</f>
        <v>+ 12.81</v>
      </c>
      <c r="F48" s="632"/>
      <c r="G48" s="631" t="str">
        <f>H47</f>
        <v>+ 12.61</v>
      </c>
      <c r="H48" s="632"/>
    </row>
    <row r="49" spans="1:9" s="392" customFormat="1" ht="15" thickBot="1">
      <c r="B49" s="647" t="s">
        <v>452</v>
      </c>
      <c r="C49" s="648">
        <f>C$46+C$48+C$44+C$45</f>
        <v>170.31857411782244</v>
      </c>
      <c r="D49" s="649">
        <f>D38+D47</f>
        <v>0.75999999999999979</v>
      </c>
      <c r="E49" s="648">
        <f>E$46+E$48+E$44+E$45</f>
        <v>172.97024966918767</v>
      </c>
      <c r="F49" s="649">
        <f>F38+F47</f>
        <v>0.75</v>
      </c>
      <c r="G49" s="650">
        <f>G$46+G$48+G$44+G$45</f>
        <v>170.17373876699003</v>
      </c>
      <c r="H49" s="651">
        <f>H38+H47</f>
        <v>0.75999999999999979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3">
    <tabColor rgb="FF00CC00"/>
  </sheetPr>
  <dimension ref="B2:K31"/>
  <sheetViews>
    <sheetView topLeftCell="A13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131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97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Nairobi!D21</f>
        <v>8.19</v>
      </c>
      <c r="E21" s="168">
        <f>Nairobi!E21</f>
        <v>8.19</v>
      </c>
      <c r="F21" s="168">
        <f>Nairobi!F21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2.1114562509569756</v>
      </c>
      <c r="E23" s="283">
        <f t="shared" ref="E23:F23" si="0">$G$23*$G$8</f>
        <v>2.1114562509569756</v>
      </c>
      <c r="F23" s="283">
        <f t="shared" si="0"/>
        <v>2.1114562509569756</v>
      </c>
      <c r="G23" s="284">
        <f>'Delivery &gt;40km-Sept 2013'!E24*I23/1000</f>
        <v>1.8202209059973931</v>
      </c>
      <c r="H23" s="262" t="s">
        <v>127</v>
      </c>
      <c r="I23" s="259">
        <v>152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159.0965591406661</v>
      </c>
      <c r="E25" s="285">
        <f>E19+E21+E23</f>
        <v>161.54661358893</v>
      </c>
      <c r="F25" s="285">
        <f>F19+F21+F23</f>
        <v>158.97669698784298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3434" r:id="rId4">
          <objectPr defaultSize="0" autoPict="0" r:id="rId5">
            <anchor>
              <from>
                <xdr:col>1</xdr:col>
                <xdr:colOff>57150</xdr:colOff>
                <xdr:row>18</xdr:row>
                <xdr:rowOff>152400</xdr:rowOff>
              </from>
              <to>
                <xdr:col>1</xdr:col>
                <xdr:colOff>527050</xdr:colOff>
                <xdr:row>19</xdr:row>
                <xdr:rowOff>152400</xdr:rowOff>
              </to>
            </anchor>
          </objectPr>
        </oleObject>
      </mc:Choice>
      <mc:Fallback>
        <oleObject progId="Equation.3" shapeId="103434" r:id="rId4"/>
      </mc:Fallback>
    </mc:AlternateContent>
  </oleObjec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4">
    <tabColor rgb="FF0070C0"/>
  </sheetPr>
  <dimension ref="A2:M68"/>
  <sheetViews>
    <sheetView topLeftCell="A28" workbookViewId="0">
      <selection activeCell="E50" sqref="E50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Narok!G23</f>
        <v>1.8202209059973931</v>
      </c>
      <c r="D40" s="943"/>
      <c r="E40" s="880">
        <f>C40</f>
        <v>1.8202209059973931</v>
      </c>
      <c r="F40" s="943"/>
      <c r="G40" s="613">
        <f>C40</f>
        <v>1.8202209059973931</v>
      </c>
      <c r="H40" s="943"/>
    </row>
    <row r="41" spans="1:8" s="392" customFormat="1">
      <c r="A41" s="605"/>
      <c r="B41" s="617" t="s">
        <v>446</v>
      </c>
      <c r="C41" s="618">
        <f>SUM(C40)</f>
        <v>1.8202209059973931</v>
      </c>
      <c r="D41" s="618"/>
      <c r="E41" s="626">
        <f>SUM(E40)</f>
        <v>1.8202209059973931</v>
      </c>
      <c r="F41" s="944"/>
      <c r="G41" s="618">
        <f>SUM(G40)</f>
        <v>1.8202209059973931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170.15733099479527</v>
      </c>
      <c r="D43" s="610"/>
      <c r="E43" s="613">
        <f>E$37+E$42+E$41</f>
        <v>172.81900654616049</v>
      </c>
      <c r="F43" s="610"/>
      <c r="G43" s="236">
        <f>G$37+G$42+G$41</f>
        <v>170.01249564396284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158.29733099479529</v>
      </c>
      <c r="D46" s="610"/>
      <c r="E46" s="641">
        <f>E$43-E44-E45+F$38</f>
        <v>160.75900654616049</v>
      </c>
      <c r="F46" s="610"/>
      <c r="G46" s="642">
        <f>G$43-G44-G45+H$38</f>
        <v>158.16249564396284</v>
      </c>
      <c r="H46" s="573"/>
    </row>
    <row r="47" spans="1:8">
      <c r="B47" s="503" t="s">
        <v>445</v>
      </c>
      <c r="C47" s="644"/>
      <c r="D47" s="696" t="str">
        <f>CONCATENATE("+ ",ROUND((C$46*0.08),2))</f>
        <v>+ 12.66</v>
      </c>
      <c r="E47" s="644"/>
      <c r="F47" s="627" t="str">
        <f>CONCATENATE("+ ",ROUND((E$46*0.08),2))</f>
        <v>+ 12.86</v>
      </c>
      <c r="G47" s="645"/>
      <c r="H47" s="627" t="str">
        <f>CONCATENATE("+ ",ROUND((G$46*0.08),2))</f>
        <v>+ 12.65</v>
      </c>
    </row>
    <row r="48" spans="1:8" ht="15" thickBot="1">
      <c r="B48" s="646" t="s">
        <v>449</v>
      </c>
      <c r="C48" s="697" t="str">
        <f>D47</f>
        <v>+ 12.66</v>
      </c>
      <c r="D48" s="632"/>
      <c r="E48" s="631" t="str">
        <f>F47</f>
        <v>+ 12.86</v>
      </c>
      <c r="F48" s="632"/>
      <c r="G48" s="631" t="str">
        <f>H47</f>
        <v>+ 12.65</v>
      </c>
      <c r="H48" s="632"/>
    </row>
    <row r="49" spans="1:9" s="392" customFormat="1" ht="15" thickBot="1">
      <c r="B49" s="647" t="s">
        <v>452</v>
      </c>
      <c r="C49" s="648">
        <f>C$46+C$48+C$44+C$45</f>
        <v>170.95733099479529</v>
      </c>
      <c r="D49" s="649">
        <f>D38+D47</f>
        <v>0.80000000000000071</v>
      </c>
      <c r="E49" s="648">
        <f>E$46+E$48+E$44+E$45</f>
        <v>173.61900654616051</v>
      </c>
      <c r="F49" s="649">
        <f>F38+F47</f>
        <v>0.79999999999999893</v>
      </c>
      <c r="G49" s="650">
        <f>G$46+G$48+G$44+G$45</f>
        <v>170.81249564396285</v>
      </c>
      <c r="H49" s="651">
        <f>H38+H47</f>
        <v>0.80000000000000071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75">
    <tabColor rgb="FF00CC00"/>
  </sheetPr>
  <dimension ref="B2:K31"/>
  <sheetViews>
    <sheetView topLeftCell="A11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79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97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Nairobi!D21</f>
        <v>8.19</v>
      </c>
      <c r="E21" s="168">
        <f>Nairobi!E21</f>
        <v>8.19</v>
      </c>
      <c r="F21" s="168">
        <f>Nairobi!F21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2.0975650914112061</v>
      </c>
      <c r="E23" s="283">
        <f t="shared" ref="E23:F23" si="0">$G$23*$G$8</f>
        <v>2.0975650914112061</v>
      </c>
      <c r="F23" s="283">
        <f t="shared" si="0"/>
        <v>2.0975650914112061</v>
      </c>
      <c r="G23" s="284">
        <f>'Delivery &gt;40km-Sept 2013'!E24*I23/1000</f>
        <v>1.8082457684579365</v>
      </c>
      <c r="H23" s="262" t="s">
        <v>127</v>
      </c>
      <c r="I23" s="259">
        <v>151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159.08266798112035</v>
      </c>
      <c r="E25" s="285">
        <f>E19+E21+E23</f>
        <v>161.53272242938425</v>
      </c>
      <c r="F25" s="285">
        <f>F19+F21+F23</f>
        <v>158.96280582829723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C29" s="159" t="e">
        <f>C$9+C$20+C$22+C$23+C$28</f>
        <v>#VALUE!</v>
      </c>
      <c r="D29" s="694"/>
      <c r="E29" s="694">
        <f>E$9+E$20+E$22+E$23+E$28</f>
        <v>5.0284210914112055</v>
      </c>
      <c r="F29" s="694"/>
      <c r="G29" s="159">
        <f>G$9+G$20+G$22+G$23+G$28</f>
        <v>2.8082457684579367</v>
      </c>
    </row>
    <row r="30" spans="3:11">
      <c r="H30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52234" r:id="rId4">
          <objectPr defaultSize="0" autoPict="0" r:id="rId5">
            <anchor>
              <from>
                <xdr:col>1</xdr:col>
                <xdr:colOff>57150</xdr:colOff>
                <xdr:row>18</xdr:row>
                <xdr:rowOff>152400</xdr:rowOff>
              </from>
              <to>
                <xdr:col>1</xdr:col>
                <xdr:colOff>527050</xdr:colOff>
                <xdr:row>19</xdr:row>
                <xdr:rowOff>152400</xdr:rowOff>
              </to>
            </anchor>
          </objectPr>
        </oleObject>
      </mc:Choice>
      <mc:Fallback>
        <oleObject progId="Equation.3" shapeId="52234" r:id="rId4"/>
      </mc:Fallback>
    </mc:AlternateContent>
  </oleObjec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76">
    <tabColor rgb="FF0070C0"/>
  </sheetPr>
  <dimension ref="A2:M68"/>
  <sheetViews>
    <sheetView topLeftCell="A29" workbookViewId="0">
      <selection activeCell="D31" sqref="D3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Nyeri!G23</f>
        <v>1.8082457684579365</v>
      </c>
      <c r="D40" s="943"/>
      <c r="E40" s="880">
        <f>C40</f>
        <v>1.8082457684579365</v>
      </c>
      <c r="F40" s="943"/>
      <c r="G40" s="613">
        <f>C40</f>
        <v>1.8082457684579365</v>
      </c>
      <c r="H40" s="943"/>
    </row>
    <row r="41" spans="1:8" s="392" customFormat="1">
      <c r="A41" s="605"/>
      <c r="B41" s="617" t="s">
        <v>446</v>
      </c>
      <c r="C41" s="618">
        <f>SUM(C40)</f>
        <v>1.8082457684579365</v>
      </c>
      <c r="D41" s="618"/>
      <c r="E41" s="626">
        <f>SUM(E40)</f>
        <v>1.8082457684579365</v>
      </c>
      <c r="F41" s="944"/>
      <c r="G41" s="618">
        <f>SUM(G40)</f>
        <v>1.8082457684579365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170.14535585725582</v>
      </c>
      <c r="D43" s="610"/>
      <c r="E43" s="613">
        <f>E$37+E$42+E$41</f>
        <v>172.80703140862104</v>
      </c>
      <c r="F43" s="610"/>
      <c r="G43" s="236">
        <f>G$37+G$42+G$41</f>
        <v>170.00052050642338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158.28535585725581</v>
      </c>
      <c r="D46" s="610"/>
      <c r="E46" s="641">
        <f>E$43-E44-E45+F$38</f>
        <v>160.74703140862104</v>
      </c>
      <c r="F46" s="610"/>
      <c r="G46" s="642">
        <f>G$43-G44-G45+H$38</f>
        <v>158.15052050642339</v>
      </c>
      <c r="H46" s="573"/>
    </row>
    <row r="47" spans="1:8">
      <c r="B47" s="503" t="s">
        <v>445</v>
      </c>
      <c r="C47" s="644"/>
      <c r="D47" s="696" t="str">
        <f>CONCATENATE("+ ",ROUND((C$46*0.08),2))</f>
        <v>+ 12.66</v>
      </c>
      <c r="E47" s="644"/>
      <c r="F47" s="627" t="str">
        <f>CONCATENATE("+ ",ROUND((E$46*0.08),2))</f>
        <v>+ 12.86</v>
      </c>
      <c r="G47" s="645"/>
      <c r="H47" s="627" t="str">
        <f>CONCATENATE("+ ",ROUND((G$46*0.08),2))</f>
        <v>+ 12.65</v>
      </c>
    </row>
    <row r="48" spans="1:8" ht="15" thickBot="1">
      <c r="B48" s="646" t="s">
        <v>449</v>
      </c>
      <c r="C48" s="697" t="str">
        <f>D47</f>
        <v>+ 12.66</v>
      </c>
      <c r="D48" s="632"/>
      <c r="E48" s="631" t="str">
        <f>F47</f>
        <v>+ 12.86</v>
      </c>
      <c r="F48" s="632"/>
      <c r="G48" s="631" t="str">
        <f>H47</f>
        <v>+ 12.65</v>
      </c>
      <c r="H48" s="632"/>
    </row>
    <row r="49" spans="1:9" s="392" customFormat="1" ht="15" thickBot="1">
      <c r="B49" s="647" t="s">
        <v>452</v>
      </c>
      <c r="C49" s="648">
        <f>C$46+C$48+C$44+C$45</f>
        <v>170.94535585725581</v>
      </c>
      <c r="D49" s="649">
        <f>D38+D47</f>
        <v>0.80000000000000071</v>
      </c>
      <c r="E49" s="648">
        <f>E$46+E$48+E$44+E$45</f>
        <v>173.60703140862103</v>
      </c>
      <c r="F49" s="649">
        <f>F38+F47</f>
        <v>0.79999999999999893</v>
      </c>
      <c r="G49" s="650">
        <f>G$46+G$48+G$44+G$45</f>
        <v>170.8005205064234</v>
      </c>
      <c r="H49" s="651">
        <f>H38+H47</f>
        <v>0.80000000000000071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77">
    <tabColor rgb="FF00CC00"/>
  </sheetPr>
  <dimension ref="B2:K31"/>
  <sheetViews>
    <sheetView topLeftCell="A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78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97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Nairobi!D21</f>
        <v>8.19</v>
      </c>
      <c r="E21" s="168">
        <f>Nairobi!E21</f>
        <v>8.19</v>
      </c>
      <c r="F21" s="168">
        <f>Nairobi!F21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2.2642590059604411</v>
      </c>
      <c r="E23" s="283">
        <f t="shared" ref="E23:F23" si="0">$G$23*$G$8</f>
        <v>2.2642590059604411</v>
      </c>
      <c r="F23" s="283">
        <f t="shared" si="0"/>
        <v>2.2642590059604411</v>
      </c>
      <c r="G23" s="284">
        <f>'Delivery &gt;40km-Sept 2013'!E24*I23/1000</f>
        <v>1.9519474189314148</v>
      </c>
      <c r="H23" s="262" t="s">
        <v>127</v>
      </c>
      <c r="I23" s="259">
        <v>163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159.24936189566958</v>
      </c>
      <c r="E25" s="285">
        <f>E19+E21+E23</f>
        <v>161.69941634393348</v>
      </c>
      <c r="F25" s="285">
        <f>F19+F21+F23</f>
        <v>159.12949974284646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92170" r:id="rId4">
          <objectPr defaultSize="0" autoPict="0" r:id="rId5">
            <anchor>
              <from>
                <xdr:col>1</xdr:col>
                <xdr:colOff>57150</xdr:colOff>
                <xdr:row>18</xdr:row>
                <xdr:rowOff>152400</xdr:rowOff>
              </from>
              <to>
                <xdr:col>1</xdr:col>
                <xdr:colOff>527050</xdr:colOff>
                <xdr:row>19</xdr:row>
                <xdr:rowOff>152400</xdr:rowOff>
              </to>
            </anchor>
          </objectPr>
        </oleObject>
      </mc:Choice>
      <mc:Fallback>
        <oleObject progId="Equation.3" shapeId="92170" r:id="rId4"/>
      </mc:Fallback>
    </mc:AlternateContent>
  </oleObjec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78">
    <tabColor rgb="FF0070C0"/>
  </sheetPr>
  <dimension ref="A2:M68"/>
  <sheetViews>
    <sheetView topLeftCell="A31" workbookViewId="0">
      <selection activeCell="D33" sqref="D33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Kitui!G23</f>
        <v>1.9519474189314148</v>
      </c>
      <c r="D40" s="943"/>
      <c r="E40" s="880">
        <f>C40</f>
        <v>1.9519474189314148</v>
      </c>
      <c r="F40" s="943"/>
      <c r="G40" s="613">
        <f>C40</f>
        <v>1.9519474189314148</v>
      </c>
      <c r="H40" s="943"/>
    </row>
    <row r="41" spans="1:8" s="392" customFormat="1">
      <c r="A41" s="605"/>
      <c r="B41" s="617" t="s">
        <v>446</v>
      </c>
      <c r="C41" s="618">
        <f>SUM(C40)</f>
        <v>1.9519474189314148</v>
      </c>
      <c r="D41" s="618"/>
      <c r="E41" s="626">
        <f>SUM(E40)</f>
        <v>1.9519474189314148</v>
      </c>
      <c r="F41" s="944"/>
      <c r="G41" s="618">
        <f>SUM(G40)</f>
        <v>1.9519474189314148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170.2890575077293</v>
      </c>
      <c r="D43" s="610"/>
      <c r="E43" s="613">
        <f>E$37+E$42+E$41</f>
        <v>172.95073305909452</v>
      </c>
      <c r="F43" s="610"/>
      <c r="G43" s="236">
        <f>G$37+G$42+G$41</f>
        <v>170.14422215689686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158.42905750772928</v>
      </c>
      <c r="D46" s="610"/>
      <c r="E46" s="641">
        <f>E$43-E44-E45+F$38</f>
        <v>160.89073305909452</v>
      </c>
      <c r="F46" s="610"/>
      <c r="G46" s="642">
        <f>G$43-G44-G45+H$38</f>
        <v>158.29422215689686</v>
      </c>
      <c r="H46" s="573"/>
    </row>
    <row r="47" spans="1:8">
      <c r="B47" s="503" t="s">
        <v>445</v>
      </c>
      <c r="C47" s="644"/>
      <c r="D47" s="696" t="str">
        <f>CONCATENATE("+ ",ROUND((C$46*0.08),2))</f>
        <v>+ 12.67</v>
      </c>
      <c r="E47" s="644"/>
      <c r="F47" s="627" t="str">
        <f>CONCATENATE("+ ",ROUND((E$46*0.08),2))</f>
        <v>+ 12.87</v>
      </c>
      <c r="G47" s="645"/>
      <c r="H47" s="627" t="str">
        <f>CONCATENATE("+ ",ROUND((G$46*0.08),2))</f>
        <v>+ 12.66</v>
      </c>
    </row>
    <row r="48" spans="1:8" ht="15" thickBot="1">
      <c r="B48" s="646" t="s">
        <v>449</v>
      </c>
      <c r="C48" s="697" t="str">
        <f>D47</f>
        <v>+ 12.67</v>
      </c>
      <c r="D48" s="632"/>
      <c r="E48" s="631" t="str">
        <f>F47</f>
        <v>+ 12.87</v>
      </c>
      <c r="F48" s="632"/>
      <c r="G48" s="631" t="str">
        <f>H47</f>
        <v>+ 12.66</v>
      </c>
      <c r="H48" s="632"/>
    </row>
    <row r="49" spans="1:9" s="392" customFormat="1" ht="15" thickBot="1">
      <c r="B49" s="647" t="s">
        <v>452</v>
      </c>
      <c r="C49" s="648">
        <f>C$46+C$48+C$44+C$45</f>
        <v>171.09905750772927</v>
      </c>
      <c r="D49" s="649">
        <f>D38+D47</f>
        <v>0.8100000000000005</v>
      </c>
      <c r="E49" s="648">
        <f>E$46+E$48+E$44+E$45</f>
        <v>173.76073305909452</v>
      </c>
      <c r="F49" s="649">
        <f>F38+F47</f>
        <v>0.80999999999999872</v>
      </c>
      <c r="G49" s="650">
        <f>G$46+G$48+G$44+G$45</f>
        <v>170.95422215689686</v>
      </c>
      <c r="H49" s="651">
        <f>H38+H47</f>
        <v>0.8100000000000005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79">
    <tabColor rgb="FF00CC00"/>
  </sheetPr>
  <dimension ref="B2:K31"/>
  <sheetViews>
    <sheetView topLeftCell="A12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175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97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Nairobi!D21</f>
        <v>8.19</v>
      </c>
      <c r="E21" s="168">
        <f>Nairobi!E21</f>
        <v>8.19</v>
      </c>
      <c r="F21" s="168">
        <f>Nairobi!F21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2.6809937923335285</v>
      </c>
      <c r="E23" s="283">
        <f t="shared" ref="E23:F23" si="0">$G$23*$G$8</f>
        <v>2.6809937923335285</v>
      </c>
      <c r="F23" s="283">
        <f t="shared" si="0"/>
        <v>2.6809937923335285</v>
      </c>
      <c r="G23" s="284">
        <f>'Delivery &gt;40km-Sept 2013'!E24*I23/1000</f>
        <v>2.3112015451151109</v>
      </c>
      <c r="H23" s="262" t="s">
        <v>127</v>
      </c>
      <c r="I23" s="259">
        <v>193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159.66609668204268</v>
      </c>
      <c r="E25" s="285">
        <f>E19+E21+E23</f>
        <v>162.11615113030658</v>
      </c>
      <c r="F25" s="285">
        <f>F19+F21+F23</f>
        <v>159.54623452921956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273418" r:id="rId4">
          <objectPr defaultSize="0" autoPict="0" r:id="rId5">
            <anchor>
              <from>
                <xdr:col>1</xdr:col>
                <xdr:colOff>57150</xdr:colOff>
                <xdr:row>18</xdr:row>
                <xdr:rowOff>152400</xdr:rowOff>
              </from>
              <to>
                <xdr:col>1</xdr:col>
                <xdr:colOff>527050</xdr:colOff>
                <xdr:row>19</xdr:row>
                <xdr:rowOff>152400</xdr:rowOff>
              </to>
            </anchor>
          </objectPr>
        </oleObject>
      </mc:Choice>
      <mc:Fallback>
        <oleObject progId="Equation.3" shapeId="273418" r:id="rId4"/>
      </mc:Fallback>
    </mc:AlternateContent>
  </oleObjec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80">
    <tabColor rgb="FF0070C0"/>
  </sheetPr>
  <dimension ref="A2:M68"/>
  <sheetViews>
    <sheetView topLeftCell="A31" workbookViewId="0">
      <selection activeCell="D45" sqref="D45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Mwingi!G23</f>
        <v>2.3112015451151109</v>
      </c>
      <c r="D40" s="943"/>
      <c r="E40" s="880">
        <f>C40</f>
        <v>2.3112015451151109</v>
      </c>
      <c r="F40" s="943"/>
      <c r="G40" s="613">
        <f>C40</f>
        <v>2.3112015451151109</v>
      </c>
      <c r="H40" s="943"/>
    </row>
    <row r="41" spans="1:8" s="392" customFormat="1">
      <c r="A41" s="605"/>
      <c r="B41" s="617" t="s">
        <v>446</v>
      </c>
      <c r="C41" s="618">
        <f>SUM(C40)</f>
        <v>2.3112015451151109</v>
      </c>
      <c r="D41" s="618"/>
      <c r="E41" s="626">
        <f>SUM(E40)</f>
        <v>2.3112015451151109</v>
      </c>
      <c r="F41" s="944"/>
      <c r="G41" s="618">
        <f>SUM(G40)</f>
        <v>2.3112015451151109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170.64831163391301</v>
      </c>
      <c r="D43" s="610"/>
      <c r="E43" s="613">
        <f>E$37+E$42+E$41</f>
        <v>173.3099871852782</v>
      </c>
      <c r="F43" s="610"/>
      <c r="G43" s="236">
        <f>G$37+G$42+G$41</f>
        <v>170.50347628308054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158.788311633913</v>
      </c>
      <c r="D46" s="610"/>
      <c r="E46" s="641">
        <f>E$43-E44-E45+F$38</f>
        <v>161.2499871852782</v>
      </c>
      <c r="F46" s="610"/>
      <c r="G46" s="642">
        <f>G$43-G44-G45+H$38</f>
        <v>158.65347628308055</v>
      </c>
      <c r="H46" s="573"/>
    </row>
    <row r="47" spans="1:8">
      <c r="B47" s="503" t="s">
        <v>445</v>
      </c>
      <c r="C47" s="644"/>
      <c r="D47" s="696" t="str">
        <f>CONCATENATE("+ ",ROUND((C$46*0.08),2))</f>
        <v>+ 12.7</v>
      </c>
      <c r="E47" s="644"/>
      <c r="F47" s="627" t="str">
        <f>CONCATENATE("+ ",ROUND((E$46*0.08),2))</f>
        <v>+ 12.9</v>
      </c>
      <c r="G47" s="645"/>
      <c r="H47" s="627" t="str">
        <f>CONCATENATE("+ ",ROUND((G$46*0.08),2))</f>
        <v>+ 12.69</v>
      </c>
    </row>
    <row r="48" spans="1:8" ht="15" thickBot="1">
      <c r="B48" s="646" t="s">
        <v>449</v>
      </c>
      <c r="C48" s="697" t="str">
        <f>D47</f>
        <v>+ 12.7</v>
      </c>
      <c r="D48" s="632"/>
      <c r="E48" s="631" t="str">
        <f>F47</f>
        <v>+ 12.9</v>
      </c>
      <c r="F48" s="632"/>
      <c r="G48" s="631" t="str">
        <f>H47</f>
        <v>+ 12.69</v>
      </c>
      <c r="H48" s="632"/>
    </row>
    <row r="49" spans="1:9" s="392" customFormat="1" ht="15" thickBot="1">
      <c r="B49" s="647" t="s">
        <v>452</v>
      </c>
      <c r="C49" s="648">
        <f>C$46+C$48+C$44+C$45</f>
        <v>171.48831163391299</v>
      </c>
      <c r="D49" s="649">
        <f>D38+D47</f>
        <v>0.83999999999999986</v>
      </c>
      <c r="E49" s="648">
        <f>E$46+E$48+E$44+E$45</f>
        <v>174.14998718527821</v>
      </c>
      <c r="F49" s="649">
        <f>F38+F47</f>
        <v>0.83999999999999986</v>
      </c>
      <c r="G49" s="650">
        <f>G$46+G$48+G$44+G$45</f>
        <v>171.34347628308055</v>
      </c>
      <c r="H49" s="651">
        <f>H38+H47</f>
        <v>0.83999999999999986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81">
    <tabColor rgb="FF00CC00"/>
  </sheetPr>
  <dimension ref="B2:K31"/>
  <sheetViews>
    <sheetView topLeftCell="A13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80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Nairobi!D21</f>
        <v>8.19</v>
      </c>
      <c r="E21" s="168">
        <f>Nairobi!E21</f>
        <v>8.19</v>
      </c>
      <c r="F21" s="168">
        <f>Nairobi!F21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2.6948849518792977</v>
      </c>
      <c r="E23" s="283">
        <f t="shared" ref="E23:F23" si="0">$G$23*$G$8</f>
        <v>2.6948849518792977</v>
      </c>
      <c r="F23" s="283">
        <f t="shared" si="0"/>
        <v>2.6948849518792977</v>
      </c>
      <c r="G23" s="284">
        <f>'Delivery &gt;40km-Sept 2013'!E24*I23/1000</f>
        <v>2.3231766826545672</v>
      </c>
      <c r="H23" s="262" t="s">
        <v>127</v>
      </c>
      <c r="I23" s="259">
        <v>194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159.67998784158843</v>
      </c>
      <c r="E25" s="285">
        <f>E19+E21+E23</f>
        <v>162.13004228985233</v>
      </c>
      <c r="F25" s="285">
        <f>F19+F21+F23</f>
        <v>159.56012568876531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89098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89098" r:id="rId4"/>
      </mc:Fallback>
    </mc:AlternateContent>
  </oleObjec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82">
    <tabColor rgb="FF0070C0"/>
  </sheetPr>
  <dimension ref="A2:M68"/>
  <sheetViews>
    <sheetView topLeftCell="A19" workbookViewId="0">
      <selection activeCell="E45" sqref="E45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Nanyuki!G23</f>
        <v>2.3231766826545672</v>
      </c>
      <c r="D40" s="943"/>
      <c r="E40" s="880">
        <f>C40</f>
        <v>2.3231766826545672</v>
      </c>
      <c r="F40" s="943"/>
      <c r="G40" s="613">
        <f>C40</f>
        <v>2.3231766826545672</v>
      </c>
      <c r="H40" s="943"/>
    </row>
    <row r="41" spans="1:8" s="392" customFormat="1">
      <c r="A41" s="605"/>
      <c r="B41" s="617" t="s">
        <v>446</v>
      </c>
      <c r="C41" s="618">
        <f>SUM(C40)</f>
        <v>2.3231766826545672</v>
      </c>
      <c r="D41" s="618"/>
      <c r="E41" s="626">
        <f>SUM(E40)</f>
        <v>2.3231766826545672</v>
      </c>
      <c r="F41" s="944"/>
      <c r="G41" s="618">
        <f>SUM(G40)</f>
        <v>2.3231766826545672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170.66028677145246</v>
      </c>
      <c r="D43" s="610"/>
      <c r="E43" s="613">
        <f>E$37+E$42+E$41</f>
        <v>173.32196232281768</v>
      </c>
      <c r="F43" s="610"/>
      <c r="G43" s="236">
        <f>G$37+G$42+G$41</f>
        <v>170.51545142062002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158.80028677145248</v>
      </c>
      <c r="D46" s="610"/>
      <c r="E46" s="641">
        <f>E$43-E44-E45+F$38</f>
        <v>161.26196232281768</v>
      </c>
      <c r="F46" s="610"/>
      <c r="G46" s="642">
        <f>G$43-G44-G45+H$38</f>
        <v>158.66545142062003</v>
      </c>
      <c r="H46" s="573"/>
    </row>
    <row r="47" spans="1:8">
      <c r="B47" s="503" t="s">
        <v>445</v>
      </c>
      <c r="C47" s="644"/>
      <c r="D47" s="696" t="str">
        <f>CONCATENATE("+ ",ROUND((C$46*0.08),2))</f>
        <v>+ 12.7</v>
      </c>
      <c r="E47" s="644"/>
      <c r="F47" s="627" t="str">
        <f>CONCATENATE("+ ",ROUND((E$46*0.08),2))</f>
        <v>+ 12.9</v>
      </c>
      <c r="G47" s="645"/>
      <c r="H47" s="627" t="str">
        <f>CONCATENATE("+ ",ROUND((G$46*0.08),2))</f>
        <v>+ 12.69</v>
      </c>
    </row>
    <row r="48" spans="1:8" ht="15" thickBot="1">
      <c r="B48" s="646" t="s">
        <v>449</v>
      </c>
      <c r="C48" s="697" t="str">
        <f>D47</f>
        <v>+ 12.7</v>
      </c>
      <c r="D48" s="632"/>
      <c r="E48" s="631" t="str">
        <f>F47</f>
        <v>+ 12.9</v>
      </c>
      <c r="F48" s="632"/>
      <c r="G48" s="631" t="str">
        <f>H47</f>
        <v>+ 12.69</v>
      </c>
      <c r="H48" s="632"/>
    </row>
    <row r="49" spans="1:9" s="392" customFormat="1" ht="15" thickBot="1">
      <c r="B49" s="647" t="s">
        <v>452</v>
      </c>
      <c r="C49" s="648">
        <f>C$46+C$48+C$44+C$45</f>
        <v>171.50028677145247</v>
      </c>
      <c r="D49" s="649">
        <f>D38+D47</f>
        <v>0.83999999999999986</v>
      </c>
      <c r="E49" s="648">
        <f>E$46+E$48+E$44+E$45</f>
        <v>174.16196232281769</v>
      </c>
      <c r="F49" s="649">
        <f>F38+F47</f>
        <v>0.83999999999999986</v>
      </c>
      <c r="G49" s="650">
        <f>G$46+G$48+G$44+G$45</f>
        <v>171.35545142062003</v>
      </c>
      <c r="H49" s="651">
        <f>H38+H47</f>
        <v>0.83999999999999986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83">
    <tabColor rgb="FF00CC00"/>
  </sheetPr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164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97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Nairobi!D21</f>
        <v>8.19</v>
      </c>
      <c r="E21" s="168">
        <f>Nairobi!E21</f>
        <v>8.19</v>
      </c>
      <c r="F21" s="168">
        <f>Nairobi!F21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3.2366401741643118</v>
      </c>
      <c r="E23" s="283">
        <f t="shared" ref="E23:F23" si="0">$G$23*$G$8</f>
        <v>3.2366401741643118</v>
      </c>
      <c r="F23" s="283">
        <f t="shared" si="0"/>
        <v>3.2366401741643118</v>
      </c>
      <c r="G23" s="284">
        <f>'Delivery &gt;40km-Sept 2013'!E24*I23/1000</f>
        <v>2.7902070466933724</v>
      </c>
      <c r="H23" s="262" t="s">
        <v>127</v>
      </c>
      <c r="I23" s="259">
        <v>233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160.22174306387345</v>
      </c>
      <c r="E25" s="285">
        <f>E19+E21+E23</f>
        <v>162.67179751213735</v>
      </c>
      <c r="F25" s="285">
        <f>F19+F21+F23</f>
        <v>160.10188091105033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240650" r:id="rId4">
          <objectPr defaultSize="0" autoPict="0" r:id="rId5">
            <anchor>
              <from>
                <xdr:col>1</xdr:col>
                <xdr:colOff>57150</xdr:colOff>
                <xdr:row>18</xdr:row>
                <xdr:rowOff>152400</xdr:rowOff>
              </from>
              <to>
                <xdr:col>1</xdr:col>
                <xdr:colOff>527050</xdr:colOff>
                <xdr:row>19</xdr:row>
                <xdr:rowOff>152400</xdr:rowOff>
              </to>
            </anchor>
          </objectPr>
        </oleObject>
      </mc:Choice>
      <mc:Fallback>
        <oleObject progId="Equation.3" shapeId="240650" r:id="rId4"/>
      </mc:Fallback>
    </mc:AlternateContent>
  </oleObjec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84">
    <tabColor rgb="FF0070C0"/>
  </sheetPr>
  <dimension ref="A2:M68"/>
  <sheetViews>
    <sheetView topLeftCell="A34" workbookViewId="0">
      <selection activeCell="C46" sqref="C46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'Mtito Andei'!G23</f>
        <v>2.7902070466933724</v>
      </c>
      <c r="D40" s="943"/>
      <c r="E40" s="880">
        <f>C40</f>
        <v>2.7902070466933724</v>
      </c>
      <c r="F40" s="943"/>
      <c r="G40" s="613">
        <f>C40</f>
        <v>2.7902070466933724</v>
      </c>
      <c r="H40" s="943"/>
    </row>
    <row r="41" spans="1:8" s="392" customFormat="1">
      <c r="A41" s="605"/>
      <c r="B41" s="617" t="s">
        <v>446</v>
      </c>
      <c r="C41" s="618">
        <f>SUM(C40)</f>
        <v>2.7902070466933724</v>
      </c>
      <c r="D41" s="618"/>
      <c r="E41" s="626">
        <f>SUM(E40)</f>
        <v>2.7902070466933724</v>
      </c>
      <c r="F41" s="944"/>
      <c r="G41" s="618">
        <f>SUM(G40)</f>
        <v>2.7902070466933724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171.12731713549127</v>
      </c>
      <c r="D43" s="610"/>
      <c r="E43" s="613">
        <f>E$37+E$42+E$41</f>
        <v>173.78899268685649</v>
      </c>
      <c r="F43" s="610"/>
      <c r="G43" s="236">
        <f>G$37+G$42+G$41</f>
        <v>170.98248178465883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159.26731713549128</v>
      </c>
      <c r="D46" s="610"/>
      <c r="E46" s="641">
        <f>E$43-E44-E45+F$38</f>
        <v>161.72899268685649</v>
      </c>
      <c r="F46" s="610"/>
      <c r="G46" s="642">
        <f>G$43-G44-G45+H$38</f>
        <v>159.13248178465884</v>
      </c>
      <c r="H46" s="573"/>
    </row>
    <row r="47" spans="1:8">
      <c r="B47" s="503" t="s">
        <v>445</v>
      </c>
      <c r="C47" s="644"/>
      <c r="D47" s="696" t="str">
        <f>CONCATENATE("+ ",ROUND((C$46*0.08),2))</f>
        <v>+ 12.74</v>
      </c>
      <c r="E47" s="644"/>
      <c r="F47" s="627" t="str">
        <f>CONCATENATE("+ ",ROUND((E$46*0.08),2))</f>
        <v>+ 12.94</v>
      </c>
      <c r="G47" s="645"/>
      <c r="H47" s="627" t="str">
        <f>CONCATENATE("+ ",ROUND((G$46*0.08),2))</f>
        <v>+ 12.73</v>
      </c>
    </row>
    <row r="48" spans="1:8" ht="15" thickBot="1">
      <c r="B48" s="646" t="s">
        <v>449</v>
      </c>
      <c r="C48" s="697" t="str">
        <f>D47</f>
        <v>+ 12.74</v>
      </c>
      <c r="D48" s="632"/>
      <c r="E48" s="631" t="str">
        <f>F47</f>
        <v>+ 12.94</v>
      </c>
      <c r="F48" s="632"/>
      <c r="G48" s="631" t="str">
        <f>H47</f>
        <v>+ 12.73</v>
      </c>
      <c r="H48" s="632"/>
    </row>
    <row r="49" spans="1:9" s="392" customFormat="1" ht="15" thickBot="1">
      <c r="B49" s="647" t="s">
        <v>452</v>
      </c>
      <c r="C49" s="648">
        <f>C$46+C$48+C$44+C$45</f>
        <v>172.00731713549129</v>
      </c>
      <c r="D49" s="649">
        <f>D38+D47</f>
        <v>0.88000000000000078</v>
      </c>
      <c r="E49" s="648">
        <f>E$46+E$48+E$44+E$45</f>
        <v>174.66899268685648</v>
      </c>
      <c r="F49" s="649">
        <f>F38+F47</f>
        <v>0.87999999999999901</v>
      </c>
      <c r="G49" s="650">
        <f>G$46+G$48+G$44+G$45</f>
        <v>171.86248178465883</v>
      </c>
      <c r="H49" s="651">
        <f>H38+H47</f>
        <v>0.88000000000000078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85">
    <tabColor rgb="FF00CC00"/>
  </sheetPr>
  <dimension ref="B2:K31"/>
  <sheetViews>
    <sheetView topLeftCell="A13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184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97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Nairobi!D21</f>
        <v>8.19</v>
      </c>
      <c r="E21" s="168">
        <f>Nairobi!E21</f>
        <v>8.19</v>
      </c>
      <c r="F21" s="168">
        <f>Nairobi!F21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2.3753882823265977</v>
      </c>
      <c r="E23" s="283">
        <f t="shared" ref="E23:F23" si="0">$G$23*$G$8</f>
        <v>2.3753882823265977</v>
      </c>
      <c r="F23" s="283">
        <f t="shared" si="0"/>
        <v>2.3753882823265977</v>
      </c>
      <c r="G23" s="284">
        <f>'Delivery &gt;40km-Sept 2013'!E24*I23/1000</f>
        <v>2.047748519247067</v>
      </c>
      <c r="H23" s="262" t="s">
        <v>127</v>
      </c>
      <c r="I23" s="259">
        <v>171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159.36049117203575</v>
      </c>
      <c r="E25" s="285">
        <f>E19+E21+E23</f>
        <v>161.81054562029965</v>
      </c>
      <c r="F25" s="285">
        <f>F19+F21+F23</f>
        <v>159.24062901921263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318474" r:id="rId4">
          <objectPr defaultSize="0" autoPict="0" r:id="rId5">
            <anchor>
              <from>
                <xdr:col>1</xdr:col>
                <xdr:colOff>57150</xdr:colOff>
                <xdr:row>18</xdr:row>
                <xdr:rowOff>152400</xdr:rowOff>
              </from>
              <to>
                <xdr:col>1</xdr:col>
                <xdr:colOff>527050</xdr:colOff>
                <xdr:row>19</xdr:row>
                <xdr:rowOff>152400</xdr:rowOff>
              </to>
            </anchor>
          </objectPr>
        </oleObject>
      </mc:Choice>
      <mc:Fallback>
        <oleObject progId="Equation.3" shapeId="318474" r:id="rId4"/>
      </mc:Fallback>
    </mc:AlternateContent>
  </oleObjec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86">
    <tabColor rgb="FF0070C0"/>
  </sheetPr>
  <dimension ref="A2:M68"/>
  <sheetViews>
    <sheetView topLeftCell="A25" workbookViewId="0">
      <selection activeCell="D58" sqref="D58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Chuka!G23</f>
        <v>2.047748519247067</v>
      </c>
      <c r="D40" s="943"/>
      <c r="E40" s="880">
        <f>C40</f>
        <v>2.047748519247067</v>
      </c>
      <c r="F40" s="943"/>
      <c r="G40" s="613">
        <f>C40</f>
        <v>2.047748519247067</v>
      </c>
      <c r="H40" s="943"/>
    </row>
    <row r="41" spans="1:8" s="392" customFormat="1">
      <c r="A41" s="605"/>
      <c r="B41" s="617" t="s">
        <v>446</v>
      </c>
      <c r="C41" s="618">
        <f>SUM(C40)</f>
        <v>2.047748519247067</v>
      </c>
      <c r="D41" s="618"/>
      <c r="E41" s="626">
        <f>SUM(E40)</f>
        <v>2.047748519247067</v>
      </c>
      <c r="F41" s="944"/>
      <c r="G41" s="618">
        <f>SUM(G40)</f>
        <v>2.047748519247067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170.38485860804496</v>
      </c>
      <c r="D43" s="610"/>
      <c r="E43" s="613">
        <f>E$37+E$42+E$41</f>
        <v>173.04653415941019</v>
      </c>
      <c r="F43" s="610"/>
      <c r="G43" s="236">
        <f>G$37+G$42+G$41</f>
        <v>170.24002325721253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158.52485860804495</v>
      </c>
      <c r="D46" s="610"/>
      <c r="E46" s="641">
        <f>E$43-E44-E45+F$38</f>
        <v>160.98653415941018</v>
      </c>
      <c r="F46" s="610"/>
      <c r="G46" s="642">
        <f>G$43-G44-G45+H$38</f>
        <v>158.39002325721253</v>
      </c>
      <c r="H46" s="573"/>
    </row>
    <row r="47" spans="1:8">
      <c r="B47" s="503" t="s">
        <v>445</v>
      </c>
      <c r="C47" s="644"/>
      <c r="D47" s="696" t="str">
        <f>CONCATENATE("+ ",ROUND((C$46*0.08),2))</f>
        <v>+ 12.68</v>
      </c>
      <c r="E47" s="644"/>
      <c r="F47" s="627" t="str">
        <f>CONCATENATE("+ ",ROUND((E$46*0.08),2))</f>
        <v>+ 12.88</v>
      </c>
      <c r="G47" s="645"/>
      <c r="H47" s="627" t="str">
        <f>CONCATENATE("+ ",ROUND((G$46*0.08),2))</f>
        <v>+ 12.67</v>
      </c>
    </row>
    <row r="48" spans="1:8" ht="15" thickBot="1">
      <c r="B48" s="646" t="s">
        <v>449</v>
      </c>
      <c r="C48" s="697" t="str">
        <f>D47</f>
        <v>+ 12.68</v>
      </c>
      <c r="D48" s="632"/>
      <c r="E48" s="631" t="str">
        <f>F47</f>
        <v>+ 12.88</v>
      </c>
      <c r="F48" s="632"/>
      <c r="G48" s="631" t="str">
        <f>H47</f>
        <v>+ 12.67</v>
      </c>
      <c r="H48" s="632"/>
    </row>
    <row r="49" spans="1:9" s="392" customFormat="1" ht="15" thickBot="1">
      <c r="B49" s="647" t="s">
        <v>452</v>
      </c>
      <c r="C49" s="648">
        <f>C$46+C$48+C$44+C$45</f>
        <v>171.20485860804496</v>
      </c>
      <c r="D49" s="649">
        <f>D38+D47</f>
        <v>0.82000000000000028</v>
      </c>
      <c r="E49" s="648">
        <f>E$46+E$48+E$44+E$45</f>
        <v>173.86653415941018</v>
      </c>
      <c r="F49" s="649">
        <f>F38+F47</f>
        <v>0.82000000000000028</v>
      </c>
      <c r="G49" s="650">
        <f>G$46+G$48+G$44+G$45</f>
        <v>171.06002325721252</v>
      </c>
      <c r="H49" s="651">
        <f>H38+H47</f>
        <v>0.82000000000000028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87">
    <tabColor rgb="FF00CC00"/>
  </sheetPr>
  <dimension ref="B2:K31"/>
  <sheetViews>
    <sheetView topLeftCell="A13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183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Nairobi!D21</f>
        <v>8.19</v>
      </c>
      <c r="E21" s="168">
        <f>Nairobi!E21</f>
        <v>8.19</v>
      </c>
      <c r="F21" s="168">
        <f>Nairobi!F21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3.7367219178120168</v>
      </c>
      <c r="E23" s="283">
        <f t="shared" ref="E23:F23" si="0">$G$23*$G$8</f>
        <v>3.7367219178120168</v>
      </c>
      <c r="F23" s="283">
        <f t="shared" si="0"/>
        <v>3.7367219178120168</v>
      </c>
      <c r="G23" s="284">
        <f>'Delivery &gt;40km-Sept 2013'!E24*I23/1000</f>
        <v>3.2213119981138076</v>
      </c>
      <c r="H23" s="262" t="s">
        <v>127</v>
      </c>
      <c r="I23" s="259">
        <v>269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160.72182480752116</v>
      </c>
      <c r="E25" s="285">
        <f>E19+E21+E23</f>
        <v>163.17187925578506</v>
      </c>
      <c r="F25" s="285">
        <f>F19+F21+F23</f>
        <v>160.60196265469804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317450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317450" r:id="rId4"/>
      </mc:Fallback>
    </mc:AlternateContent>
  </oleObjec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88">
    <tabColor rgb="FF0070C0"/>
  </sheetPr>
  <dimension ref="A2:M68"/>
  <sheetViews>
    <sheetView topLeftCell="A37" workbookViewId="0">
      <selection activeCell="D45" sqref="D45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Nkubu!G23</f>
        <v>3.2213119981138076</v>
      </c>
      <c r="D40" s="943"/>
      <c r="E40" s="880">
        <f>C40</f>
        <v>3.2213119981138076</v>
      </c>
      <c r="F40" s="943"/>
      <c r="G40" s="613">
        <f>C40</f>
        <v>3.2213119981138076</v>
      </c>
      <c r="H40" s="943"/>
    </row>
    <row r="41" spans="1:8" s="392" customFormat="1">
      <c r="A41" s="605"/>
      <c r="B41" s="617" t="s">
        <v>446</v>
      </c>
      <c r="C41" s="618">
        <f>SUM(C40)</f>
        <v>3.2213119981138076</v>
      </c>
      <c r="D41" s="618"/>
      <c r="E41" s="626">
        <f>SUM(E40)</f>
        <v>3.2213119981138076</v>
      </c>
      <c r="F41" s="944"/>
      <c r="G41" s="618">
        <f>SUM(G40)</f>
        <v>3.2213119981138076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171.55842208691169</v>
      </c>
      <c r="D43" s="610"/>
      <c r="E43" s="613">
        <f>E$37+E$42+E$41</f>
        <v>174.22009763827691</v>
      </c>
      <c r="F43" s="610"/>
      <c r="G43" s="236">
        <f>G$37+G$42+G$41</f>
        <v>171.41358673607925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159.69842208691171</v>
      </c>
      <c r="D46" s="610"/>
      <c r="E46" s="641">
        <f>E$43-E44-E45+F$38</f>
        <v>162.16009763827691</v>
      </c>
      <c r="F46" s="610"/>
      <c r="G46" s="642">
        <f>G$43-G44-G45+H$38</f>
        <v>159.56358673607926</v>
      </c>
      <c r="H46" s="573"/>
    </row>
    <row r="47" spans="1:8">
      <c r="B47" s="503" t="s">
        <v>445</v>
      </c>
      <c r="C47" s="644"/>
      <c r="D47" s="696" t="str">
        <f>CONCATENATE("+ ",ROUND((C$46*0.08),2))</f>
        <v>+ 12.78</v>
      </c>
      <c r="E47" s="644"/>
      <c r="F47" s="627" t="str">
        <f>CONCATENATE("+ ",ROUND((E$46*0.08),2))</f>
        <v>+ 12.97</v>
      </c>
      <c r="G47" s="645"/>
      <c r="H47" s="627" t="str">
        <f>CONCATENATE("+ ",ROUND((G$46*0.08),2))</f>
        <v>+ 12.77</v>
      </c>
    </row>
    <row r="48" spans="1:8" ht="15" thickBot="1">
      <c r="B48" s="646" t="s">
        <v>449</v>
      </c>
      <c r="C48" s="697" t="str">
        <f>D47</f>
        <v>+ 12.78</v>
      </c>
      <c r="D48" s="632"/>
      <c r="E48" s="631" t="str">
        <f>F47</f>
        <v>+ 12.97</v>
      </c>
      <c r="F48" s="632"/>
      <c r="G48" s="631" t="str">
        <f>H47</f>
        <v>+ 12.77</v>
      </c>
      <c r="H48" s="632"/>
    </row>
    <row r="49" spans="1:9" s="392" customFormat="1" ht="15" thickBot="1">
      <c r="B49" s="647" t="s">
        <v>452</v>
      </c>
      <c r="C49" s="648">
        <f>C$46+C$48+C$44+C$45</f>
        <v>172.47842208691171</v>
      </c>
      <c r="D49" s="649">
        <f>D38+D47</f>
        <v>0.91999999999999993</v>
      </c>
      <c r="E49" s="648">
        <f>E$46+E$48+E$44+E$45</f>
        <v>175.13009763827691</v>
      </c>
      <c r="F49" s="649">
        <f>F38+F47</f>
        <v>0.91000000000000014</v>
      </c>
      <c r="G49" s="650">
        <f>G$46+G$48+G$44+G$45</f>
        <v>172.33358673607927</v>
      </c>
      <c r="H49" s="651">
        <f>H38+H47</f>
        <v>0.91999999999999993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89">
    <tabColor rgb="FF00CC00"/>
  </sheetPr>
  <dimension ref="B2:K31"/>
  <sheetViews>
    <sheetView topLeftCell="A9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64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Nairobi!D21</f>
        <v>8.19</v>
      </c>
      <c r="E21" s="168">
        <f>Nairobi!E21</f>
        <v>8.19</v>
      </c>
      <c r="F21" s="168">
        <f>Nairobi!F21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3.9450893109985601</v>
      </c>
      <c r="E23" s="283">
        <f t="shared" ref="E23:F23" si="0">$G$23*$G$8</f>
        <v>3.9450893109985601</v>
      </c>
      <c r="F23" s="283">
        <f t="shared" si="0"/>
        <v>3.9450893109985601</v>
      </c>
      <c r="G23" s="284">
        <f>'Delivery &gt;40km-Sept 2013'!E24*I23/1000</f>
        <v>3.4009390612056554</v>
      </c>
      <c r="H23" s="262" t="s">
        <v>127</v>
      </c>
      <c r="I23" s="259">
        <v>284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160.93019220070769</v>
      </c>
      <c r="E25" s="285">
        <f>E19+E21+E23</f>
        <v>163.38024664897159</v>
      </c>
      <c r="F25" s="285">
        <f>F19+F21+F23</f>
        <v>160.81033004788458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40970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40970" r:id="rId4"/>
      </mc:Fallback>
    </mc:AlternateContent>
  </oleObject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90">
    <tabColor rgb="FF0070C0"/>
  </sheetPr>
  <dimension ref="A2:M68"/>
  <sheetViews>
    <sheetView topLeftCell="A22" workbookViewId="0">
      <selection activeCell="F46" sqref="F46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Meru!G23</f>
        <v>3.4009390612056554</v>
      </c>
      <c r="D40" s="943"/>
      <c r="E40" s="880">
        <f>C40</f>
        <v>3.4009390612056554</v>
      </c>
      <c r="F40" s="943"/>
      <c r="G40" s="613">
        <f>C40</f>
        <v>3.4009390612056554</v>
      </c>
      <c r="H40" s="943"/>
    </row>
    <row r="41" spans="1:8" s="392" customFormat="1">
      <c r="A41" s="605"/>
      <c r="B41" s="617" t="s">
        <v>446</v>
      </c>
      <c r="C41" s="618">
        <f>SUM(C40)</f>
        <v>3.4009390612056554</v>
      </c>
      <c r="D41" s="618"/>
      <c r="E41" s="626">
        <f>SUM(E40)</f>
        <v>3.4009390612056554</v>
      </c>
      <c r="F41" s="944"/>
      <c r="G41" s="618">
        <f>SUM(G40)</f>
        <v>3.4009390612056554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171.73804915000355</v>
      </c>
      <c r="D43" s="610"/>
      <c r="E43" s="613">
        <f>E$37+E$42+E$41</f>
        <v>174.39972470136877</v>
      </c>
      <c r="F43" s="610"/>
      <c r="G43" s="236">
        <f>G$37+G$42+G$41</f>
        <v>171.59321379917111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159.87804915000356</v>
      </c>
      <c r="D46" s="610"/>
      <c r="E46" s="641">
        <f>E$43-E44-E45+F$38</f>
        <v>162.33972470136877</v>
      </c>
      <c r="F46" s="610"/>
      <c r="G46" s="642">
        <f>G$43-G44-G45+H$38</f>
        <v>159.74321379917112</v>
      </c>
      <c r="H46" s="573"/>
    </row>
    <row r="47" spans="1:8">
      <c r="B47" s="503" t="s">
        <v>445</v>
      </c>
      <c r="C47" s="644"/>
      <c r="D47" s="696" t="str">
        <f>CONCATENATE("+ ",ROUND((C$46*0.08),2))</f>
        <v>+ 12.79</v>
      </c>
      <c r="E47" s="644"/>
      <c r="F47" s="627" t="str">
        <f>CONCATENATE("+ ",ROUND((E$46*0.08),2))</f>
        <v>+ 12.99</v>
      </c>
      <c r="G47" s="645"/>
      <c r="H47" s="627" t="str">
        <f>CONCATENATE("+ ",ROUND((G$46*0.08),2))</f>
        <v>+ 12.78</v>
      </c>
    </row>
    <row r="48" spans="1:8" ht="15" thickBot="1">
      <c r="B48" s="646" t="s">
        <v>449</v>
      </c>
      <c r="C48" s="697" t="str">
        <f>D47</f>
        <v>+ 12.79</v>
      </c>
      <c r="D48" s="632"/>
      <c r="E48" s="631" t="str">
        <f>F47</f>
        <v>+ 12.99</v>
      </c>
      <c r="F48" s="632"/>
      <c r="G48" s="631" t="str">
        <f>H47</f>
        <v>+ 12.78</v>
      </c>
      <c r="H48" s="632"/>
    </row>
    <row r="49" spans="1:9" s="392" customFormat="1" ht="15" thickBot="1">
      <c r="B49" s="647" t="s">
        <v>452</v>
      </c>
      <c r="C49" s="648">
        <f>C$46+C$48+C$44+C$45</f>
        <v>172.66804915000355</v>
      </c>
      <c r="D49" s="649">
        <f>D38+D47</f>
        <v>0.92999999999999972</v>
      </c>
      <c r="E49" s="648">
        <f>E$46+E$48+E$44+E$45</f>
        <v>175.32972470136878</v>
      </c>
      <c r="F49" s="649">
        <f>F38+F47</f>
        <v>0.92999999999999972</v>
      </c>
      <c r="G49" s="650">
        <f>G$46+G$48+G$44+G$45</f>
        <v>172.52321379917112</v>
      </c>
      <c r="H49" s="651">
        <f>H38+H47</f>
        <v>0.92999999999999972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91">
    <tabColor rgb="FF00CC00"/>
  </sheetPr>
  <dimension ref="B2:K31"/>
  <sheetViews>
    <sheetView topLeftCell="A11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81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Nairobi!D21</f>
        <v>8.19</v>
      </c>
      <c r="E21" s="168">
        <f>Nairobi!E21</f>
        <v>8.19</v>
      </c>
      <c r="F21" s="168">
        <f>Nairobi!F21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3.7922865559950947</v>
      </c>
      <c r="E23" s="283">
        <f t="shared" ref="E23:F23" si="0">$G$23*$G$8</f>
        <v>3.7922865559950947</v>
      </c>
      <c r="F23" s="283">
        <f t="shared" si="0"/>
        <v>3.7922865559950947</v>
      </c>
      <c r="G23" s="284">
        <f>'Delivery &gt;40km-Sept 2013'!E24*I23/1000</f>
        <v>3.2692125482716334</v>
      </c>
      <c r="H23" s="262" t="s">
        <v>127</v>
      </c>
      <c r="I23" s="259">
        <v>273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160.77738944570424</v>
      </c>
      <c r="E25" s="285">
        <f>E19+E21+E23</f>
        <v>163.22744389396814</v>
      </c>
      <c r="F25" s="285">
        <f>F19+F21+F23</f>
        <v>160.65752729288113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90122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90122" r:id="rId4"/>
      </mc:Fallback>
    </mc:AlternateContent>
  </oleObject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92">
    <tabColor rgb="FF0070C0"/>
  </sheetPr>
  <dimension ref="A2:M68"/>
  <sheetViews>
    <sheetView topLeftCell="A25" workbookViewId="0">
      <selection activeCell="D44" sqref="D44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Isiolo!G23</f>
        <v>3.2692125482716334</v>
      </c>
      <c r="D40" s="943"/>
      <c r="E40" s="880">
        <f>C40</f>
        <v>3.2692125482716334</v>
      </c>
      <c r="F40" s="943"/>
      <c r="G40" s="613">
        <f>C40</f>
        <v>3.2692125482716334</v>
      </c>
      <c r="H40" s="943"/>
    </row>
    <row r="41" spans="1:8" s="392" customFormat="1">
      <c r="A41" s="605"/>
      <c r="B41" s="617" t="s">
        <v>446</v>
      </c>
      <c r="C41" s="618">
        <f>SUM(C40)</f>
        <v>3.2692125482716334</v>
      </c>
      <c r="D41" s="618"/>
      <c r="E41" s="626">
        <f>SUM(E40)</f>
        <v>3.2692125482716334</v>
      </c>
      <c r="F41" s="944"/>
      <c r="G41" s="618">
        <f>SUM(G40)</f>
        <v>3.2692125482716334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171.60632263706952</v>
      </c>
      <c r="D43" s="610"/>
      <c r="E43" s="613">
        <f>E$37+E$42+E$41</f>
        <v>174.26799818843475</v>
      </c>
      <c r="F43" s="610"/>
      <c r="G43" s="236">
        <f>G$37+G$42+G$41</f>
        <v>171.46148728623709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159.74632263706951</v>
      </c>
      <c r="D46" s="610"/>
      <c r="E46" s="641">
        <f>E$43-E44-E45+F$38</f>
        <v>162.20799818843474</v>
      </c>
      <c r="F46" s="610"/>
      <c r="G46" s="642">
        <f>G$43-G44-G45+H$38</f>
        <v>159.61148728623709</v>
      </c>
      <c r="H46" s="573"/>
    </row>
    <row r="47" spans="1:8">
      <c r="B47" s="503" t="s">
        <v>445</v>
      </c>
      <c r="C47" s="644"/>
      <c r="D47" s="696" t="str">
        <f>CONCATENATE("+ ",ROUND((C$46*0.08),2))</f>
        <v>+ 12.78</v>
      </c>
      <c r="E47" s="644"/>
      <c r="F47" s="627" t="str">
        <f>CONCATENATE("+ ",ROUND((E$46*0.08),2))</f>
        <v>+ 12.98</v>
      </c>
      <c r="G47" s="645"/>
      <c r="H47" s="627" t="str">
        <f>CONCATENATE("+ ",ROUND((G$46*0.08),2))</f>
        <v>+ 12.77</v>
      </c>
    </row>
    <row r="48" spans="1:8" ht="15" thickBot="1">
      <c r="B48" s="646" t="s">
        <v>449</v>
      </c>
      <c r="C48" s="697" t="str">
        <f>D47</f>
        <v>+ 12.78</v>
      </c>
      <c r="D48" s="632"/>
      <c r="E48" s="631" t="str">
        <f>F47</f>
        <v>+ 12.98</v>
      </c>
      <c r="F48" s="632"/>
      <c r="G48" s="631" t="str">
        <f>H47</f>
        <v>+ 12.77</v>
      </c>
      <c r="H48" s="632"/>
    </row>
    <row r="49" spans="1:9" s="392" customFormat="1" ht="15" thickBot="1">
      <c r="B49" s="647" t="s">
        <v>452</v>
      </c>
      <c r="C49" s="648">
        <f>C$46+C$48+C$44+C$45</f>
        <v>172.52632263706951</v>
      </c>
      <c r="D49" s="649">
        <f>D38+D47</f>
        <v>0.91999999999999993</v>
      </c>
      <c r="E49" s="648">
        <f>E$46+E$48+E$44+E$45</f>
        <v>175.18799818843473</v>
      </c>
      <c r="F49" s="649">
        <f>F38+F47</f>
        <v>0.91999999999999993</v>
      </c>
      <c r="G49" s="650">
        <f>G$46+G$48+G$44+G$45</f>
        <v>172.3814872862371</v>
      </c>
      <c r="H49" s="651">
        <f>H38+H47</f>
        <v>0.91999999999999993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93">
    <tabColor rgb="FF00CC00"/>
  </sheetPr>
  <dimension ref="B2:K31"/>
  <sheetViews>
    <sheetView topLeftCell="A13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172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Nairobi!D21</f>
        <v>8.19</v>
      </c>
      <c r="E21" s="168">
        <f>Nairobi!E21</f>
        <v>8.19</v>
      </c>
      <c r="F21" s="168">
        <f>Nairobi!F21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4.431279895100495</v>
      </c>
      <c r="E23" s="283">
        <f t="shared" ref="E23:F23" si="0">$G$23*$G$8</f>
        <v>4.431279895100495</v>
      </c>
      <c r="F23" s="283">
        <f t="shared" si="0"/>
        <v>4.431279895100495</v>
      </c>
      <c r="G23" s="284">
        <f>'Delivery &gt;40km-Sept 2013'!E24*I23/1000</f>
        <v>3.8200688750866338</v>
      </c>
      <c r="H23" s="262" t="s">
        <v>127</v>
      </c>
      <c r="I23" s="259">
        <v>319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161.41638278480963</v>
      </c>
      <c r="E25" s="285">
        <f>E19+E21+E23</f>
        <v>163.86643723307353</v>
      </c>
      <c r="F25" s="285">
        <f>F19+F21+F23</f>
        <v>161.29652063198651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275466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275466" r:id="rId4"/>
      </mc:Fallback>
    </mc:AlternateContent>
  </oleObject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94">
    <tabColor rgb="FF0070C0"/>
  </sheetPr>
  <dimension ref="A2:M68"/>
  <sheetViews>
    <sheetView topLeftCell="A25" workbookViewId="0">
      <selection activeCell="D43" sqref="D43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Maua!G23</f>
        <v>3.8200688750866338</v>
      </c>
      <c r="D40" s="943"/>
      <c r="E40" s="880">
        <f>C40</f>
        <v>3.8200688750866338</v>
      </c>
      <c r="F40" s="943"/>
      <c r="G40" s="613">
        <f>C40</f>
        <v>3.8200688750866338</v>
      </c>
      <c r="H40" s="943"/>
    </row>
    <row r="41" spans="1:8" s="392" customFormat="1">
      <c r="A41" s="605"/>
      <c r="B41" s="617" t="s">
        <v>446</v>
      </c>
      <c r="C41" s="618">
        <f>SUM(C40)</f>
        <v>3.8200688750866338</v>
      </c>
      <c r="D41" s="618"/>
      <c r="E41" s="626">
        <f>SUM(E40)</f>
        <v>3.8200688750866338</v>
      </c>
      <c r="F41" s="944"/>
      <c r="G41" s="618">
        <f>SUM(G40)</f>
        <v>3.8200688750866338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172.15717896388452</v>
      </c>
      <c r="D43" s="610"/>
      <c r="E43" s="613">
        <f>E$37+E$42+E$41</f>
        <v>174.81885451524974</v>
      </c>
      <c r="F43" s="610"/>
      <c r="G43" s="236">
        <f>G$37+G$42+G$41</f>
        <v>172.01234361305208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160.29717896388451</v>
      </c>
      <c r="D46" s="610"/>
      <c r="E46" s="641">
        <f>E$43-E44-E45+F$38</f>
        <v>162.75885451524974</v>
      </c>
      <c r="F46" s="610"/>
      <c r="G46" s="642">
        <f>G$43-G44-G45+H$38</f>
        <v>160.16234361305209</v>
      </c>
      <c r="H46" s="573"/>
    </row>
    <row r="47" spans="1:8">
      <c r="B47" s="503" t="s">
        <v>445</v>
      </c>
      <c r="C47" s="644"/>
      <c r="D47" s="696" t="str">
        <f>CONCATENATE("+ ",ROUND((C$46*0.08),2))</f>
        <v>+ 12.82</v>
      </c>
      <c r="E47" s="644"/>
      <c r="F47" s="627" t="str">
        <f>CONCATENATE("+ ",ROUND((E$46*0.08),2))</f>
        <v>+ 13.02</v>
      </c>
      <c r="G47" s="645"/>
      <c r="H47" s="627" t="str">
        <f>CONCATENATE("+ ",ROUND((G$46*0.08),2))</f>
        <v>+ 12.81</v>
      </c>
    </row>
    <row r="48" spans="1:8" ht="15" thickBot="1">
      <c r="B48" s="646" t="s">
        <v>449</v>
      </c>
      <c r="C48" s="697" t="str">
        <f>D47</f>
        <v>+ 12.82</v>
      </c>
      <c r="D48" s="632"/>
      <c r="E48" s="631" t="str">
        <f>F47</f>
        <v>+ 13.02</v>
      </c>
      <c r="F48" s="632"/>
      <c r="G48" s="631" t="str">
        <f>H47</f>
        <v>+ 12.81</v>
      </c>
      <c r="H48" s="632"/>
    </row>
    <row r="49" spans="1:9" s="392" customFormat="1" ht="15" thickBot="1">
      <c r="B49" s="647" t="s">
        <v>452</v>
      </c>
      <c r="C49" s="648">
        <f>C$46+C$48+C$44+C$45</f>
        <v>173.1171789638845</v>
      </c>
      <c r="D49" s="649">
        <f>D38+D47</f>
        <v>0.96000000000000085</v>
      </c>
      <c r="E49" s="648">
        <f>E$46+E$48+E$44+E$45</f>
        <v>175.77885451524975</v>
      </c>
      <c r="F49" s="649">
        <f>F38+F47</f>
        <v>0.95999999999999908</v>
      </c>
      <c r="G49" s="650">
        <f>G$46+G$48+G$44+G$45</f>
        <v>172.97234361305209</v>
      </c>
      <c r="H49" s="651">
        <f>H38+H47</f>
        <v>0.96000000000000085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95">
    <tabColor rgb="FF00CC00"/>
  </sheetPr>
  <dimension ref="B2:K31"/>
  <sheetViews>
    <sheetView topLeftCell="A13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148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Narok!D21</f>
        <v>8.19</v>
      </c>
      <c r="E21" s="168">
        <f>Narok!E21</f>
        <v>8.19</v>
      </c>
      <c r="F21" s="168">
        <f>Narok!F21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5.098055553297435</v>
      </c>
      <c r="E23" s="283">
        <f t="shared" ref="E23:F23" si="0">$G$23*$G$8</f>
        <v>5.098055553297435</v>
      </c>
      <c r="F23" s="283">
        <f t="shared" si="0"/>
        <v>5.098055553297435</v>
      </c>
      <c r="G23" s="284">
        <f>'Delivery &gt;40km-Sept 2013'!E24*I23/1000</f>
        <v>4.3948754769805474</v>
      </c>
      <c r="H23" s="262" t="s">
        <v>127</v>
      </c>
      <c r="I23" s="259">
        <v>367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162.08315844300657</v>
      </c>
      <c r="E25" s="285">
        <f>E19+E21+E23</f>
        <v>164.53321289127047</v>
      </c>
      <c r="F25" s="285">
        <f>F19+F21+F23</f>
        <v>161.96329629018345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53258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53258" r:id="rId4"/>
      </mc:Fallback>
    </mc:AlternateContent>
  </oleObjec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96">
    <tabColor rgb="FF0070C0"/>
  </sheetPr>
  <dimension ref="A2:M68"/>
  <sheetViews>
    <sheetView topLeftCell="A26" workbookViewId="0">
      <selection activeCell="E48" sqref="E48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Garissa!G23</f>
        <v>4.3948754769805474</v>
      </c>
      <c r="D40" s="943"/>
      <c r="E40" s="880">
        <f>C40</f>
        <v>4.3948754769805474</v>
      </c>
      <c r="F40" s="943"/>
      <c r="G40" s="613">
        <f>C40</f>
        <v>4.3948754769805474</v>
      </c>
      <c r="H40" s="943"/>
    </row>
    <row r="41" spans="1:8" s="392" customFormat="1">
      <c r="A41" s="605"/>
      <c r="B41" s="617" t="s">
        <v>446</v>
      </c>
      <c r="C41" s="618">
        <f>SUM(C40)</f>
        <v>4.3948754769805474</v>
      </c>
      <c r="D41" s="618"/>
      <c r="E41" s="626">
        <f>SUM(E40)</f>
        <v>4.3948754769805474</v>
      </c>
      <c r="F41" s="944"/>
      <c r="G41" s="618">
        <f>SUM(G40)</f>
        <v>4.3948754769805474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172.73198556577844</v>
      </c>
      <c r="D43" s="610"/>
      <c r="E43" s="613">
        <f>E$37+E$42+E$41</f>
        <v>175.39366111714367</v>
      </c>
      <c r="F43" s="610"/>
      <c r="G43" s="236">
        <f>G$37+G$42+G$41</f>
        <v>172.58715021494601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160.87198556577846</v>
      </c>
      <c r="D46" s="610"/>
      <c r="E46" s="641">
        <f>E$43-E44-E45+F$38</f>
        <v>163.33366111714366</v>
      </c>
      <c r="F46" s="610"/>
      <c r="G46" s="642">
        <f>G$43-G44-G45+H$38</f>
        <v>160.73715021494601</v>
      </c>
      <c r="H46" s="573"/>
    </row>
    <row r="47" spans="1:8">
      <c r="B47" s="503" t="s">
        <v>445</v>
      </c>
      <c r="C47" s="644"/>
      <c r="D47" s="696" t="str">
        <f>CONCATENATE("+ ",ROUND((C$46*0.08),2))</f>
        <v>+ 12.87</v>
      </c>
      <c r="E47" s="644"/>
      <c r="F47" s="627" t="str">
        <f>CONCATENATE("+ ",ROUND((E$46*0.08),2))</f>
        <v>+ 13.07</v>
      </c>
      <c r="G47" s="645"/>
      <c r="H47" s="627" t="str">
        <f>CONCATENATE("+ ",ROUND((G$46*0.08),2))</f>
        <v>+ 12.86</v>
      </c>
    </row>
    <row r="48" spans="1:8" ht="15" thickBot="1">
      <c r="B48" s="646" t="s">
        <v>449</v>
      </c>
      <c r="C48" s="697" t="str">
        <f>D47</f>
        <v>+ 12.87</v>
      </c>
      <c r="D48" s="632"/>
      <c r="E48" s="631" t="str">
        <f>F47</f>
        <v>+ 13.07</v>
      </c>
      <c r="F48" s="632"/>
      <c r="G48" s="631" t="str">
        <f>H47</f>
        <v>+ 12.86</v>
      </c>
      <c r="H48" s="632"/>
    </row>
    <row r="49" spans="1:9" s="392" customFormat="1" ht="15" thickBot="1">
      <c r="B49" s="647" t="s">
        <v>452</v>
      </c>
      <c r="C49" s="648">
        <f>C$46+C$48+C$44+C$45</f>
        <v>173.74198556577846</v>
      </c>
      <c r="D49" s="649">
        <f>D38+D47</f>
        <v>1.0099999999999998</v>
      </c>
      <c r="E49" s="648">
        <f>E$46+E$48+E$44+E$45</f>
        <v>176.40366111714366</v>
      </c>
      <c r="F49" s="649">
        <f>F38+F47</f>
        <v>1.0099999999999998</v>
      </c>
      <c r="G49" s="650">
        <f>G$46+G$48+G$44+G$45</f>
        <v>173.597150214946</v>
      </c>
      <c r="H49" s="651">
        <f>H38+H47</f>
        <v>1.0099999999999998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97">
    <tabColor rgb="FF00CC00"/>
  </sheetPr>
  <dimension ref="B2:K31"/>
  <sheetViews>
    <sheetView topLeftCell="A13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82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Kitui!D21</f>
        <v>8.19</v>
      </c>
      <c r="E21" s="168">
        <f>Kitui!E21</f>
        <v>8.19</v>
      </c>
      <c r="F21" s="168">
        <f>Kitui!F21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9.0570360238417642</v>
      </c>
      <c r="E23" s="283">
        <f t="shared" ref="E23:F23" si="0">$G$23*$G$8</f>
        <v>9.0570360238417642</v>
      </c>
      <c r="F23" s="283">
        <f t="shared" si="0"/>
        <v>9.0570360238417642</v>
      </c>
      <c r="G23" s="284">
        <f>'Delivery &gt;40km-Sept 2013'!E24*I23/1000</f>
        <v>7.8077896757256591</v>
      </c>
      <c r="H23" s="262" t="s">
        <v>127</v>
      </c>
      <c r="I23" s="259">
        <v>652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166.0421389135509</v>
      </c>
      <c r="E25" s="285">
        <f>E19+E21+E23</f>
        <v>168.4921933618148</v>
      </c>
      <c r="F25" s="285">
        <f>F19+F21+F23</f>
        <v>165.92227676072778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70666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70666" r:id="rId4"/>
      </mc:Fallback>
    </mc:AlternateContent>
  </oleObject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98">
    <tabColor rgb="FF0070C0"/>
  </sheetPr>
  <dimension ref="A2:M68"/>
  <sheetViews>
    <sheetView topLeftCell="A22" workbookViewId="0">
      <selection activeCell="F48" sqref="F48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Marsabit!G23</f>
        <v>7.8077896757256591</v>
      </c>
      <c r="D40" s="943"/>
      <c r="E40" s="880">
        <f>C40</f>
        <v>7.8077896757256591</v>
      </c>
      <c r="F40" s="943"/>
      <c r="G40" s="613">
        <f>C40</f>
        <v>7.8077896757256591</v>
      </c>
      <c r="H40" s="943"/>
    </row>
    <row r="41" spans="1:8" s="392" customFormat="1">
      <c r="A41" s="605"/>
      <c r="B41" s="617" t="s">
        <v>446</v>
      </c>
      <c r="C41" s="618">
        <f>SUM(C40)</f>
        <v>7.8077896757256591</v>
      </c>
      <c r="D41" s="618"/>
      <c r="E41" s="626">
        <f>SUM(E40)</f>
        <v>7.8077896757256591</v>
      </c>
      <c r="F41" s="944"/>
      <c r="G41" s="618">
        <f>SUM(G40)</f>
        <v>7.8077896757256591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176.14489976452356</v>
      </c>
      <c r="D43" s="610"/>
      <c r="E43" s="613">
        <f>E$37+E$42+E$41</f>
        <v>178.80657531588878</v>
      </c>
      <c r="F43" s="610"/>
      <c r="G43" s="236">
        <f>G$37+G$42+G$41</f>
        <v>176.00006441369112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164.28489976452357</v>
      </c>
      <c r="D46" s="610"/>
      <c r="E46" s="641">
        <f>E$43-E44-E45+F$38</f>
        <v>166.74657531588878</v>
      </c>
      <c r="F46" s="610"/>
      <c r="G46" s="642">
        <f>G$43-G44-G45+H$38</f>
        <v>164.15006441369113</v>
      </c>
      <c r="H46" s="573"/>
    </row>
    <row r="47" spans="1:8">
      <c r="B47" s="503" t="s">
        <v>445</v>
      </c>
      <c r="C47" s="644"/>
      <c r="D47" s="696" t="str">
        <f>CONCATENATE("+ ",ROUND((C$46*0.08),2))</f>
        <v>+ 13.14</v>
      </c>
      <c r="E47" s="644"/>
      <c r="F47" s="627" t="str">
        <f>CONCATENATE("+ ",ROUND((E$46*0.08),2))</f>
        <v>+ 13.34</v>
      </c>
      <c r="G47" s="645"/>
      <c r="H47" s="627" t="str">
        <f>CONCATENATE("+ ",ROUND((G$46*0.08),2))</f>
        <v>+ 13.13</v>
      </c>
    </row>
    <row r="48" spans="1:8" ht="15" thickBot="1">
      <c r="B48" s="646" t="s">
        <v>449</v>
      </c>
      <c r="C48" s="697" t="str">
        <f>D47</f>
        <v>+ 13.14</v>
      </c>
      <c r="D48" s="632"/>
      <c r="E48" s="631" t="str">
        <f>F47</f>
        <v>+ 13.34</v>
      </c>
      <c r="F48" s="632"/>
      <c r="G48" s="631" t="str">
        <f>H47</f>
        <v>+ 13.13</v>
      </c>
      <c r="H48" s="632"/>
    </row>
    <row r="49" spans="1:9" s="392" customFormat="1" ht="15" thickBot="1">
      <c r="B49" s="647" t="s">
        <v>452</v>
      </c>
      <c r="C49" s="648">
        <f>C$46+C$48+C$44+C$45</f>
        <v>177.42489976452356</v>
      </c>
      <c r="D49" s="649">
        <f>D38+D47</f>
        <v>1.2800000000000011</v>
      </c>
      <c r="E49" s="648">
        <f>E$46+E$48+E$44+E$45</f>
        <v>180.08657531588878</v>
      </c>
      <c r="F49" s="649">
        <f>F38+F47</f>
        <v>1.2799999999999994</v>
      </c>
      <c r="G49" s="650">
        <f>G$46+G$48+G$44+G$45</f>
        <v>177.28006441369112</v>
      </c>
      <c r="H49" s="651">
        <f>H38+H47</f>
        <v>1.2800000000000011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99">
    <tabColor rgb="FF00CC00"/>
  </sheetPr>
  <dimension ref="B2:K31"/>
  <sheetViews>
    <sheetView topLeftCell="A9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185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Kitui!D21</f>
        <v>8.19</v>
      </c>
      <c r="E21" s="168">
        <f>Kitui!E21</f>
        <v>8.19</v>
      </c>
      <c r="F21" s="168">
        <f>Kitui!F21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8.0707636960921239</v>
      </c>
      <c r="E23" s="283">
        <f t="shared" ref="E23:F23" si="0">$G$23*$G$8</f>
        <v>8.0707636960921239</v>
      </c>
      <c r="F23" s="283">
        <f t="shared" si="0"/>
        <v>8.0707636960921239</v>
      </c>
      <c r="G23" s="284">
        <f>'Delivery &gt;40km-Sept 2013'!E24*I23/1000</f>
        <v>6.9575549104242453</v>
      </c>
      <c r="H23" s="262" t="s">
        <v>127</v>
      </c>
      <c r="I23" s="259">
        <v>581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165.05586658580125</v>
      </c>
      <c r="E25" s="285">
        <f>E19+E21+E23</f>
        <v>167.50592103406515</v>
      </c>
      <c r="F25" s="285">
        <f>F19+F21+F23</f>
        <v>164.93600443297814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319498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319498" r:id="rId4"/>
      </mc:Fallback>
    </mc:AlternateContent>
  </oleObject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100">
    <tabColor rgb="FF0070C0"/>
  </sheetPr>
  <dimension ref="A2:M68"/>
  <sheetViews>
    <sheetView topLeftCell="A31" workbookViewId="0">
      <selection activeCell="D38" sqref="D38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Liboi!G23</f>
        <v>6.9575549104242453</v>
      </c>
      <c r="D40" s="943"/>
      <c r="E40" s="880">
        <f>C40</f>
        <v>6.9575549104242453</v>
      </c>
      <c r="F40" s="943"/>
      <c r="G40" s="613">
        <f>C40</f>
        <v>6.9575549104242453</v>
      </c>
      <c r="H40" s="943"/>
    </row>
    <row r="41" spans="1:8" s="392" customFormat="1">
      <c r="A41" s="605"/>
      <c r="B41" s="617" t="s">
        <v>446</v>
      </c>
      <c r="C41" s="618">
        <f>SUM(C40)</f>
        <v>6.9575549104242453</v>
      </c>
      <c r="D41" s="618"/>
      <c r="E41" s="626">
        <f>SUM(E40)</f>
        <v>6.9575549104242453</v>
      </c>
      <c r="F41" s="944"/>
      <c r="G41" s="618">
        <f>SUM(G40)</f>
        <v>6.9575549104242453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175.29466499922214</v>
      </c>
      <c r="D43" s="610"/>
      <c r="E43" s="613">
        <f>E$37+E$42+E$41</f>
        <v>177.95634055058736</v>
      </c>
      <c r="F43" s="610"/>
      <c r="G43" s="236">
        <f>G$37+G$42+G$41</f>
        <v>175.1498296483897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163.43466499922215</v>
      </c>
      <c r="D46" s="610"/>
      <c r="E46" s="641">
        <f>E$43-E44-E45+F$38</f>
        <v>165.89634055058735</v>
      </c>
      <c r="F46" s="610"/>
      <c r="G46" s="642">
        <f>G$43-G44-G45+H$38</f>
        <v>163.2998296483897</v>
      </c>
      <c r="H46" s="573"/>
    </row>
    <row r="47" spans="1:8">
      <c r="B47" s="503" t="s">
        <v>445</v>
      </c>
      <c r="C47" s="644"/>
      <c r="D47" s="696" t="str">
        <f>CONCATENATE("+ ",ROUND((C$46*0.08),2))</f>
        <v>+ 13.07</v>
      </c>
      <c r="E47" s="644"/>
      <c r="F47" s="627" t="str">
        <f>CONCATENATE("+ ",ROUND((E$46*0.08),2))</f>
        <v>+ 13.27</v>
      </c>
      <c r="G47" s="645"/>
      <c r="H47" s="627" t="str">
        <f>CONCATENATE("+ ",ROUND((G$46*0.08),2))</f>
        <v>+ 13.06</v>
      </c>
    </row>
    <row r="48" spans="1:8" ht="15" thickBot="1">
      <c r="B48" s="646" t="s">
        <v>449</v>
      </c>
      <c r="C48" s="697" t="str">
        <f>D47</f>
        <v>+ 13.07</v>
      </c>
      <c r="D48" s="632"/>
      <c r="E48" s="631" t="str">
        <f>F47</f>
        <v>+ 13.27</v>
      </c>
      <c r="F48" s="632"/>
      <c r="G48" s="631" t="str">
        <f>H47</f>
        <v>+ 13.06</v>
      </c>
      <c r="H48" s="632"/>
    </row>
    <row r="49" spans="1:9" s="392" customFormat="1" ht="15" thickBot="1">
      <c r="B49" s="647" t="s">
        <v>452</v>
      </c>
      <c r="C49" s="648">
        <f>C$46+C$48+C$44+C$45</f>
        <v>176.50466499922214</v>
      </c>
      <c r="D49" s="649">
        <f>D38+D47</f>
        <v>1.2100000000000009</v>
      </c>
      <c r="E49" s="648">
        <f>E$46+E$48+E$44+E$45</f>
        <v>179.16634055058736</v>
      </c>
      <c r="F49" s="649">
        <f>F38+F47</f>
        <v>1.2099999999999991</v>
      </c>
      <c r="G49" s="650">
        <f>G$46+G$48+G$44+G$45</f>
        <v>176.35982964838971</v>
      </c>
      <c r="H49" s="651">
        <f>H38+H47</f>
        <v>1.2100000000000009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101">
    <tabColor rgb="FF00CC00"/>
  </sheetPr>
  <dimension ref="B2:K31"/>
  <sheetViews>
    <sheetView topLeftCell="B13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490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Kitui!D21</f>
        <v>8.19</v>
      </c>
      <c r="E21" s="168">
        <f>Kitui!E21</f>
        <v>8.19</v>
      </c>
      <c r="F21" s="168">
        <f>Kitui!F21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10.751757488425653</v>
      </c>
      <c r="E23" s="283">
        <f t="shared" ref="E23:F23" si="0">$G$23*$G$8</f>
        <v>10.751757488425653</v>
      </c>
      <c r="F23" s="283">
        <f t="shared" si="0"/>
        <v>10.751757488425653</v>
      </c>
      <c r="G23" s="284">
        <f>'Delivery &gt;40km-Sept 2013'!E24*I23/1000</f>
        <v>9.2687564555393571</v>
      </c>
      <c r="H23" s="262" t="s">
        <v>127</v>
      </c>
      <c r="I23" s="259">
        <v>774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167.73686037813479</v>
      </c>
      <c r="E25" s="285">
        <f>E19+E21+E23</f>
        <v>170.18691482639869</v>
      </c>
      <c r="F25" s="285">
        <f>F19+F21+F23</f>
        <v>167.61699822531168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102">
    <tabColor rgb="FF0000FF"/>
  </sheetPr>
  <dimension ref="A2:M68"/>
  <sheetViews>
    <sheetView topLeftCell="A25" workbookViewId="0">
      <selection activeCell="F62" sqref="F62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Moyale!G23</f>
        <v>9.2687564555393571</v>
      </c>
      <c r="D40" s="943"/>
      <c r="E40" s="880">
        <f>C40</f>
        <v>9.2687564555393571</v>
      </c>
      <c r="F40" s="943"/>
      <c r="G40" s="613">
        <f>C40</f>
        <v>9.2687564555393571</v>
      </c>
      <c r="H40" s="943"/>
    </row>
    <row r="41" spans="1:8" s="392" customFormat="1">
      <c r="A41" s="605"/>
      <c r="B41" s="617" t="s">
        <v>446</v>
      </c>
      <c r="C41" s="618">
        <f>SUM(C40)</f>
        <v>9.2687564555393571</v>
      </c>
      <c r="D41" s="618"/>
      <c r="E41" s="626">
        <f>SUM(E40)</f>
        <v>9.2687564555393571</v>
      </c>
      <c r="F41" s="944"/>
      <c r="G41" s="618">
        <f>SUM(G40)</f>
        <v>9.2687564555393571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177.60586654433723</v>
      </c>
      <c r="D43" s="610"/>
      <c r="E43" s="613">
        <f>E$37+E$42+E$41</f>
        <v>180.26754209570245</v>
      </c>
      <c r="F43" s="610"/>
      <c r="G43" s="236">
        <f>G$37+G$42+G$41</f>
        <v>177.46103119350479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165.74586654433722</v>
      </c>
      <c r="D46" s="610"/>
      <c r="E46" s="641">
        <f>E$43-E44-E45+F$38</f>
        <v>168.20754209570245</v>
      </c>
      <c r="F46" s="610"/>
      <c r="G46" s="642">
        <f>G$43-G44-G45+H$38</f>
        <v>165.6110311935048</v>
      </c>
      <c r="H46" s="573"/>
    </row>
    <row r="47" spans="1:8">
      <c r="B47" s="503" t="s">
        <v>445</v>
      </c>
      <c r="C47" s="644"/>
      <c r="D47" s="696" t="str">
        <f>CONCATENATE("+ ",ROUND((C$46*0.08),2))</f>
        <v>+ 13.26</v>
      </c>
      <c r="E47" s="644"/>
      <c r="F47" s="627" t="str">
        <f>CONCATENATE("+ ",ROUND((E$46*0.08),2))</f>
        <v>+ 13.46</v>
      </c>
      <c r="G47" s="645"/>
      <c r="H47" s="627" t="str">
        <f>CONCATENATE("+ ",ROUND((G$46*0.08),2))</f>
        <v>+ 13.25</v>
      </c>
    </row>
    <row r="48" spans="1:8" ht="15" thickBot="1">
      <c r="B48" s="646" t="s">
        <v>449</v>
      </c>
      <c r="C48" s="697" t="str">
        <f>D47</f>
        <v>+ 13.26</v>
      </c>
      <c r="D48" s="632"/>
      <c r="E48" s="631" t="str">
        <f>F47</f>
        <v>+ 13.46</v>
      </c>
      <c r="F48" s="632"/>
      <c r="G48" s="631" t="str">
        <f>H47</f>
        <v>+ 13.25</v>
      </c>
      <c r="H48" s="632"/>
    </row>
    <row r="49" spans="1:9" s="392" customFormat="1" ht="15" thickBot="1">
      <c r="B49" s="647" t="s">
        <v>452</v>
      </c>
      <c r="C49" s="648">
        <f>C$46+C$48+C$44+C$45</f>
        <v>179.00586654433721</v>
      </c>
      <c r="D49" s="649">
        <f>D38+D47</f>
        <v>1.4000000000000004</v>
      </c>
      <c r="E49" s="648">
        <f>E$46+E$48+E$44+E$45</f>
        <v>181.66754209570246</v>
      </c>
      <c r="F49" s="649">
        <f>F38+F47</f>
        <v>1.4000000000000004</v>
      </c>
      <c r="G49" s="650">
        <f>G$46+G$48+G$44+G$45</f>
        <v>178.8610311935048</v>
      </c>
      <c r="H49" s="651">
        <f>H38+H47</f>
        <v>1.4000000000000004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103">
    <tabColor rgb="FF00CC00"/>
  </sheetPr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491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Kitui!D21</f>
        <v>8.19</v>
      </c>
      <c r="E21" s="168">
        <f>Kitui!E21</f>
        <v>8.19</v>
      </c>
      <c r="F21" s="168">
        <f>Kitui!F21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9.7377028415844737</v>
      </c>
      <c r="E23" s="283">
        <f t="shared" ref="E23:F23" si="0">$G$23*$G$8</f>
        <v>9.7377028415844737</v>
      </c>
      <c r="F23" s="283">
        <f t="shared" si="0"/>
        <v>9.7377028415844737</v>
      </c>
      <c r="G23" s="284">
        <f>'Delivery &gt;40km-Sept 2013'!E24*I23/1000</f>
        <v>8.3945714151590298</v>
      </c>
      <c r="H23" s="262" t="s">
        <v>127</v>
      </c>
      <c r="I23" s="259">
        <v>701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166.72280573129362</v>
      </c>
      <c r="E25" s="285">
        <f>E19+E21+E23</f>
        <v>169.17286017955752</v>
      </c>
      <c r="F25" s="285">
        <f>F19+F21+F23</f>
        <v>166.6029435784705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104">
    <tabColor rgb="FF0000FF"/>
  </sheetPr>
  <dimension ref="A2:M68"/>
  <sheetViews>
    <sheetView topLeftCell="A42" workbookViewId="0">
      <selection activeCell="G46" sqref="G46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Sololo!G23</f>
        <v>8.3945714151590298</v>
      </c>
      <c r="D40" s="943"/>
      <c r="E40" s="880">
        <f>C40</f>
        <v>8.3945714151590298</v>
      </c>
      <c r="F40" s="943"/>
      <c r="G40" s="613">
        <f>C40</f>
        <v>8.3945714151590298</v>
      </c>
      <c r="H40" s="943"/>
    </row>
    <row r="41" spans="1:8" s="392" customFormat="1">
      <c r="A41" s="605"/>
      <c r="B41" s="617" t="s">
        <v>446</v>
      </c>
      <c r="C41" s="618">
        <f>SUM(C40)</f>
        <v>8.3945714151590298</v>
      </c>
      <c r="D41" s="618"/>
      <c r="E41" s="626">
        <f>SUM(E40)</f>
        <v>8.3945714151590298</v>
      </c>
      <c r="F41" s="944"/>
      <c r="G41" s="618">
        <f>SUM(G40)</f>
        <v>8.3945714151590298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176.73168150395691</v>
      </c>
      <c r="D43" s="610"/>
      <c r="E43" s="613">
        <f>E$37+E$42+E$41</f>
        <v>179.39335705532213</v>
      </c>
      <c r="F43" s="610"/>
      <c r="G43" s="236">
        <f>G$37+G$42+G$41</f>
        <v>176.58684615312447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164.87168150395689</v>
      </c>
      <c r="D46" s="610"/>
      <c r="E46" s="641">
        <f>E$43-E44-E45+F$38</f>
        <v>167.33335705532213</v>
      </c>
      <c r="F46" s="610"/>
      <c r="G46" s="642">
        <f>G$43-G44-G45+H$38</f>
        <v>164.73684615312447</v>
      </c>
      <c r="H46" s="573"/>
    </row>
    <row r="47" spans="1:8">
      <c r="B47" s="503" t="s">
        <v>445</v>
      </c>
      <c r="C47" s="644"/>
      <c r="D47" s="696" t="str">
        <f>CONCATENATE("+ ",ROUND((C$46*0.08),2))</f>
        <v>+ 13.19</v>
      </c>
      <c r="E47" s="644"/>
      <c r="F47" s="627" t="str">
        <f>CONCATENATE("+ ",ROUND((E$46*0.08),2))</f>
        <v>+ 13.39</v>
      </c>
      <c r="G47" s="645"/>
      <c r="H47" s="627" t="str">
        <f>CONCATENATE("+ ",ROUND((G$46*0.08),2))</f>
        <v>+ 13.18</v>
      </c>
    </row>
    <row r="48" spans="1:8" ht="15" thickBot="1">
      <c r="B48" s="646" t="s">
        <v>449</v>
      </c>
      <c r="C48" s="697" t="str">
        <f>D47</f>
        <v>+ 13.19</v>
      </c>
      <c r="D48" s="632"/>
      <c r="E48" s="631" t="str">
        <f>F47</f>
        <v>+ 13.39</v>
      </c>
      <c r="F48" s="632"/>
      <c r="G48" s="631" t="str">
        <f>H47</f>
        <v>+ 13.18</v>
      </c>
      <c r="H48" s="632"/>
    </row>
    <row r="49" spans="1:9" s="392" customFormat="1" ht="15" thickBot="1">
      <c r="B49" s="647" t="s">
        <v>452</v>
      </c>
      <c r="C49" s="648">
        <f>C$46+C$48+C$44+C$45</f>
        <v>178.06168150395689</v>
      </c>
      <c r="D49" s="649">
        <f>D38+D47</f>
        <v>1.33</v>
      </c>
      <c r="E49" s="648">
        <f>E$46+E$48+E$44+E$45</f>
        <v>180.72335705532214</v>
      </c>
      <c r="F49" s="649">
        <f>F38+F47</f>
        <v>1.33</v>
      </c>
      <c r="G49" s="650">
        <f>G$46+G$48+G$44+G$45</f>
        <v>177.91684615312448</v>
      </c>
      <c r="H49" s="651">
        <f>H38+H47</f>
        <v>1.33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105">
    <tabColor rgb="FF00CC00"/>
  </sheetPr>
  <dimension ref="B2:K31"/>
  <sheetViews>
    <sheetView topLeftCell="A13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491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Kitui!D21</f>
        <v>8.19</v>
      </c>
      <c r="E21" s="168">
        <f>Kitui!E21</f>
        <v>8.19</v>
      </c>
      <c r="F21" s="168">
        <f>Kitui!F21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7.9874167388175072</v>
      </c>
      <c r="E23" s="283">
        <f t="shared" ref="E23:F23" si="0">$G$23*$G$8</f>
        <v>7.9874167388175072</v>
      </c>
      <c r="F23" s="283">
        <f t="shared" si="0"/>
        <v>7.9874167388175072</v>
      </c>
      <c r="G23" s="284">
        <f>'Delivery &gt;40km-Sept 2013'!E24*I23/1000</f>
        <v>6.8857040851875064</v>
      </c>
      <c r="H23" s="262" t="s">
        <v>127</v>
      </c>
      <c r="I23" s="259">
        <v>575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164.97251962852664</v>
      </c>
      <c r="E25" s="285">
        <f>E19+E21+E23</f>
        <v>167.42257407679054</v>
      </c>
      <c r="F25" s="285">
        <f>F19+F21+F23</f>
        <v>164.85265747570352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Sheet106">
    <tabColor rgb="FF0000FF"/>
  </sheetPr>
  <dimension ref="A2:M68"/>
  <sheetViews>
    <sheetView topLeftCell="A24" workbookViewId="0">
      <selection activeCell="E46" sqref="E46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Habaswein!G23</f>
        <v>6.8857040851875064</v>
      </c>
      <c r="D40" s="943"/>
      <c r="E40" s="880">
        <f>C40</f>
        <v>6.8857040851875064</v>
      </c>
      <c r="F40" s="943"/>
      <c r="G40" s="613">
        <f>C40</f>
        <v>6.8857040851875064</v>
      </c>
      <c r="H40" s="943"/>
    </row>
    <row r="41" spans="1:8" s="392" customFormat="1">
      <c r="A41" s="605"/>
      <c r="B41" s="617" t="s">
        <v>446</v>
      </c>
      <c r="C41" s="618">
        <f>SUM(C40)</f>
        <v>6.8857040851875064</v>
      </c>
      <c r="D41" s="618"/>
      <c r="E41" s="626">
        <f>SUM(E40)</f>
        <v>6.8857040851875064</v>
      </c>
      <c r="F41" s="944"/>
      <c r="G41" s="618">
        <f>SUM(G40)</f>
        <v>6.8857040851875064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175.2228141739854</v>
      </c>
      <c r="D43" s="610"/>
      <c r="E43" s="613">
        <f>E$37+E$42+E$41</f>
        <v>177.88448972535062</v>
      </c>
      <c r="F43" s="610"/>
      <c r="G43" s="236">
        <f>G$37+G$42+G$41</f>
        <v>175.07797882315296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163.36281417398538</v>
      </c>
      <c r="D46" s="610"/>
      <c r="E46" s="641">
        <f>E$43-E44-E45+F$38</f>
        <v>165.82448972535062</v>
      </c>
      <c r="F46" s="610"/>
      <c r="G46" s="642">
        <f>G$43-G44-G45+H$38</f>
        <v>163.22797882315297</v>
      </c>
      <c r="H46" s="573"/>
    </row>
    <row r="47" spans="1:8">
      <c r="B47" s="503" t="s">
        <v>445</v>
      </c>
      <c r="C47" s="644"/>
      <c r="D47" s="696" t="str">
        <f>CONCATENATE("+ ",ROUND((C$46*0.08),2))</f>
        <v>+ 13.07</v>
      </c>
      <c r="E47" s="644"/>
      <c r="F47" s="627" t="str">
        <f>CONCATENATE("+ ",ROUND((E$46*0.08),2))</f>
        <v>+ 13.27</v>
      </c>
      <c r="G47" s="645"/>
      <c r="H47" s="627" t="str">
        <f>CONCATENATE("+ ",ROUND((G$46*0.08),2))</f>
        <v>+ 13.06</v>
      </c>
    </row>
    <row r="48" spans="1:8" ht="15" thickBot="1">
      <c r="B48" s="646" t="s">
        <v>449</v>
      </c>
      <c r="C48" s="697" t="str">
        <f>D47</f>
        <v>+ 13.07</v>
      </c>
      <c r="D48" s="632"/>
      <c r="E48" s="631" t="str">
        <f>F47</f>
        <v>+ 13.27</v>
      </c>
      <c r="F48" s="632"/>
      <c r="G48" s="631" t="str">
        <f>H47</f>
        <v>+ 13.06</v>
      </c>
      <c r="H48" s="632"/>
    </row>
    <row r="49" spans="1:9" s="392" customFormat="1" ht="15" thickBot="1">
      <c r="B49" s="647" t="s">
        <v>452</v>
      </c>
      <c r="C49" s="648">
        <f>C$46+C$48+C$44+C$45</f>
        <v>176.43281417398538</v>
      </c>
      <c r="D49" s="649">
        <f>D38+D47</f>
        <v>1.2100000000000009</v>
      </c>
      <c r="E49" s="648">
        <f>E$46+E$48+E$44+E$45</f>
        <v>179.09448972535063</v>
      </c>
      <c r="F49" s="649">
        <f>F38+F47</f>
        <v>1.2099999999999991</v>
      </c>
      <c r="G49" s="650">
        <f>G$46+G$48+G$44+G$45</f>
        <v>176.28797882315297</v>
      </c>
      <c r="H49" s="651">
        <f>H38+H47</f>
        <v>1.2100000000000009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heet107">
    <tabColor rgb="FF00CC00"/>
  </sheetPr>
  <dimension ref="B2:K31"/>
  <sheetViews>
    <sheetView topLeftCell="A13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492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Kitui!D21</f>
        <v>8.19</v>
      </c>
      <c r="E21" s="168">
        <f>Kitui!E21</f>
        <v>8.19</v>
      </c>
      <c r="F21" s="168">
        <f>Kitui!F21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6.5844096246947794</v>
      </c>
      <c r="E23" s="283">
        <f t="shared" ref="E23:F23" si="0">$G$23*$G$8</f>
        <v>6.5844096246947794</v>
      </c>
      <c r="F23" s="283">
        <f t="shared" si="0"/>
        <v>6.5844096246947794</v>
      </c>
      <c r="G23" s="284">
        <f>'Delivery &gt;40km-Sept 2013'!E24*I23/1000</f>
        <v>5.6762151937023964</v>
      </c>
      <c r="H23" s="262" t="s">
        <v>127</v>
      </c>
      <c r="I23" s="259">
        <v>474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163.56951251440393</v>
      </c>
      <c r="E25" s="285">
        <f>E19+E21+E23</f>
        <v>166.01956696266782</v>
      </c>
      <c r="F25" s="285">
        <f>F19+F21+F23</f>
        <v>163.44965036158081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Sheet108">
    <tabColor rgb="FF0000FF"/>
  </sheetPr>
  <dimension ref="A2:M68"/>
  <sheetViews>
    <sheetView topLeftCell="A35" workbookViewId="0">
      <selection activeCell="D42" sqref="D42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Dadaab!G23</f>
        <v>5.6762151937023964</v>
      </c>
      <c r="D40" s="943"/>
      <c r="E40" s="880">
        <f>C40</f>
        <v>5.6762151937023964</v>
      </c>
      <c r="F40" s="943"/>
      <c r="G40" s="613">
        <f>C40</f>
        <v>5.6762151937023964</v>
      </c>
      <c r="H40" s="943"/>
    </row>
    <row r="41" spans="1:8" s="392" customFormat="1">
      <c r="A41" s="605"/>
      <c r="B41" s="617" t="s">
        <v>446</v>
      </c>
      <c r="C41" s="618">
        <f>SUM(C40)</f>
        <v>5.6762151937023964</v>
      </c>
      <c r="D41" s="618"/>
      <c r="E41" s="626">
        <f>SUM(E40)</f>
        <v>5.6762151937023964</v>
      </c>
      <c r="F41" s="944"/>
      <c r="G41" s="618">
        <f>SUM(G40)</f>
        <v>5.6762151937023964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174.01332528250029</v>
      </c>
      <c r="D43" s="610"/>
      <c r="E43" s="613">
        <f>E$37+E$42+E$41</f>
        <v>176.67500083386551</v>
      </c>
      <c r="F43" s="610"/>
      <c r="G43" s="236">
        <f>G$37+G$42+G$41</f>
        <v>173.86848993166785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162.1533252825003</v>
      </c>
      <c r="D46" s="610"/>
      <c r="E46" s="641">
        <f>E$43-E44-E45+F$38</f>
        <v>164.61500083386551</v>
      </c>
      <c r="F46" s="610"/>
      <c r="G46" s="642">
        <f>G$43-G44-G45+H$38</f>
        <v>162.01848993166786</v>
      </c>
      <c r="H46" s="573"/>
    </row>
    <row r="47" spans="1:8">
      <c r="B47" s="503" t="s">
        <v>445</v>
      </c>
      <c r="C47" s="644"/>
      <c r="D47" s="696" t="str">
        <f>CONCATENATE("+ ",ROUND((C$46*0.08),2))</f>
        <v>+ 12.97</v>
      </c>
      <c r="E47" s="644"/>
      <c r="F47" s="627" t="str">
        <f>CONCATENATE("+ ",ROUND((E$46*0.08),2))</f>
        <v>+ 13.17</v>
      </c>
      <c r="G47" s="645"/>
      <c r="H47" s="627" t="str">
        <f>CONCATENATE("+ ",ROUND((G$46*0.08),2))</f>
        <v>+ 12.96</v>
      </c>
    </row>
    <row r="48" spans="1:8" ht="15" thickBot="1">
      <c r="B48" s="646" t="s">
        <v>449</v>
      </c>
      <c r="C48" s="697" t="str">
        <f>D47</f>
        <v>+ 12.97</v>
      </c>
      <c r="D48" s="632"/>
      <c r="E48" s="631" t="str">
        <f>F47</f>
        <v>+ 13.17</v>
      </c>
      <c r="F48" s="632"/>
      <c r="G48" s="631" t="str">
        <f>H47</f>
        <v>+ 12.96</v>
      </c>
      <c r="H48" s="632"/>
    </row>
    <row r="49" spans="1:9" s="392" customFormat="1" ht="15" thickBot="1">
      <c r="B49" s="647" t="s">
        <v>452</v>
      </c>
      <c r="C49" s="648">
        <f>C$46+C$48+C$44+C$45</f>
        <v>175.1233252825003</v>
      </c>
      <c r="D49" s="649">
        <f>D38+D47</f>
        <v>1.1100000000000012</v>
      </c>
      <c r="E49" s="648">
        <f>E$46+E$48+E$44+E$45</f>
        <v>177.7850008338655</v>
      </c>
      <c r="F49" s="649">
        <f>F38+F47</f>
        <v>1.1099999999999994</v>
      </c>
      <c r="G49" s="650">
        <f>G$46+G$48+G$44+G$45</f>
        <v>174.97848993166787</v>
      </c>
      <c r="H49" s="651">
        <f>H38+H47</f>
        <v>1.1100000000000012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109">
    <tabColor rgb="FF00CC00"/>
  </sheetPr>
  <dimension ref="B2:K31"/>
  <sheetViews>
    <sheetView topLeftCell="A13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492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Kitui!D21</f>
        <v>8.19</v>
      </c>
      <c r="E21" s="168">
        <f>Kitui!E21</f>
        <v>8.19</v>
      </c>
      <c r="F21" s="168">
        <f>Kitui!F21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10.404478499781414</v>
      </c>
      <c r="E23" s="283">
        <f t="shared" ref="E23:F23" si="0">$G$23*$G$8</f>
        <v>10.404478499781414</v>
      </c>
      <c r="F23" s="283">
        <f t="shared" si="0"/>
        <v>10.404478499781414</v>
      </c>
      <c r="G23" s="284">
        <f>'Delivery &gt;40km-Sept 2013'!E24*I23/1000</f>
        <v>8.9693780170529429</v>
      </c>
      <c r="H23" s="262" t="s">
        <v>127</v>
      </c>
      <c r="I23" s="259">
        <v>749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167.38958138949056</v>
      </c>
      <c r="E25" s="285">
        <f>E19+E21+E23</f>
        <v>169.83963583775446</v>
      </c>
      <c r="F25" s="285">
        <f>F19+F21+F23</f>
        <v>167.26971923666744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Sheet110">
    <tabColor rgb="FF0000FF"/>
  </sheetPr>
  <dimension ref="A2:M68"/>
  <sheetViews>
    <sheetView topLeftCell="A22" workbookViewId="0">
      <selection activeCell="E59" sqref="E59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Tarbaj!G23</f>
        <v>8.9693780170529429</v>
      </c>
      <c r="D40" s="943"/>
      <c r="E40" s="880">
        <f>C40</f>
        <v>8.9693780170529429</v>
      </c>
      <c r="F40" s="943"/>
      <c r="G40" s="613">
        <f>C40</f>
        <v>8.9693780170529429</v>
      </c>
      <c r="H40" s="943"/>
    </row>
    <row r="41" spans="1:8" s="392" customFormat="1">
      <c r="A41" s="605"/>
      <c r="B41" s="617" t="s">
        <v>446</v>
      </c>
      <c r="C41" s="618">
        <f>SUM(C40)</f>
        <v>8.9693780170529429</v>
      </c>
      <c r="D41" s="618"/>
      <c r="E41" s="626">
        <f>SUM(E40)</f>
        <v>8.9693780170529429</v>
      </c>
      <c r="F41" s="944"/>
      <c r="G41" s="618">
        <f>SUM(G40)</f>
        <v>8.9693780170529429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177.30648810585083</v>
      </c>
      <c r="D43" s="610"/>
      <c r="E43" s="613">
        <f>E$37+E$42+E$41</f>
        <v>179.96816365721605</v>
      </c>
      <c r="F43" s="610"/>
      <c r="G43" s="236">
        <f>G$37+G$42+G$41</f>
        <v>177.16165275501839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165.44648810585085</v>
      </c>
      <c r="D46" s="610"/>
      <c r="E46" s="641">
        <f>E$43-E44-E45+F$38</f>
        <v>167.90816365721605</v>
      </c>
      <c r="F46" s="610"/>
      <c r="G46" s="642">
        <f>G$43-G44-G45+H$38</f>
        <v>165.3116527550184</v>
      </c>
      <c r="H46" s="573"/>
    </row>
    <row r="47" spans="1:8">
      <c r="B47" s="503" t="s">
        <v>445</v>
      </c>
      <c r="C47" s="644"/>
      <c r="D47" s="696" t="str">
        <f>CONCATENATE("+ ",ROUND((C$46*0.08),2))</f>
        <v>+ 13.24</v>
      </c>
      <c r="E47" s="644"/>
      <c r="F47" s="627" t="str">
        <f>CONCATENATE("+ ",ROUND((E$46*0.08),2))</f>
        <v>+ 13.43</v>
      </c>
      <c r="G47" s="645"/>
      <c r="H47" s="627" t="str">
        <f>CONCATENATE("+ ",ROUND((G$46*0.08),2))</f>
        <v>+ 13.22</v>
      </c>
    </row>
    <row r="48" spans="1:8" ht="15" thickBot="1">
      <c r="B48" s="646" t="s">
        <v>449</v>
      </c>
      <c r="C48" s="697" t="str">
        <f>D47</f>
        <v>+ 13.24</v>
      </c>
      <c r="D48" s="632"/>
      <c r="E48" s="631" t="str">
        <f>F47</f>
        <v>+ 13.43</v>
      </c>
      <c r="F48" s="632"/>
      <c r="G48" s="631" t="str">
        <f>H47</f>
        <v>+ 13.22</v>
      </c>
      <c r="H48" s="632"/>
    </row>
    <row r="49" spans="1:9" s="392" customFormat="1" ht="15" thickBot="1">
      <c r="B49" s="647" t="s">
        <v>452</v>
      </c>
      <c r="C49" s="648">
        <f>C$46+C$48+C$44+C$45</f>
        <v>178.68648810585086</v>
      </c>
      <c r="D49" s="649">
        <f>D38+D47</f>
        <v>1.3800000000000008</v>
      </c>
      <c r="E49" s="648">
        <f>E$46+E$48+E$44+E$45</f>
        <v>181.33816365721606</v>
      </c>
      <c r="F49" s="649">
        <f>F38+F47</f>
        <v>1.3699999999999992</v>
      </c>
      <c r="G49" s="650">
        <f>G$46+G$48+G$44+G$45</f>
        <v>178.5316527550184</v>
      </c>
      <c r="H49" s="651">
        <f>H38+H47</f>
        <v>1.370000000000001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111">
    <tabColor rgb="FF00CC00"/>
  </sheetPr>
  <dimension ref="B2:K31"/>
  <sheetViews>
    <sheetView topLeftCell="A13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492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Kitui!D21</f>
        <v>8.19</v>
      </c>
      <c r="E21" s="168">
        <f>Kitui!E21</f>
        <v>8.19</v>
      </c>
      <c r="F21" s="168">
        <f>Kitui!F21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12.126982283456842</v>
      </c>
      <c r="E23" s="283">
        <f t="shared" ref="E23:F23" si="0">$G$23*$G$8</f>
        <v>12.126982283456842</v>
      </c>
      <c r="F23" s="283">
        <f t="shared" si="0"/>
        <v>12.126982283456842</v>
      </c>
      <c r="G23" s="284">
        <f>'Delivery &gt;40km-Sept 2013'!E24*I23/1000</f>
        <v>10.454295071945554</v>
      </c>
      <c r="H23" s="262" t="s">
        <v>127</v>
      </c>
      <c r="I23" s="259">
        <v>873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169.11208517316598</v>
      </c>
      <c r="E25" s="285">
        <f>E19+E21+E23</f>
        <v>171.56213962142988</v>
      </c>
      <c r="F25" s="285">
        <f>F19+F21+F23</f>
        <v>168.99222302034286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112">
    <tabColor rgb="FF0000FF"/>
  </sheetPr>
  <dimension ref="A2:M68"/>
  <sheetViews>
    <sheetView topLeftCell="A22" workbookViewId="0">
      <selection activeCell="G61" sqref="G6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Elwak!G23</f>
        <v>10.454295071945554</v>
      </c>
      <c r="D40" s="943"/>
      <c r="E40" s="880">
        <f>C40</f>
        <v>10.454295071945554</v>
      </c>
      <c r="F40" s="943"/>
      <c r="G40" s="613">
        <f>C40</f>
        <v>10.454295071945554</v>
      </c>
      <c r="H40" s="943"/>
    </row>
    <row r="41" spans="1:8" s="392" customFormat="1">
      <c r="A41" s="605"/>
      <c r="B41" s="617" t="s">
        <v>446</v>
      </c>
      <c r="C41" s="618">
        <f>SUM(C40)</f>
        <v>10.454295071945554</v>
      </c>
      <c r="D41" s="618"/>
      <c r="E41" s="626">
        <f>SUM(E40)</f>
        <v>10.454295071945554</v>
      </c>
      <c r="F41" s="944"/>
      <c r="G41" s="618">
        <f>SUM(G40)</f>
        <v>10.454295071945554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178.79140516074344</v>
      </c>
      <c r="D43" s="610"/>
      <c r="E43" s="613">
        <f>E$37+E$42+E$41</f>
        <v>181.45308071210866</v>
      </c>
      <c r="F43" s="610"/>
      <c r="G43" s="236">
        <f>G$37+G$42+G$41</f>
        <v>178.646569809911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166.93140516074345</v>
      </c>
      <c r="D46" s="610"/>
      <c r="E46" s="641">
        <f>E$43-E44-E45+F$38</f>
        <v>169.39308071210866</v>
      </c>
      <c r="F46" s="610"/>
      <c r="G46" s="642">
        <f>G$43-G44-G45+H$38</f>
        <v>166.79656980991101</v>
      </c>
      <c r="H46" s="573"/>
    </row>
    <row r="47" spans="1:8">
      <c r="B47" s="503" t="s">
        <v>445</v>
      </c>
      <c r="C47" s="644"/>
      <c r="D47" s="696" t="str">
        <f>CONCATENATE("+ ",ROUND((C$46*0.08),2))</f>
        <v>+ 13.35</v>
      </c>
      <c r="E47" s="644"/>
      <c r="F47" s="627" t="str">
        <f>CONCATENATE("+ ",ROUND((E$46*0.08),2))</f>
        <v>+ 13.55</v>
      </c>
      <c r="G47" s="645"/>
      <c r="H47" s="627" t="str">
        <f>CONCATENATE("+ ",ROUND((G$46*0.08),2))</f>
        <v>+ 13.34</v>
      </c>
    </row>
    <row r="48" spans="1:8" ht="15" thickBot="1">
      <c r="B48" s="646" t="s">
        <v>449</v>
      </c>
      <c r="C48" s="697" t="str">
        <f>D47</f>
        <v>+ 13.35</v>
      </c>
      <c r="D48" s="632"/>
      <c r="E48" s="631" t="str">
        <f>F47</f>
        <v>+ 13.55</v>
      </c>
      <c r="F48" s="632"/>
      <c r="G48" s="631" t="str">
        <f>H47</f>
        <v>+ 13.34</v>
      </c>
      <c r="H48" s="632"/>
    </row>
    <row r="49" spans="1:9" s="392" customFormat="1" ht="15" thickBot="1">
      <c r="B49" s="647" t="s">
        <v>452</v>
      </c>
      <c r="C49" s="648">
        <f>C$46+C$48+C$44+C$45</f>
        <v>180.28140516074345</v>
      </c>
      <c r="D49" s="649">
        <f>D38+D47</f>
        <v>1.4900000000000002</v>
      </c>
      <c r="E49" s="648">
        <f>E$46+E$48+E$44+E$45</f>
        <v>182.94308071210867</v>
      </c>
      <c r="F49" s="649">
        <f>F38+F47</f>
        <v>1.4900000000000002</v>
      </c>
      <c r="G49" s="650">
        <f>G$46+G$48+G$44+G$45</f>
        <v>180.13656980991101</v>
      </c>
      <c r="H49" s="651">
        <f>H38+H47</f>
        <v>1.4900000000000002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Sheet113">
    <tabColor rgb="FF00CC00"/>
  </sheetPr>
  <dimension ref="B2:K31"/>
  <sheetViews>
    <sheetView topLeftCell="A10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83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96">
        <f>E11/1.16</f>
        <v>0</v>
      </c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Mwingi!D21</f>
        <v>8.19</v>
      </c>
      <c r="E21" s="168">
        <f>Mwingi!E21</f>
        <v>8.19</v>
      </c>
      <c r="F21" s="168">
        <f>Mwingi!F21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10.571172414330647</v>
      </c>
      <c r="E23" s="283">
        <f t="shared" ref="E23:F23" si="0">$G$23*$G$8</f>
        <v>10.571172414330647</v>
      </c>
      <c r="F23" s="283">
        <f t="shared" si="0"/>
        <v>10.571172414330647</v>
      </c>
      <c r="G23" s="284">
        <f>'Delivery &gt;40km-Sept 2013'!E24*I23/1000</f>
        <v>9.1130796675264207</v>
      </c>
      <c r="H23" s="262" t="s">
        <v>127</v>
      </c>
      <c r="I23" s="259">
        <v>761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167.55627530403979</v>
      </c>
      <c r="E25" s="285">
        <f>E19+E21+E23</f>
        <v>170.00632975230369</v>
      </c>
      <c r="F25" s="285">
        <f>F19+F21+F23</f>
        <v>167.43641315121667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87050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87050" r:id="rId4"/>
      </mc:Fallback>
    </mc:AlternateContent>
  </oleObject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114">
    <tabColor rgb="FF0070C0"/>
  </sheetPr>
  <dimension ref="A2:M68"/>
  <sheetViews>
    <sheetView topLeftCell="A34" workbookViewId="0">
      <selection activeCell="E45" sqref="E45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Wajir!G23</f>
        <v>9.1130796675264207</v>
      </c>
      <c r="D40" s="943"/>
      <c r="E40" s="880">
        <f>C40</f>
        <v>9.1130796675264207</v>
      </c>
      <c r="F40" s="943"/>
      <c r="G40" s="613">
        <f>C40</f>
        <v>9.1130796675264207</v>
      </c>
      <c r="H40" s="943"/>
    </row>
    <row r="41" spans="1:8" s="392" customFormat="1">
      <c r="A41" s="605"/>
      <c r="B41" s="617" t="s">
        <v>446</v>
      </c>
      <c r="C41" s="618">
        <f>SUM(C40)</f>
        <v>9.1130796675264207</v>
      </c>
      <c r="D41" s="618"/>
      <c r="E41" s="626">
        <f>SUM(E40)</f>
        <v>9.1130796675264207</v>
      </c>
      <c r="F41" s="944"/>
      <c r="G41" s="618">
        <f>SUM(G40)</f>
        <v>9.1130796675264207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177.45018975632431</v>
      </c>
      <c r="D43" s="610"/>
      <c r="E43" s="613">
        <f>E$37+E$42+E$41</f>
        <v>180.11186530768953</v>
      </c>
      <c r="F43" s="610"/>
      <c r="G43" s="236">
        <f>G$37+G$42+G$41</f>
        <v>177.30535440549187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165.59018975632432</v>
      </c>
      <c r="D46" s="610"/>
      <c r="E46" s="641">
        <f>E$43-E44-E45+F$38</f>
        <v>168.05186530768952</v>
      </c>
      <c r="F46" s="610"/>
      <c r="G46" s="642">
        <f>G$43-G44-G45+H$38</f>
        <v>165.45535440549187</v>
      </c>
      <c r="H46" s="573"/>
    </row>
    <row r="47" spans="1:8">
      <c r="B47" s="503" t="s">
        <v>445</v>
      </c>
      <c r="C47" s="644"/>
      <c r="D47" s="696" t="str">
        <f>CONCATENATE("+ ",ROUND((C$46*0.08),2))</f>
        <v>+ 13.25</v>
      </c>
      <c r="E47" s="644"/>
      <c r="F47" s="627" t="str">
        <f>CONCATENATE("+ ",ROUND((E$46*0.08),2))</f>
        <v>+ 13.44</v>
      </c>
      <c r="G47" s="645"/>
      <c r="H47" s="627" t="str">
        <f>CONCATENATE("+ ",ROUND((G$46*0.08),2))</f>
        <v>+ 13.24</v>
      </c>
    </row>
    <row r="48" spans="1:8" ht="15" thickBot="1">
      <c r="B48" s="646" t="s">
        <v>449</v>
      </c>
      <c r="C48" s="697" t="str">
        <f>D47</f>
        <v>+ 13.25</v>
      </c>
      <c r="D48" s="632"/>
      <c r="E48" s="631" t="str">
        <f>F47</f>
        <v>+ 13.44</v>
      </c>
      <c r="F48" s="632"/>
      <c r="G48" s="631" t="str">
        <f>H47</f>
        <v>+ 13.24</v>
      </c>
      <c r="H48" s="632"/>
    </row>
    <row r="49" spans="1:9" s="392" customFormat="1" ht="15" thickBot="1">
      <c r="B49" s="647" t="s">
        <v>452</v>
      </c>
      <c r="C49" s="648">
        <f>C$46+C$48+C$44+C$45</f>
        <v>178.84018975632432</v>
      </c>
      <c r="D49" s="649">
        <f>D38+D47</f>
        <v>1.3900000000000006</v>
      </c>
      <c r="E49" s="648">
        <f>E$46+E$48+E$44+E$45</f>
        <v>181.49186530768952</v>
      </c>
      <c r="F49" s="649">
        <f>F38+F47</f>
        <v>1.379999999999999</v>
      </c>
      <c r="G49" s="650">
        <f>G$46+G$48+G$44+G$45</f>
        <v>178.69535440549188</v>
      </c>
      <c r="H49" s="651">
        <f>H38+H47</f>
        <v>1.3900000000000006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Sheet115">
    <tabColor rgb="FF00CC00"/>
  </sheetPr>
  <dimension ref="B2:K31"/>
  <sheetViews>
    <sheetView topLeftCell="B1" workbookViewId="0">
      <selection activeCell="H13" sqref="H1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84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Wajir!D21</f>
        <v>8.19</v>
      </c>
      <c r="E21" s="168">
        <f>Wajir!E21</f>
        <v>8.19</v>
      </c>
      <c r="F21" s="168">
        <f>Wajir!F21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14.627391001695363</v>
      </c>
      <c r="E23" s="283">
        <f t="shared" ref="E23:F23" si="0">$G$23*$G$8</f>
        <v>14.627391001695363</v>
      </c>
      <c r="F23" s="283">
        <f t="shared" si="0"/>
        <v>14.627391001695363</v>
      </c>
      <c r="G23" s="284">
        <f>'Delivery &gt;40km-Sept 2013'!E24*I23/1000</f>
        <v>12.609819829047728</v>
      </c>
      <c r="H23" s="262" t="s">
        <v>127</v>
      </c>
      <c r="I23" s="259">
        <v>1053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171.61249389140451</v>
      </c>
      <c r="E25" s="285">
        <f>E19+E21+E23</f>
        <v>174.06254833966841</v>
      </c>
      <c r="F25" s="285">
        <f>F19+F21+F23</f>
        <v>171.49263173858139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88074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88074" r:id="rId4"/>
      </mc:Fallback>
    </mc:AlternateContent>
  </oleObject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Sheet116">
    <tabColor rgb="FF0070C0"/>
  </sheetPr>
  <dimension ref="A2:M68"/>
  <sheetViews>
    <sheetView topLeftCell="A19" workbookViewId="0">
      <selection activeCell="D60" sqref="D60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Mandera!G23</f>
        <v>12.609819829047728</v>
      </c>
      <c r="D40" s="943"/>
      <c r="E40" s="880">
        <f>C40</f>
        <v>12.609819829047728</v>
      </c>
      <c r="F40" s="943"/>
      <c r="G40" s="613">
        <f>C40</f>
        <v>12.609819829047728</v>
      </c>
      <c r="H40" s="943"/>
    </row>
    <row r="41" spans="1:8" s="392" customFormat="1">
      <c r="A41" s="605"/>
      <c r="B41" s="617" t="s">
        <v>446</v>
      </c>
      <c r="C41" s="618">
        <f>SUM(C40)</f>
        <v>12.609819829047728</v>
      </c>
      <c r="D41" s="618"/>
      <c r="E41" s="626">
        <f>SUM(E40)</f>
        <v>12.609819829047728</v>
      </c>
      <c r="F41" s="944"/>
      <c r="G41" s="618">
        <f>SUM(G40)</f>
        <v>12.609819829047728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180.94692991784561</v>
      </c>
      <c r="D43" s="610"/>
      <c r="E43" s="613">
        <f>E$37+E$42+E$41</f>
        <v>183.60860546921083</v>
      </c>
      <c r="F43" s="610"/>
      <c r="G43" s="236">
        <f>G$37+G$42+G$41</f>
        <v>180.80209456701317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169.08692991784562</v>
      </c>
      <c r="D46" s="610"/>
      <c r="E46" s="641">
        <f>E$43-E44-E45+F$38</f>
        <v>171.54860546921083</v>
      </c>
      <c r="F46" s="610"/>
      <c r="G46" s="642">
        <f>G$43-G44-G45+H$38</f>
        <v>168.95209456701318</v>
      </c>
      <c r="H46" s="573"/>
    </row>
    <row r="47" spans="1:8">
      <c r="B47" s="503" t="s">
        <v>445</v>
      </c>
      <c r="C47" s="644"/>
      <c r="D47" s="696" t="str">
        <f>CONCATENATE("+ ",ROUND((C$46*0.08),2))</f>
        <v>+ 13.53</v>
      </c>
      <c r="E47" s="644"/>
      <c r="F47" s="627" t="str">
        <f>CONCATENATE("+ ",ROUND((E$46*0.08),2))</f>
        <v>+ 13.72</v>
      </c>
      <c r="G47" s="645"/>
      <c r="H47" s="627" t="str">
        <f>CONCATENATE("+ ",ROUND((G$46*0.08),2))</f>
        <v>+ 13.52</v>
      </c>
    </row>
    <row r="48" spans="1:8" ht="15" thickBot="1">
      <c r="B48" s="646" t="s">
        <v>449</v>
      </c>
      <c r="C48" s="697" t="str">
        <f>D47</f>
        <v>+ 13.53</v>
      </c>
      <c r="D48" s="632"/>
      <c r="E48" s="631" t="str">
        <f>F47</f>
        <v>+ 13.72</v>
      </c>
      <c r="F48" s="632"/>
      <c r="G48" s="631" t="str">
        <f>H47</f>
        <v>+ 13.52</v>
      </c>
      <c r="H48" s="632"/>
    </row>
    <row r="49" spans="1:9" s="392" customFormat="1" ht="15" thickBot="1">
      <c r="B49" s="647" t="s">
        <v>452</v>
      </c>
      <c r="C49" s="648">
        <f>C$46+C$48+C$44+C$45</f>
        <v>182.61692991784562</v>
      </c>
      <c r="D49" s="649">
        <f>D38+D47</f>
        <v>1.67</v>
      </c>
      <c r="E49" s="648">
        <f>E$46+E$48+E$44+E$45</f>
        <v>185.26860546921083</v>
      </c>
      <c r="F49" s="649">
        <f>F38+F47</f>
        <v>1.6600000000000001</v>
      </c>
      <c r="G49" s="650">
        <f>G$46+G$48+G$44+G$45</f>
        <v>182.47209456701319</v>
      </c>
      <c r="H49" s="651">
        <f>H38+H47</f>
        <v>1.67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Sheet117">
    <tabColor rgb="FF00CC00"/>
  </sheetPr>
  <dimension ref="B2:K31"/>
  <sheetViews>
    <sheetView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563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Wajir!D21</f>
        <v>8.19</v>
      </c>
      <c r="E21" s="168">
        <f>Wajir!E21</f>
        <v>8.19</v>
      </c>
      <c r="F21" s="168">
        <f>Wajir!F21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8.1402194938209718</v>
      </c>
      <c r="E23" s="283">
        <f t="shared" ref="E23:F23" si="0">$G$23*$G$8</f>
        <v>8.1402194938209718</v>
      </c>
      <c r="F23" s="283">
        <f t="shared" si="0"/>
        <v>8.1402194938209718</v>
      </c>
      <c r="G23" s="284">
        <f>'Delivery &gt;40km-Sept 2013'!E24*I23/1000</f>
        <v>7.0174305981215284</v>
      </c>
      <c r="H23" s="262" t="s">
        <v>127</v>
      </c>
      <c r="I23" s="259">
        <v>586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165.12532238353012</v>
      </c>
      <c r="E25" s="285">
        <f>E19+E21+E23</f>
        <v>167.57537683179402</v>
      </c>
      <c r="F25" s="285">
        <f>F19+F21+F23</f>
        <v>165.005460230707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Sheet118">
    <tabColor rgb="FF0000FF"/>
  </sheetPr>
  <dimension ref="A2:M68"/>
  <sheetViews>
    <sheetView workbookViewId="0">
      <selection sqref="A1:XFD1048576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Modogashe!G23</f>
        <v>7.0174305981215284</v>
      </c>
      <c r="D40" s="943"/>
      <c r="E40" s="880">
        <f>C40</f>
        <v>7.0174305981215284</v>
      </c>
      <c r="F40" s="943"/>
      <c r="G40" s="613">
        <f>C40</f>
        <v>7.0174305981215284</v>
      </c>
      <c r="H40" s="943"/>
    </row>
    <row r="41" spans="1:8" s="392" customFormat="1">
      <c r="A41" s="605"/>
      <c r="B41" s="617" t="s">
        <v>446</v>
      </c>
      <c r="C41" s="618">
        <f>SUM(C40)</f>
        <v>7.0174305981215284</v>
      </c>
      <c r="D41" s="618"/>
      <c r="E41" s="626">
        <f>SUM(E40)</f>
        <v>7.0174305981215284</v>
      </c>
      <c r="F41" s="944"/>
      <c r="G41" s="618">
        <f>SUM(G40)</f>
        <v>7.0174305981215284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175.35454068691942</v>
      </c>
      <c r="D43" s="610"/>
      <c r="E43" s="613">
        <f>E$37+E$42+E$41</f>
        <v>178.01621623828464</v>
      </c>
      <c r="F43" s="610"/>
      <c r="G43" s="236">
        <f>G$37+G$42+G$41</f>
        <v>175.20970533608698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163.49454068691944</v>
      </c>
      <c r="D46" s="610"/>
      <c r="E46" s="641">
        <f>E$43-E44-E45+F$38</f>
        <v>165.95621623828464</v>
      </c>
      <c r="F46" s="610"/>
      <c r="G46" s="642">
        <f>G$43-G44-G45+H$38</f>
        <v>163.35970533608699</v>
      </c>
      <c r="H46" s="573"/>
    </row>
    <row r="47" spans="1:8">
      <c r="B47" s="503" t="s">
        <v>445</v>
      </c>
      <c r="C47" s="644"/>
      <c r="D47" s="696" t="str">
        <f>CONCATENATE("+ ",ROUND((C$46*0.08),2))</f>
        <v>+ 13.08</v>
      </c>
      <c r="E47" s="644"/>
      <c r="F47" s="627" t="str">
        <f>CONCATENATE("+ ",ROUND((E$46*0.08),2))</f>
        <v>+ 13.28</v>
      </c>
      <c r="G47" s="645"/>
      <c r="H47" s="627" t="str">
        <f>CONCATENATE("+ ",ROUND((G$46*0.08),2))</f>
        <v>+ 13.07</v>
      </c>
    </row>
    <row r="48" spans="1:8" ht="15" thickBot="1">
      <c r="B48" s="646" t="s">
        <v>449</v>
      </c>
      <c r="C48" s="697" t="str">
        <f>D47</f>
        <v>+ 13.08</v>
      </c>
      <c r="D48" s="632"/>
      <c r="E48" s="631" t="str">
        <f>F47</f>
        <v>+ 13.28</v>
      </c>
      <c r="F48" s="632"/>
      <c r="G48" s="631" t="str">
        <f>H47</f>
        <v>+ 13.07</v>
      </c>
      <c r="H48" s="632"/>
    </row>
    <row r="49" spans="1:9" s="392" customFormat="1" ht="15" thickBot="1">
      <c r="B49" s="647" t="s">
        <v>452</v>
      </c>
      <c r="C49" s="648">
        <f>C$46+C$48+C$44+C$45</f>
        <v>176.57454068691945</v>
      </c>
      <c r="D49" s="649">
        <f>D38+D47</f>
        <v>1.2200000000000006</v>
      </c>
      <c r="E49" s="648">
        <f>E$46+E$48+E$44+E$45</f>
        <v>179.23621623828464</v>
      </c>
      <c r="F49" s="649">
        <f>F38+F47</f>
        <v>1.2199999999999989</v>
      </c>
      <c r="G49" s="650">
        <f>G$46+G$48+G$44+G$45</f>
        <v>176.42970533608698</v>
      </c>
      <c r="H49" s="651">
        <f>H38+H47</f>
        <v>1.2200000000000006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Sheet119"/>
  <dimension ref="B2:K31"/>
  <sheetViews>
    <sheetView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781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Wajir!D21</f>
        <v>8.19</v>
      </c>
      <c r="E21" s="168">
        <f>Wajir!E21</f>
        <v>8.19</v>
      </c>
      <c r="F21" s="168">
        <f>Wajir!F21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1.5835921882177317</v>
      </c>
      <c r="E23" s="283">
        <f t="shared" ref="E23:F23" si="0">$G$23*$G$8</f>
        <v>1.5835921882177317</v>
      </c>
      <c r="F23" s="283">
        <f t="shared" si="0"/>
        <v>1.5835921882177317</v>
      </c>
      <c r="G23" s="284">
        <f>'Delivery &gt;40km-Sept 2013'!E24*I23/1000</f>
        <v>1.3651656794980447</v>
      </c>
      <c r="H23" s="262" t="s">
        <v>127</v>
      </c>
      <c r="I23" s="259">
        <v>114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158.56869507792686</v>
      </c>
      <c r="E25" s="285">
        <f>E19+E21+E23</f>
        <v>161.01874952619076</v>
      </c>
      <c r="F25" s="285">
        <f>F19+F21+F23</f>
        <v>158.44883292510374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Sheet120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Matuu!G23</f>
        <v>1.3651656794980447</v>
      </c>
      <c r="D40" s="943"/>
      <c r="E40" s="880">
        <f>C40</f>
        <v>1.3651656794980447</v>
      </c>
      <c r="F40" s="943"/>
      <c r="G40" s="613">
        <f>C40</f>
        <v>1.3651656794980447</v>
      </c>
      <c r="H40" s="943"/>
    </row>
    <row r="41" spans="1:8" s="392" customFormat="1">
      <c r="A41" s="605"/>
      <c r="B41" s="617" t="s">
        <v>446</v>
      </c>
      <c r="C41" s="618">
        <f>SUM(C40)</f>
        <v>1.3651656794980447</v>
      </c>
      <c r="D41" s="618"/>
      <c r="E41" s="626">
        <f>SUM(E40)</f>
        <v>1.3651656794980447</v>
      </c>
      <c r="F41" s="944"/>
      <c r="G41" s="618">
        <f>SUM(G40)</f>
        <v>1.3651656794980447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169.70227576829592</v>
      </c>
      <c r="D43" s="610"/>
      <c r="E43" s="613">
        <f>E$37+E$42+E$41</f>
        <v>172.36395131966114</v>
      </c>
      <c r="F43" s="610"/>
      <c r="G43" s="236">
        <f>G$37+G$42+G$41</f>
        <v>169.55744041746348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157.84227576829591</v>
      </c>
      <c r="D46" s="610"/>
      <c r="E46" s="641">
        <f>E$43-E44-E45+F$38</f>
        <v>160.30395131966114</v>
      </c>
      <c r="F46" s="610"/>
      <c r="G46" s="642">
        <f>G$43-G44-G45+H$38</f>
        <v>157.70744041746349</v>
      </c>
      <c r="H46" s="573"/>
    </row>
    <row r="47" spans="1:8">
      <c r="B47" s="503" t="s">
        <v>445</v>
      </c>
      <c r="C47" s="644"/>
      <c r="D47" s="696" t="str">
        <f>CONCATENATE("+ ",ROUND((C$46*0.08),2))</f>
        <v>+ 12.63</v>
      </c>
      <c r="E47" s="644"/>
      <c r="F47" s="627" t="str">
        <f>CONCATENATE("+ ",ROUND((E$46*0.08),2))</f>
        <v>+ 12.82</v>
      </c>
      <c r="G47" s="645"/>
      <c r="H47" s="627" t="str">
        <f>CONCATENATE("+ ",ROUND((G$46*0.08),2))</f>
        <v>+ 12.62</v>
      </c>
    </row>
    <row r="48" spans="1:8" ht="15" thickBot="1">
      <c r="B48" s="646" t="s">
        <v>449</v>
      </c>
      <c r="C48" s="697" t="str">
        <f>D47</f>
        <v>+ 12.63</v>
      </c>
      <c r="D48" s="632"/>
      <c r="E48" s="631" t="str">
        <f>F47</f>
        <v>+ 12.82</v>
      </c>
      <c r="F48" s="632"/>
      <c r="G48" s="631" t="str">
        <f>H47</f>
        <v>+ 12.62</v>
      </c>
      <c r="H48" s="632"/>
    </row>
    <row r="49" spans="1:9" s="392" customFormat="1" ht="15" thickBot="1">
      <c r="B49" s="647" t="s">
        <v>452</v>
      </c>
      <c r="C49" s="648">
        <f>C$46+C$48+C$44+C$45</f>
        <v>170.4722757682959</v>
      </c>
      <c r="D49" s="649">
        <f>D38+D47</f>
        <v>0.77000000000000135</v>
      </c>
      <c r="E49" s="648">
        <f>E$46+E$48+E$44+E$45</f>
        <v>173.12395131966113</v>
      </c>
      <c r="F49" s="649">
        <f>F38+F47</f>
        <v>0.75999999999999979</v>
      </c>
      <c r="G49" s="650">
        <f>G$46+G$48+G$44+G$45</f>
        <v>170.32744041746349</v>
      </c>
      <c r="H49" s="651">
        <f>H38+H47</f>
        <v>0.76999999999999957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Sheet121"/>
  <dimension ref="B2:K31"/>
  <sheetViews>
    <sheetView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780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Wajir!D21</f>
        <v>8.19</v>
      </c>
      <c r="E21" s="168">
        <f>Wajir!E21</f>
        <v>8.19</v>
      </c>
      <c r="F21" s="168">
        <f>Wajir!F21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6.362151071962467</v>
      </c>
      <c r="E23" s="283">
        <f t="shared" ref="E23:F23" si="0">$G$23*$G$8</f>
        <v>6.362151071962467</v>
      </c>
      <c r="F23" s="283">
        <f t="shared" si="0"/>
        <v>6.362151071962467</v>
      </c>
      <c r="G23" s="284">
        <f>'Delivery &gt;40km-Sept 2013'!E24*I23/1000</f>
        <v>5.4846129930710923</v>
      </c>
      <c r="H23" s="262" t="s">
        <v>127</v>
      </c>
      <c r="I23" s="259">
        <v>458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163.34725396167161</v>
      </c>
      <c r="E25" s="285">
        <f>E19+E21+E23</f>
        <v>165.79730840993551</v>
      </c>
      <c r="F25" s="285">
        <f>F19+F21+F23</f>
        <v>163.22739180884849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Sheet122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Merti!G23</f>
        <v>5.4846129930710923</v>
      </c>
      <c r="D40" s="943"/>
      <c r="E40" s="880">
        <f>C40</f>
        <v>5.4846129930710923</v>
      </c>
      <c r="F40" s="943"/>
      <c r="G40" s="613">
        <f>C40</f>
        <v>5.4846129930710923</v>
      </c>
      <c r="H40" s="943"/>
    </row>
    <row r="41" spans="1:8" s="392" customFormat="1">
      <c r="A41" s="605"/>
      <c r="B41" s="617" t="s">
        <v>446</v>
      </c>
      <c r="C41" s="618">
        <f>SUM(C40)</f>
        <v>5.4846129930710923</v>
      </c>
      <c r="D41" s="618"/>
      <c r="E41" s="626">
        <f>SUM(E40)</f>
        <v>5.4846129930710923</v>
      </c>
      <c r="F41" s="944"/>
      <c r="G41" s="618">
        <f>SUM(G40)</f>
        <v>5.4846129930710923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173.82172308186898</v>
      </c>
      <c r="D43" s="610"/>
      <c r="E43" s="613">
        <f>E$37+E$42+E$41</f>
        <v>176.4833986332342</v>
      </c>
      <c r="F43" s="610"/>
      <c r="G43" s="236">
        <f>G$37+G$42+G$41</f>
        <v>173.67688773103654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161.96172308186897</v>
      </c>
      <c r="D46" s="610"/>
      <c r="E46" s="641">
        <f>E$43-E44-E45+F$38</f>
        <v>164.4233986332342</v>
      </c>
      <c r="F46" s="610"/>
      <c r="G46" s="642">
        <f>G$43-G44-G45+H$38</f>
        <v>161.82688773103655</v>
      </c>
      <c r="H46" s="573"/>
    </row>
    <row r="47" spans="1:8">
      <c r="B47" s="503" t="s">
        <v>445</v>
      </c>
      <c r="C47" s="644"/>
      <c r="D47" s="696" t="str">
        <f>CONCATENATE("+ ",ROUND((C$46*0.08),2))</f>
        <v>+ 12.96</v>
      </c>
      <c r="E47" s="644"/>
      <c r="F47" s="627" t="str">
        <f>CONCATENATE("+ ",ROUND((E$46*0.08),2))</f>
        <v>+ 13.15</v>
      </c>
      <c r="G47" s="645"/>
      <c r="H47" s="627" t="str">
        <f>CONCATENATE("+ ",ROUND((G$46*0.08),2))</f>
        <v>+ 12.95</v>
      </c>
    </row>
    <row r="48" spans="1:8" ht="15" thickBot="1">
      <c r="B48" s="646" t="s">
        <v>449</v>
      </c>
      <c r="C48" s="697" t="str">
        <f>D47</f>
        <v>+ 12.96</v>
      </c>
      <c r="D48" s="632"/>
      <c r="E48" s="631" t="str">
        <f>F47</f>
        <v>+ 13.15</v>
      </c>
      <c r="F48" s="632"/>
      <c r="G48" s="631" t="str">
        <f>H47</f>
        <v>+ 12.95</v>
      </c>
      <c r="H48" s="632"/>
    </row>
    <row r="49" spans="1:9" s="392" customFormat="1" ht="15" thickBot="1">
      <c r="B49" s="647" t="s">
        <v>452</v>
      </c>
      <c r="C49" s="648">
        <f>C$46+C$48+C$44+C$45</f>
        <v>174.92172308186898</v>
      </c>
      <c r="D49" s="649">
        <f>D38+D47</f>
        <v>1.1000000000000014</v>
      </c>
      <c r="E49" s="648">
        <f>E$46+E$48+E$44+E$45</f>
        <v>177.57339863323421</v>
      </c>
      <c r="F49" s="649">
        <f>F38+F47</f>
        <v>1.0899999999999999</v>
      </c>
      <c r="G49" s="650">
        <f>G$46+G$48+G$44+G$45</f>
        <v>174.77688773103654</v>
      </c>
      <c r="H49" s="651">
        <f>H38+H47</f>
        <v>1.0999999999999996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Sheet123"/>
  <dimension ref="B2:K31"/>
  <sheetViews>
    <sheetView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779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Wajir!D21</f>
        <v>8.19</v>
      </c>
      <c r="E21" s="168">
        <f>Wajir!E21</f>
        <v>8.19</v>
      </c>
      <c r="F21" s="168">
        <f>Wajir!F21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3.1532932168896939</v>
      </c>
      <c r="E23" s="283">
        <f t="shared" ref="E23:F23" si="0">$G$23*$G$8</f>
        <v>3.1532932168896939</v>
      </c>
      <c r="F23" s="283">
        <f t="shared" si="0"/>
        <v>3.1532932168896939</v>
      </c>
      <c r="G23" s="284">
        <f>'Delivery &gt;40km-Sept 2013'!E24*I23/1000</f>
        <v>2.718356221456633</v>
      </c>
      <c r="H23" s="262" t="s">
        <v>127</v>
      </c>
      <c r="I23" s="259">
        <v>227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160.13839610659883</v>
      </c>
      <c r="E25" s="285">
        <f>E19+E21+E23</f>
        <v>162.58845055486273</v>
      </c>
      <c r="F25" s="285">
        <f>F19+F21+F23</f>
        <v>160.01853395377572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Sheet124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Oldonyiro!G23</f>
        <v>2.718356221456633</v>
      </c>
      <c r="D40" s="943"/>
      <c r="E40" s="880">
        <f>C40</f>
        <v>2.718356221456633</v>
      </c>
      <c r="F40" s="943"/>
      <c r="G40" s="613">
        <f>C40</f>
        <v>2.718356221456633</v>
      </c>
      <c r="H40" s="943"/>
    </row>
    <row r="41" spans="1:8" s="392" customFormat="1">
      <c r="A41" s="605"/>
      <c r="B41" s="617" t="s">
        <v>446</v>
      </c>
      <c r="C41" s="618">
        <f>SUM(C40)</f>
        <v>2.718356221456633</v>
      </c>
      <c r="D41" s="618"/>
      <c r="E41" s="626">
        <f>SUM(E40)</f>
        <v>2.718356221456633</v>
      </c>
      <c r="F41" s="944"/>
      <c r="G41" s="618">
        <f>SUM(G40)</f>
        <v>2.718356221456633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171.05546631025453</v>
      </c>
      <c r="D43" s="610"/>
      <c r="E43" s="613">
        <f>E$37+E$42+E$41</f>
        <v>173.71714186161975</v>
      </c>
      <c r="F43" s="610"/>
      <c r="G43" s="236">
        <f>G$37+G$42+G$41</f>
        <v>170.91063095942209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159.19546631025452</v>
      </c>
      <c r="D46" s="610"/>
      <c r="E46" s="641">
        <f>E$43-E44-E45+F$38</f>
        <v>161.65714186161975</v>
      </c>
      <c r="F46" s="610"/>
      <c r="G46" s="642">
        <f>G$43-G44-G45+H$38</f>
        <v>159.0606309594221</v>
      </c>
      <c r="H46" s="573"/>
    </row>
    <row r="47" spans="1:8">
      <c r="B47" s="503" t="s">
        <v>445</v>
      </c>
      <c r="C47" s="644"/>
      <c r="D47" s="696" t="str">
        <f>CONCATENATE("+ ",ROUND((C$46*0.08),2))</f>
        <v>+ 12.74</v>
      </c>
      <c r="E47" s="644"/>
      <c r="F47" s="627" t="str">
        <f>CONCATENATE("+ ",ROUND((E$46*0.08),2))</f>
        <v>+ 12.93</v>
      </c>
      <c r="G47" s="645"/>
      <c r="H47" s="627" t="str">
        <f>CONCATENATE("+ ",ROUND((G$46*0.08),2))</f>
        <v>+ 12.72</v>
      </c>
    </row>
    <row r="48" spans="1:8" ht="15" thickBot="1">
      <c r="B48" s="646" t="s">
        <v>449</v>
      </c>
      <c r="C48" s="697" t="str">
        <f>D47</f>
        <v>+ 12.74</v>
      </c>
      <c r="D48" s="632"/>
      <c r="E48" s="631" t="str">
        <f>F47</f>
        <v>+ 12.93</v>
      </c>
      <c r="F48" s="632"/>
      <c r="G48" s="631" t="str">
        <f>H47</f>
        <v>+ 12.72</v>
      </c>
      <c r="H48" s="632"/>
    </row>
    <row r="49" spans="1:9" s="392" customFormat="1" ht="15" thickBot="1">
      <c r="B49" s="647" t="s">
        <v>452</v>
      </c>
      <c r="C49" s="648">
        <f>C$46+C$48+C$44+C$45</f>
        <v>171.93546631025453</v>
      </c>
      <c r="D49" s="649">
        <f>D38+D47</f>
        <v>0.88000000000000078</v>
      </c>
      <c r="E49" s="648">
        <f>E$46+E$48+E$44+E$45</f>
        <v>174.58714186161976</v>
      </c>
      <c r="F49" s="649">
        <f>F38+F47</f>
        <v>0.86999999999999922</v>
      </c>
      <c r="G49" s="650">
        <f>G$46+G$48+G$44+G$45</f>
        <v>171.7806309594221</v>
      </c>
      <c r="H49" s="651">
        <f>H38+H47</f>
        <v>0.87000000000000099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Sheet125"/>
  <dimension ref="B2:K31"/>
  <sheetViews>
    <sheetView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778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Wajir!D21</f>
        <v>8.19</v>
      </c>
      <c r="E21" s="168">
        <f>Wajir!E21</f>
        <v>8.19</v>
      </c>
      <c r="F21" s="168">
        <f>Wajir!F21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12.47426127210108</v>
      </c>
      <c r="E23" s="283">
        <f t="shared" ref="E23:F23" si="0">$G$23*$G$8</f>
        <v>12.47426127210108</v>
      </c>
      <c r="F23" s="283">
        <f t="shared" si="0"/>
        <v>12.47426127210108</v>
      </c>
      <c r="G23" s="284">
        <f>'Delivery &gt;40km-Sept 2013'!E24*I23/1000</f>
        <v>10.753673510431966</v>
      </c>
      <c r="H23" s="262" t="s">
        <v>127</v>
      </c>
      <c r="I23" s="259">
        <v>898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169.45936416181021</v>
      </c>
      <c r="E25" s="285">
        <f>E19+E21+E23</f>
        <v>171.90941861007411</v>
      </c>
      <c r="F25" s="285">
        <f>F19+F21+F23</f>
        <v>169.3395020089871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Sheet126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Eldas!G23</f>
        <v>10.753673510431966</v>
      </c>
      <c r="D40" s="943"/>
      <c r="E40" s="880">
        <f>C40</f>
        <v>10.753673510431966</v>
      </c>
      <c r="F40" s="943"/>
      <c r="G40" s="613">
        <f>C40</f>
        <v>10.753673510431966</v>
      </c>
      <c r="H40" s="943"/>
    </row>
    <row r="41" spans="1:8" s="392" customFormat="1">
      <c r="A41" s="605"/>
      <c r="B41" s="617" t="s">
        <v>446</v>
      </c>
      <c r="C41" s="618">
        <f>SUM(C40)</f>
        <v>10.753673510431966</v>
      </c>
      <c r="D41" s="618"/>
      <c r="E41" s="626">
        <f>SUM(E40)</f>
        <v>10.753673510431966</v>
      </c>
      <c r="F41" s="944"/>
      <c r="G41" s="618">
        <f>SUM(G40)</f>
        <v>10.753673510431966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179.09078359922984</v>
      </c>
      <c r="D43" s="610"/>
      <c r="E43" s="613">
        <f>E$37+E$42+E$41</f>
        <v>181.75245915059509</v>
      </c>
      <c r="F43" s="610"/>
      <c r="G43" s="236">
        <f>G$37+G$42+G$41</f>
        <v>178.94594824839743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167.23078359922982</v>
      </c>
      <c r="D46" s="610"/>
      <c r="E46" s="641">
        <f>E$43-E44-E45+F$38</f>
        <v>169.69245915059508</v>
      </c>
      <c r="F46" s="610"/>
      <c r="G46" s="642">
        <f>G$43-G44-G45+H$38</f>
        <v>167.09594824839743</v>
      </c>
      <c r="H46" s="573"/>
    </row>
    <row r="47" spans="1:8">
      <c r="B47" s="503" t="s">
        <v>445</v>
      </c>
      <c r="C47" s="644"/>
      <c r="D47" s="696" t="str">
        <f>CONCATENATE("+ ",ROUND((C$46*0.08),2))</f>
        <v>+ 13.38</v>
      </c>
      <c r="E47" s="644"/>
      <c r="F47" s="627" t="str">
        <f>CONCATENATE("+ ",ROUND((E$46*0.08),2))</f>
        <v>+ 13.58</v>
      </c>
      <c r="G47" s="645"/>
      <c r="H47" s="627" t="str">
        <f>CONCATENATE("+ ",ROUND((G$46*0.08),2))</f>
        <v>+ 13.37</v>
      </c>
    </row>
    <row r="48" spans="1:8" ht="15" thickBot="1">
      <c r="B48" s="646" t="s">
        <v>449</v>
      </c>
      <c r="C48" s="697" t="str">
        <f>D47</f>
        <v>+ 13.38</v>
      </c>
      <c r="D48" s="632"/>
      <c r="E48" s="631" t="str">
        <f>F47</f>
        <v>+ 13.58</v>
      </c>
      <c r="F48" s="632"/>
      <c r="G48" s="631" t="str">
        <f>H47</f>
        <v>+ 13.37</v>
      </c>
      <c r="H48" s="632"/>
    </row>
    <row r="49" spans="1:9" s="392" customFormat="1" ht="15" thickBot="1">
      <c r="B49" s="647" t="s">
        <v>452</v>
      </c>
      <c r="C49" s="648">
        <f>C$46+C$48+C$44+C$45</f>
        <v>180.61078359922982</v>
      </c>
      <c r="D49" s="649">
        <f>D38+D47</f>
        <v>1.5200000000000014</v>
      </c>
      <c r="E49" s="648">
        <f>E$46+E$48+E$44+E$45</f>
        <v>183.2724591505951</v>
      </c>
      <c r="F49" s="649">
        <f>F38+F47</f>
        <v>1.5199999999999996</v>
      </c>
      <c r="G49" s="650">
        <f>G$46+G$48+G$44+G$45</f>
        <v>180.46594824839744</v>
      </c>
      <c r="H49" s="651">
        <f>H38+H47</f>
        <v>1.5199999999999996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Sheet127"/>
  <dimension ref="B2:K31"/>
  <sheetViews>
    <sheetView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777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Wajir!D21</f>
        <v>8.19</v>
      </c>
      <c r="E21" s="168">
        <f>Wajir!E21</f>
        <v>8.19</v>
      </c>
      <c r="F21" s="168">
        <f>Wajir!F21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9.2931857361198471</v>
      </c>
      <c r="E23" s="283">
        <f t="shared" ref="E23:F23" si="0">$G$23*$G$8</f>
        <v>9.2931857361198471</v>
      </c>
      <c r="F23" s="283">
        <f t="shared" si="0"/>
        <v>9.2931857361198471</v>
      </c>
      <c r="G23" s="284">
        <f>'Delivery &gt;40km-Sept 2013'!E24*I23/1000</f>
        <v>8.0113670138964199</v>
      </c>
      <c r="H23" s="262" t="s">
        <v>127</v>
      </c>
      <c r="I23" s="259">
        <v>669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166.27828862582899</v>
      </c>
      <c r="E25" s="285">
        <f>E19+E21+E23</f>
        <v>168.72834307409289</v>
      </c>
      <c r="F25" s="285">
        <f>F19+F21+F23</f>
        <v>166.15842647300587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Sheet128"/>
  <dimension ref="A2:M68"/>
  <sheetViews>
    <sheetView topLeftCell="A43" workbookViewId="0">
      <selection activeCell="H69" sqref="H69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Bute!G23</f>
        <v>8.0113670138964199</v>
      </c>
      <c r="D40" s="943"/>
      <c r="E40" s="880">
        <f>C40</f>
        <v>8.0113670138964199</v>
      </c>
      <c r="F40" s="943"/>
      <c r="G40" s="613">
        <f>C40</f>
        <v>8.0113670138964199</v>
      </c>
      <c r="H40" s="943"/>
    </row>
    <row r="41" spans="1:8" s="392" customFormat="1">
      <c r="A41" s="605"/>
      <c r="B41" s="617" t="s">
        <v>446</v>
      </c>
      <c r="C41" s="618">
        <f>SUM(C40)</f>
        <v>8.0113670138964199</v>
      </c>
      <c r="D41" s="618"/>
      <c r="E41" s="626">
        <f>SUM(E40)</f>
        <v>8.0113670138964199</v>
      </c>
      <c r="F41" s="944"/>
      <c r="G41" s="618">
        <f>SUM(G40)</f>
        <v>8.0113670138964199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176.34847710269432</v>
      </c>
      <c r="D43" s="610"/>
      <c r="E43" s="613">
        <f>E$37+E$42+E$41</f>
        <v>179.01015265405954</v>
      </c>
      <c r="F43" s="610"/>
      <c r="G43" s="236">
        <f>G$37+G$42+G$41</f>
        <v>176.20364175186188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164.48847710269433</v>
      </c>
      <c r="D46" s="610"/>
      <c r="E46" s="641">
        <f>E$43-E44-E45+F$38</f>
        <v>166.95015265405954</v>
      </c>
      <c r="F46" s="610"/>
      <c r="G46" s="642">
        <f>G$43-G44-G45+H$38</f>
        <v>164.35364175186189</v>
      </c>
      <c r="H46" s="573"/>
    </row>
    <row r="47" spans="1:8">
      <c r="B47" s="503" t="s">
        <v>445</v>
      </c>
      <c r="C47" s="644"/>
      <c r="D47" s="696" t="str">
        <f>CONCATENATE("+ ",ROUND((C$46*0.08),2))</f>
        <v>+ 13.16</v>
      </c>
      <c r="E47" s="644"/>
      <c r="F47" s="627" t="str">
        <f>CONCATENATE("+ ",ROUND((E$46*0.08),2))</f>
        <v>+ 13.36</v>
      </c>
      <c r="G47" s="645"/>
      <c r="H47" s="627" t="str">
        <f>CONCATENATE("+ ",ROUND((G$46*0.08),2))</f>
        <v>+ 13.15</v>
      </c>
    </row>
    <row r="48" spans="1:8" ht="15" thickBot="1">
      <c r="B48" s="646" t="s">
        <v>449</v>
      </c>
      <c r="C48" s="697" t="str">
        <f>D47</f>
        <v>+ 13.16</v>
      </c>
      <c r="D48" s="632"/>
      <c r="E48" s="631" t="str">
        <f>F47</f>
        <v>+ 13.36</v>
      </c>
      <c r="F48" s="632"/>
      <c r="G48" s="631" t="str">
        <f>H47</f>
        <v>+ 13.15</v>
      </c>
      <c r="H48" s="632"/>
    </row>
    <row r="49" spans="1:9" s="392" customFormat="1" ht="15" thickBot="1">
      <c r="B49" s="647" t="s">
        <v>452</v>
      </c>
      <c r="C49" s="648">
        <f>C$46+C$48+C$44+C$45</f>
        <v>177.64847710269433</v>
      </c>
      <c r="D49" s="649">
        <f>D38+D47</f>
        <v>1.3000000000000007</v>
      </c>
      <c r="E49" s="648">
        <f>E$46+E$48+E$44+E$45</f>
        <v>180.31015265405955</v>
      </c>
      <c r="F49" s="649">
        <f>F38+F47</f>
        <v>1.2999999999999989</v>
      </c>
      <c r="G49" s="650">
        <f>G$46+G$48+G$44+G$45</f>
        <v>177.50364175186189</v>
      </c>
      <c r="H49" s="651">
        <f>H38+H47</f>
        <v>1.3000000000000007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Sheet129"/>
  <dimension ref="B2:K31"/>
  <sheetViews>
    <sheetView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776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Wajir!D21</f>
        <v>8.19</v>
      </c>
      <c r="E21" s="168">
        <f>Wajir!E21</f>
        <v>8.19</v>
      </c>
      <c r="F21" s="168">
        <f>Wajir!F21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7.7790493456309626</v>
      </c>
      <c r="E23" s="283">
        <f t="shared" ref="E23:F23" si="0">$G$23*$G$8</f>
        <v>7.7790493456309626</v>
      </c>
      <c r="F23" s="283">
        <f t="shared" si="0"/>
        <v>7.7790493456309626</v>
      </c>
      <c r="G23" s="284">
        <f>'Delivery &gt;40km-Sept 2013'!E24*I23/1000</f>
        <v>6.7060770220956583</v>
      </c>
      <c r="H23" s="262" t="s">
        <v>127</v>
      </c>
      <c r="I23" s="259">
        <v>560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164.76415223534011</v>
      </c>
      <c r="E25" s="285">
        <f>E19+E21+E23</f>
        <v>167.214206683604</v>
      </c>
      <c r="F25" s="285">
        <f>F19+F21+F23</f>
        <v>164.64429008251699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Sheet130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Hadado!G23</f>
        <v>6.7060770220956583</v>
      </c>
      <c r="D40" s="943"/>
      <c r="E40" s="880">
        <f>C40</f>
        <v>6.7060770220956583</v>
      </c>
      <c r="F40" s="943"/>
      <c r="G40" s="613">
        <f>C40</f>
        <v>6.7060770220956583</v>
      </c>
      <c r="H40" s="943"/>
    </row>
    <row r="41" spans="1:8" s="392" customFormat="1">
      <c r="A41" s="605"/>
      <c r="B41" s="617" t="s">
        <v>446</v>
      </c>
      <c r="C41" s="618">
        <f>SUM(C40)</f>
        <v>6.7060770220956583</v>
      </c>
      <c r="D41" s="618"/>
      <c r="E41" s="626">
        <f>SUM(E40)</f>
        <v>6.7060770220956583</v>
      </c>
      <c r="F41" s="944"/>
      <c r="G41" s="618">
        <f>SUM(G40)</f>
        <v>6.7060770220956583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175.04318711089354</v>
      </c>
      <c r="D43" s="610"/>
      <c r="E43" s="613">
        <f>E$37+E$42+E$41</f>
        <v>177.70486266225876</v>
      </c>
      <c r="F43" s="610"/>
      <c r="G43" s="236">
        <f>G$37+G$42+G$41</f>
        <v>174.8983517600611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163.18318711089353</v>
      </c>
      <c r="D46" s="610"/>
      <c r="E46" s="641">
        <f>E$43-E44-E45+F$38</f>
        <v>165.64486266225876</v>
      </c>
      <c r="F46" s="610"/>
      <c r="G46" s="642">
        <f>G$43-G44-G45+H$38</f>
        <v>163.04835176006111</v>
      </c>
      <c r="H46" s="573"/>
    </row>
    <row r="47" spans="1:8">
      <c r="B47" s="503" t="s">
        <v>445</v>
      </c>
      <c r="C47" s="644"/>
      <c r="D47" s="696" t="str">
        <f>CONCATENATE("+ ",ROUND((C$46*0.08),2))</f>
        <v>+ 13.05</v>
      </c>
      <c r="E47" s="644"/>
      <c r="F47" s="627" t="str">
        <f>CONCATENATE("+ ",ROUND((E$46*0.08),2))</f>
        <v>+ 13.25</v>
      </c>
      <c r="G47" s="645"/>
      <c r="H47" s="627" t="str">
        <f>CONCATENATE("+ ",ROUND((G$46*0.08),2))</f>
        <v>+ 13.04</v>
      </c>
    </row>
    <row r="48" spans="1:8" ht="15" thickBot="1">
      <c r="B48" s="646" t="s">
        <v>449</v>
      </c>
      <c r="C48" s="697" t="str">
        <f>D47</f>
        <v>+ 13.05</v>
      </c>
      <c r="D48" s="632"/>
      <c r="E48" s="631" t="str">
        <f>F47</f>
        <v>+ 13.25</v>
      </c>
      <c r="F48" s="632"/>
      <c r="G48" s="631" t="str">
        <f>H47</f>
        <v>+ 13.04</v>
      </c>
      <c r="H48" s="632"/>
    </row>
    <row r="49" spans="1:9" s="392" customFormat="1" ht="15" thickBot="1">
      <c r="B49" s="647" t="s">
        <v>452</v>
      </c>
      <c r="C49" s="648">
        <f>C$46+C$48+C$44+C$45</f>
        <v>176.23318711089354</v>
      </c>
      <c r="D49" s="649">
        <f>D38+D47</f>
        <v>1.1900000000000013</v>
      </c>
      <c r="E49" s="648">
        <f>E$46+E$48+E$44+E$45</f>
        <v>178.89486266225876</v>
      </c>
      <c r="F49" s="649">
        <f>F38+F47</f>
        <v>1.1899999999999995</v>
      </c>
      <c r="G49" s="650">
        <f>G$46+G$48+G$44+G$45</f>
        <v>176.0883517600611</v>
      </c>
      <c r="H49" s="651">
        <f>H38+H47</f>
        <v>1.1899999999999995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Sheet131"/>
  <dimension ref="B2:K31"/>
  <sheetViews>
    <sheetView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775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Wajir!D21</f>
        <v>8.19</v>
      </c>
      <c r="E21" s="168">
        <f>Wajir!E21</f>
        <v>8.19</v>
      </c>
      <c r="F21" s="168">
        <f>Wajir!F21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0.75012261547155712</v>
      </c>
      <c r="E23" s="283">
        <f t="shared" ref="E23:F23" si="0">$G$23*$G$8</f>
        <v>0.75012261547155712</v>
      </c>
      <c r="F23" s="283">
        <f t="shared" si="0"/>
        <v>0.75012261547155712</v>
      </c>
      <c r="G23" s="284">
        <f>'Delivery &gt;40km-Sept 2013'!E24*I23/1000</f>
        <v>0.64665742713065277</v>
      </c>
      <c r="H23" s="262" t="s">
        <v>127</v>
      </c>
      <c r="I23" s="259">
        <v>54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157.73522550518069</v>
      </c>
      <c r="E25" s="285">
        <f>E19+E21+E23</f>
        <v>160.18527995344459</v>
      </c>
      <c r="F25" s="285">
        <f>F19+F21+F23</f>
        <v>157.61536335235758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Sheet132"/>
  <dimension ref="A2:M68"/>
  <sheetViews>
    <sheetView topLeftCell="A35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'Mai Mahiu'!G23</f>
        <v>0.64665742713065277</v>
      </c>
      <c r="D40" s="943"/>
      <c r="E40" s="880">
        <f>C40</f>
        <v>0.64665742713065277</v>
      </c>
      <c r="F40" s="943"/>
      <c r="G40" s="613">
        <f>C40</f>
        <v>0.64665742713065277</v>
      </c>
      <c r="H40" s="943"/>
    </row>
    <row r="41" spans="1:8" s="392" customFormat="1">
      <c r="A41" s="605"/>
      <c r="B41" s="617" t="s">
        <v>446</v>
      </c>
      <c r="C41" s="618">
        <f>SUM(C40)</f>
        <v>0.64665742713065277</v>
      </c>
      <c r="D41" s="618"/>
      <c r="E41" s="626">
        <f>SUM(E40)</f>
        <v>0.64665742713065277</v>
      </c>
      <c r="F41" s="944"/>
      <c r="G41" s="618">
        <f>SUM(G40)</f>
        <v>0.64665742713065277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168.98376751592855</v>
      </c>
      <c r="D43" s="610"/>
      <c r="E43" s="613">
        <f>E$37+E$42+E$41</f>
        <v>171.64544306729377</v>
      </c>
      <c r="F43" s="610"/>
      <c r="G43" s="236">
        <f>G$37+G$42+G$41</f>
        <v>168.83893216509611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157.12376751592853</v>
      </c>
      <c r="D46" s="610"/>
      <c r="E46" s="641">
        <f>E$43-E44-E45+F$38</f>
        <v>159.58544306729377</v>
      </c>
      <c r="F46" s="610"/>
      <c r="G46" s="642">
        <f>G$43-G44-G45+H$38</f>
        <v>156.98893216509612</v>
      </c>
      <c r="H46" s="573"/>
    </row>
    <row r="47" spans="1:8">
      <c r="B47" s="503" t="s">
        <v>445</v>
      </c>
      <c r="C47" s="644"/>
      <c r="D47" s="696" t="str">
        <f>CONCATENATE("+ ",ROUND((C$46*0.08),2))</f>
        <v>+ 12.57</v>
      </c>
      <c r="E47" s="644"/>
      <c r="F47" s="627" t="str">
        <f>CONCATENATE("+ ",ROUND((E$46*0.08),2))</f>
        <v>+ 12.77</v>
      </c>
      <c r="G47" s="645"/>
      <c r="H47" s="627" t="str">
        <f>CONCATENATE("+ ",ROUND((G$46*0.08),2))</f>
        <v>+ 12.56</v>
      </c>
    </row>
    <row r="48" spans="1:8" ht="15" thickBot="1">
      <c r="B48" s="646" t="s">
        <v>449</v>
      </c>
      <c r="C48" s="697" t="str">
        <f>D47</f>
        <v>+ 12.57</v>
      </c>
      <c r="D48" s="632"/>
      <c r="E48" s="631" t="str">
        <f>F47</f>
        <v>+ 12.77</v>
      </c>
      <c r="F48" s="632"/>
      <c r="G48" s="631" t="str">
        <f>H47</f>
        <v>+ 12.56</v>
      </c>
      <c r="H48" s="632"/>
    </row>
    <row r="49" spans="1:9" s="392" customFormat="1" ht="15" thickBot="1">
      <c r="B49" s="647" t="s">
        <v>452</v>
      </c>
      <c r="C49" s="648">
        <f>C$46+C$48+C$44+C$45</f>
        <v>169.69376751592853</v>
      </c>
      <c r="D49" s="649">
        <f>D38+D47</f>
        <v>0.71000000000000085</v>
      </c>
      <c r="E49" s="648">
        <f>E$46+E$48+E$44+E$45</f>
        <v>172.35544306729378</v>
      </c>
      <c r="F49" s="649">
        <f>F38+F47</f>
        <v>0.70999999999999908</v>
      </c>
      <c r="G49" s="650">
        <f>G$46+G$48+G$44+G$45</f>
        <v>169.54893216509612</v>
      </c>
      <c r="H49" s="651">
        <f>H38+H47</f>
        <v>0.71000000000000085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Sheet133"/>
  <dimension ref="B2:K31"/>
  <sheetViews>
    <sheetView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774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Wajir!D21</f>
        <v>8.19</v>
      </c>
      <c r="E21" s="168">
        <f>Wajir!E21</f>
        <v>8.19</v>
      </c>
      <c r="F21" s="168">
        <f>Wajir!F21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3.514463365079703</v>
      </c>
      <c r="E23" s="283">
        <f t="shared" ref="E23:F23" si="0">$G$23*$G$8</f>
        <v>3.514463365079703</v>
      </c>
      <c r="F23" s="283">
        <f t="shared" si="0"/>
        <v>3.514463365079703</v>
      </c>
      <c r="G23" s="284">
        <f>'Delivery &gt;40km-Sept 2013'!E24*I23/1000</f>
        <v>3.0297097974825027</v>
      </c>
      <c r="H23" s="262" t="s">
        <v>127</v>
      </c>
      <c r="I23" s="259">
        <v>253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160.49956625478885</v>
      </c>
      <c r="E25" s="285">
        <f>E19+E21+E23</f>
        <v>162.94962070305274</v>
      </c>
      <c r="F25" s="285">
        <f>F19+F21+F23</f>
        <v>160.37970410196573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Sheet134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Doldo!G23</f>
        <v>3.0297097974825027</v>
      </c>
      <c r="D40" s="943"/>
      <c r="E40" s="880">
        <f>C40</f>
        <v>3.0297097974825027</v>
      </c>
      <c r="F40" s="943"/>
      <c r="G40" s="613">
        <f>C40</f>
        <v>3.0297097974825027</v>
      </c>
      <c r="H40" s="943"/>
    </row>
    <row r="41" spans="1:8" s="392" customFormat="1">
      <c r="A41" s="605"/>
      <c r="B41" s="617" t="s">
        <v>446</v>
      </c>
      <c r="C41" s="618">
        <f>SUM(C40)</f>
        <v>3.0297097974825027</v>
      </c>
      <c r="D41" s="618"/>
      <c r="E41" s="626">
        <f>SUM(E40)</f>
        <v>3.0297097974825027</v>
      </c>
      <c r="F41" s="944"/>
      <c r="G41" s="618">
        <f>SUM(G40)</f>
        <v>3.0297097974825027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171.36681988628038</v>
      </c>
      <c r="D43" s="610"/>
      <c r="E43" s="613">
        <f>E$37+E$42+E$41</f>
        <v>174.0284954376456</v>
      </c>
      <c r="F43" s="610"/>
      <c r="G43" s="236">
        <f>G$37+G$42+G$41</f>
        <v>171.22198453544794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159.50681988628037</v>
      </c>
      <c r="D46" s="610"/>
      <c r="E46" s="641">
        <f>E$43-E44-E45+F$38</f>
        <v>161.9684954376456</v>
      </c>
      <c r="F46" s="610"/>
      <c r="G46" s="642">
        <f>G$43-G44-G45+H$38</f>
        <v>159.37198453544795</v>
      </c>
      <c r="H46" s="573"/>
    </row>
    <row r="47" spans="1:8">
      <c r="B47" s="503" t="s">
        <v>445</v>
      </c>
      <c r="C47" s="644"/>
      <c r="D47" s="696" t="str">
        <f>CONCATENATE("+ ",ROUND((C$46*0.08),2))</f>
        <v>+ 12.76</v>
      </c>
      <c r="E47" s="644"/>
      <c r="F47" s="627" t="str">
        <f>CONCATENATE("+ ",ROUND((E$46*0.08),2))</f>
        <v>+ 12.96</v>
      </c>
      <c r="G47" s="645"/>
      <c r="H47" s="627" t="str">
        <f>CONCATENATE("+ ",ROUND((G$46*0.08),2))</f>
        <v>+ 12.75</v>
      </c>
    </row>
    <row r="48" spans="1:8" ht="15" thickBot="1">
      <c r="B48" s="646" t="s">
        <v>449</v>
      </c>
      <c r="C48" s="697" t="str">
        <f>D47</f>
        <v>+ 12.76</v>
      </c>
      <c r="D48" s="632"/>
      <c r="E48" s="631" t="str">
        <f>F47</f>
        <v>+ 12.96</v>
      </c>
      <c r="F48" s="632"/>
      <c r="G48" s="631" t="str">
        <f>H47</f>
        <v>+ 12.75</v>
      </c>
      <c r="H48" s="632"/>
    </row>
    <row r="49" spans="1:9" s="392" customFormat="1" ht="15" thickBot="1">
      <c r="B49" s="647" t="s">
        <v>452</v>
      </c>
      <c r="C49" s="648">
        <f>C$46+C$48+C$44+C$45</f>
        <v>172.26681988628036</v>
      </c>
      <c r="D49" s="649">
        <f>D38+D47</f>
        <v>0.90000000000000036</v>
      </c>
      <c r="E49" s="648">
        <f>E$46+E$48+E$44+E$45</f>
        <v>174.92849543764561</v>
      </c>
      <c r="F49" s="649">
        <f>F38+F47</f>
        <v>0.90000000000000036</v>
      </c>
      <c r="G49" s="650">
        <f>G$46+G$48+G$44+G$45</f>
        <v>172.12198453544795</v>
      </c>
      <c r="H49" s="651">
        <f>H38+H47</f>
        <v>0.90000000000000036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Sheet135"/>
  <dimension ref="B2:K31"/>
  <sheetViews>
    <sheetView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773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Wajir!D21</f>
        <v>8.19</v>
      </c>
      <c r="E21" s="168">
        <f>Wajir!E21</f>
        <v>8.19</v>
      </c>
      <c r="F21" s="168">
        <f>Wajir!F21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2.5698645159673714</v>
      </c>
      <c r="E23" s="283">
        <f t="shared" ref="E23:F23" si="0">$G$23*$G$8</f>
        <v>2.5698645159673714</v>
      </c>
      <c r="F23" s="283">
        <f t="shared" si="0"/>
        <v>2.5698645159673714</v>
      </c>
      <c r="G23" s="284">
        <f>'Delivery &gt;40km-Sept 2013'!E24*I23/1000</f>
        <v>2.2154004447994584</v>
      </c>
      <c r="H23" s="262" t="s">
        <v>127</v>
      </c>
      <c r="I23" s="259">
        <v>185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159.55496740567651</v>
      </c>
      <c r="E25" s="285">
        <f>E19+E21+E23</f>
        <v>162.00502185394041</v>
      </c>
      <c r="F25" s="285">
        <f>F19+F21+F23</f>
        <v>159.43510525285339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 codeName="Sheet136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Lamuria!G23</f>
        <v>2.2154004447994584</v>
      </c>
      <c r="D40" s="943"/>
      <c r="E40" s="880">
        <f>C40</f>
        <v>2.2154004447994584</v>
      </c>
      <c r="F40" s="943"/>
      <c r="G40" s="613">
        <f>C40</f>
        <v>2.2154004447994584</v>
      </c>
      <c r="H40" s="943"/>
    </row>
    <row r="41" spans="1:8" s="392" customFormat="1">
      <c r="A41" s="605"/>
      <c r="B41" s="617" t="s">
        <v>446</v>
      </c>
      <c r="C41" s="618">
        <f>SUM(C40)</f>
        <v>2.2154004447994584</v>
      </c>
      <c r="D41" s="618"/>
      <c r="E41" s="626">
        <f>SUM(E40)</f>
        <v>2.2154004447994584</v>
      </c>
      <c r="F41" s="944"/>
      <c r="G41" s="618">
        <f>SUM(G40)</f>
        <v>2.2154004447994584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170.55251053359734</v>
      </c>
      <c r="D43" s="610"/>
      <c r="E43" s="613">
        <f>E$37+E$42+E$41</f>
        <v>173.21418608496256</v>
      </c>
      <c r="F43" s="610"/>
      <c r="G43" s="236">
        <f>G$37+G$42+G$41</f>
        <v>170.4076751827649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158.69251053359733</v>
      </c>
      <c r="D46" s="610"/>
      <c r="E46" s="641">
        <f>E$43-E44-E45+F$38</f>
        <v>161.15418608496256</v>
      </c>
      <c r="F46" s="610"/>
      <c r="G46" s="642">
        <f>G$43-G44-G45+H$38</f>
        <v>158.55767518276491</v>
      </c>
      <c r="H46" s="573"/>
    </row>
    <row r="47" spans="1:8">
      <c r="B47" s="503" t="s">
        <v>445</v>
      </c>
      <c r="C47" s="644"/>
      <c r="D47" s="696" t="str">
        <f>CONCATENATE("+ ",ROUND((C$46*0.08),2))</f>
        <v>+ 12.7</v>
      </c>
      <c r="E47" s="644"/>
      <c r="F47" s="627" t="str">
        <f>CONCATENATE("+ ",ROUND((E$46*0.08),2))</f>
        <v>+ 12.89</v>
      </c>
      <c r="G47" s="645"/>
      <c r="H47" s="627" t="str">
        <f>CONCATENATE("+ ",ROUND((G$46*0.08),2))</f>
        <v>+ 12.68</v>
      </c>
    </row>
    <row r="48" spans="1:8" ht="15" thickBot="1">
      <c r="B48" s="646" t="s">
        <v>449</v>
      </c>
      <c r="C48" s="697" t="str">
        <f>D47</f>
        <v>+ 12.7</v>
      </c>
      <c r="D48" s="632"/>
      <c r="E48" s="631" t="str">
        <f>F47</f>
        <v>+ 12.89</v>
      </c>
      <c r="F48" s="632"/>
      <c r="G48" s="631" t="str">
        <f>H47</f>
        <v>+ 12.68</v>
      </c>
      <c r="H48" s="632"/>
    </row>
    <row r="49" spans="1:9" s="392" customFormat="1" ht="15" thickBot="1">
      <c r="B49" s="647" t="s">
        <v>452</v>
      </c>
      <c r="C49" s="648">
        <f>C$46+C$48+C$44+C$45</f>
        <v>171.39251053359732</v>
      </c>
      <c r="D49" s="649">
        <f>D38+D47</f>
        <v>0.83999999999999986</v>
      </c>
      <c r="E49" s="648">
        <f>E$46+E$48+E$44+E$45</f>
        <v>174.04418608496258</v>
      </c>
      <c r="F49" s="649">
        <f>F38+F47</f>
        <v>0.83000000000000007</v>
      </c>
      <c r="G49" s="650">
        <f>G$46+G$48+G$44+G$45</f>
        <v>171.23767518276492</v>
      </c>
      <c r="H49" s="651">
        <f>H38+H47</f>
        <v>0.83000000000000007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 codeName="Sheet137"/>
  <dimension ref="B2:K31"/>
  <sheetViews>
    <sheetView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771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Wajir!D21</f>
        <v>8.19</v>
      </c>
      <c r="E21" s="168">
        <f>Wajir!E21</f>
        <v>8.19</v>
      </c>
      <c r="F21" s="168">
        <f>Wajir!F21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3.5005722055339334</v>
      </c>
      <c r="E23" s="283">
        <f t="shared" ref="E23:F23" si="0">$G$23*$G$8</f>
        <v>3.5005722055339334</v>
      </c>
      <c r="F23" s="283">
        <f t="shared" si="0"/>
        <v>3.5005722055339334</v>
      </c>
      <c r="G23" s="284">
        <f>'Delivery &gt;40km-Sept 2013'!E24*I23/1000</f>
        <v>3.0177346599430463</v>
      </c>
      <c r="H23" s="262" t="s">
        <v>127</v>
      </c>
      <c r="I23" s="259">
        <v>252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160.48567509524307</v>
      </c>
      <c r="E25" s="285">
        <f>E19+E21+E23</f>
        <v>162.93572954350697</v>
      </c>
      <c r="F25" s="285">
        <f>F19+F21+F23</f>
        <v>160.36581294241995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 codeName="Sheet138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Sipili!G23</f>
        <v>3.0177346599430463</v>
      </c>
      <c r="D40" s="943"/>
      <c r="E40" s="880">
        <f>C40</f>
        <v>3.0177346599430463</v>
      </c>
      <c r="F40" s="943"/>
      <c r="G40" s="613">
        <f>C40</f>
        <v>3.0177346599430463</v>
      </c>
      <c r="H40" s="943"/>
    </row>
    <row r="41" spans="1:8" s="392" customFormat="1">
      <c r="A41" s="605"/>
      <c r="B41" s="617" t="s">
        <v>446</v>
      </c>
      <c r="C41" s="618">
        <f>SUM(C40)</f>
        <v>3.0177346599430463</v>
      </c>
      <c r="D41" s="618"/>
      <c r="E41" s="626">
        <f>SUM(E40)</f>
        <v>3.0177346599430463</v>
      </c>
      <c r="F41" s="944"/>
      <c r="G41" s="618">
        <f>SUM(G40)</f>
        <v>3.0177346599430463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171.35484474874093</v>
      </c>
      <c r="D43" s="610"/>
      <c r="E43" s="613">
        <f>E$37+E$42+E$41</f>
        <v>174.01652030010615</v>
      </c>
      <c r="F43" s="610"/>
      <c r="G43" s="236">
        <f>G$37+G$42+G$41</f>
        <v>171.21000939790849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159.49484474874095</v>
      </c>
      <c r="D46" s="610"/>
      <c r="E46" s="641">
        <f>E$43-E44-E45+F$38</f>
        <v>161.95652030010615</v>
      </c>
      <c r="F46" s="610"/>
      <c r="G46" s="642">
        <f>G$43-G44-G45+H$38</f>
        <v>159.3600093979085</v>
      </c>
      <c r="H46" s="573"/>
    </row>
    <row r="47" spans="1:8">
      <c r="B47" s="503" t="s">
        <v>445</v>
      </c>
      <c r="C47" s="644"/>
      <c r="D47" s="696" t="str">
        <f>CONCATENATE("+ ",ROUND((C$46*0.08),2))</f>
        <v>+ 12.76</v>
      </c>
      <c r="E47" s="644"/>
      <c r="F47" s="627" t="str">
        <f>CONCATENATE("+ ",ROUND((E$46*0.08),2))</f>
        <v>+ 12.96</v>
      </c>
      <c r="G47" s="645"/>
      <c r="H47" s="627" t="str">
        <f>CONCATENATE("+ ",ROUND((G$46*0.08),2))</f>
        <v>+ 12.75</v>
      </c>
    </row>
    <row r="48" spans="1:8" ht="15" thickBot="1">
      <c r="B48" s="646" t="s">
        <v>449</v>
      </c>
      <c r="C48" s="697" t="str">
        <f>D47</f>
        <v>+ 12.76</v>
      </c>
      <c r="D48" s="632"/>
      <c r="E48" s="631" t="str">
        <f>F47</f>
        <v>+ 12.96</v>
      </c>
      <c r="F48" s="632"/>
      <c r="G48" s="631" t="str">
        <f>H47</f>
        <v>+ 12.75</v>
      </c>
      <c r="H48" s="632"/>
    </row>
    <row r="49" spans="1:9" s="392" customFormat="1" ht="15" thickBot="1">
      <c r="B49" s="647" t="s">
        <v>452</v>
      </c>
      <c r="C49" s="648">
        <f>C$46+C$48+C$44+C$45</f>
        <v>172.25484474874094</v>
      </c>
      <c r="D49" s="649">
        <f>D38+D47</f>
        <v>0.90000000000000036</v>
      </c>
      <c r="E49" s="648">
        <f>E$46+E$48+E$44+E$45</f>
        <v>174.91652030010616</v>
      </c>
      <c r="F49" s="649">
        <f>F38+F47</f>
        <v>0.90000000000000036</v>
      </c>
      <c r="G49" s="650">
        <f>G$46+G$48+G$44+G$45</f>
        <v>172.1100093979085</v>
      </c>
      <c r="H49" s="651">
        <f>H38+H47</f>
        <v>0.90000000000000036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 codeName="Sheet139"/>
  <dimension ref="B2:K31"/>
  <sheetViews>
    <sheetView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770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Wajir!D21</f>
        <v>8.19</v>
      </c>
      <c r="E21" s="168">
        <f>Wajir!E21</f>
        <v>8.19</v>
      </c>
      <c r="F21" s="168">
        <f>Wajir!F21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3.0977285787066156</v>
      </c>
      <c r="E23" s="283">
        <f t="shared" ref="E23:F23" si="0">$G$23*$G$8</f>
        <v>3.0977285787066156</v>
      </c>
      <c r="F23" s="283">
        <f t="shared" si="0"/>
        <v>3.0977285787066156</v>
      </c>
      <c r="G23" s="284">
        <f>'Delivery &gt;40km-Sept 2013'!E24*I23/1000</f>
        <v>2.6704556712988068</v>
      </c>
      <c r="H23" s="262" t="s">
        <v>127</v>
      </c>
      <c r="I23" s="259">
        <v>223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160.08283146841575</v>
      </c>
      <c r="E25" s="285">
        <f>E19+E21+E23</f>
        <v>162.53288591667965</v>
      </c>
      <c r="F25" s="285">
        <f>F19+F21+F23</f>
        <v>159.96296931559263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 codeName="Sheet140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Marimanti!G23</f>
        <v>2.6704556712988068</v>
      </c>
      <c r="D40" s="943"/>
      <c r="E40" s="880">
        <f>C40</f>
        <v>2.6704556712988068</v>
      </c>
      <c r="F40" s="943"/>
      <c r="G40" s="613">
        <f>C40</f>
        <v>2.6704556712988068</v>
      </c>
      <c r="H40" s="943"/>
    </row>
    <row r="41" spans="1:8" s="392" customFormat="1">
      <c r="A41" s="605"/>
      <c r="B41" s="617" t="s">
        <v>446</v>
      </c>
      <c r="C41" s="618">
        <f>SUM(C40)</f>
        <v>2.6704556712988068</v>
      </c>
      <c r="D41" s="618"/>
      <c r="E41" s="626">
        <f>SUM(E40)</f>
        <v>2.6704556712988068</v>
      </c>
      <c r="F41" s="944"/>
      <c r="G41" s="618">
        <f>SUM(G40)</f>
        <v>2.6704556712988068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171.0075657600967</v>
      </c>
      <c r="D43" s="610"/>
      <c r="E43" s="613">
        <f>E$37+E$42+E$41</f>
        <v>173.66924131146192</v>
      </c>
      <c r="F43" s="610"/>
      <c r="G43" s="236">
        <f>G$37+G$42+G$41</f>
        <v>170.86273040926426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159.14756576009671</v>
      </c>
      <c r="D46" s="610"/>
      <c r="E46" s="641">
        <f>E$43-E44-E45+F$38</f>
        <v>161.60924131146191</v>
      </c>
      <c r="F46" s="610"/>
      <c r="G46" s="642">
        <f>G$43-G44-G45+H$38</f>
        <v>159.01273040926426</v>
      </c>
      <c r="H46" s="573"/>
    </row>
    <row r="47" spans="1:8">
      <c r="B47" s="503" t="s">
        <v>445</v>
      </c>
      <c r="C47" s="644"/>
      <c r="D47" s="696" t="str">
        <f>CONCATENATE("+ ",ROUND((C$46*0.08),2))</f>
        <v>+ 12.73</v>
      </c>
      <c r="E47" s="644"/>
      <c r="F47" s="627" t="str">
        <f>CONCATENATE("+ ",ROUND((E$46*0.08),2))</f>
        <v>+ 12.93</v>
      </c>
      <c r="G47" s="645"/>
      <c r="H47" s="627" t="str">
        <f>CONCATENATE("+ ",ROUND((G$46*0.08),2))</f>
        <v>+ 12.72</v>
      </c>
    </row>
    <row r="48" spans="1:8" ht="15" thickBot="1">
      <c r="B48" s="646" t="s">
        <v>449</v>
      </c>
      <c r="C48" s="697" t="str">
        <f>D47</f>
        <v>+ 12.73</v>
      </c>
      <c r="D48" s="632"/>
      <c r="E48" s="631" t="str">
        <f>F47</f>
        <v>+ 12.93</v>
      </c>
      <c r="F48" s="632"/>
      <c r="G48" s="631" t="str">
        <f>H47</f>
        <v>+ 12.72</v>
      </c>
      <c r="H48" s="632"/>
    </row>
    <row r="49" spans="1:9" s="392" customFormat="1" ht="15" thickBot="1">
      <c r="B49" s="647" t="s">
        <v>452</v>
      </c>
      <c r="C49" s="648">
        <f>C$46+C$48+C$44+C$45</f>
        <v>171.8775657600967</v>
      </c>
      <c r="D49" s="649">
        <f>D38+D47</f>
        <v>0.87000000000000099</v>
      </c>
      <c r="E49" s="648">
        <f>E$46+E$48+E$44+E$45</f>
        <v>174.53924131146192</v>
      </c>
      <c r="F49" s="649">
        <f>F38+F47</f>
        <v>0.86999999999999922</v>
      </c>
      <c r="G49" s="650">
        <f>G$46+G$48+G$44+G$45</f>
        <v>171.73273040926426</v>
      </c>
      <c r="H49" s="651">
        <f>H38+H47</f>
        <v>0.87000000000000099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 codeName="Sheet141"/>
  <dimension ref="B2:K31"/>
  <sheetViews>
    <sheetView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769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Wajir!D21</f>
        <v>8.19</v>
      </c>
      <c r="E21" s="168">
        <f>Wajir!E21</f>
        <v>8.19</v>
      </c>
      <c r="F21" s="168">
        <f>Wajir!F21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2.3892794418723673</v>
      </c>
      <c r="E23" s="283">
        <f t="shared" ref="E23:F23" si="0">$G$23*$G$8</f>
        <v>2.3892794418723673</v>
      </c>
      <c r="F23" s="283">
        <f t="shared" si="0"/>
        <v>2.3892794418723673</v>
      </c>
      <c r="G23" s="284">
        <f>'Delivery &gt;40km-Sept 2013'!E24*I23/1000</f>
        <v>2.0597236567865238</v>
      </c>
      <c r="H23" s="262" t="s">
        <v>127</v>
      </c>
      <c r="I23" s="259">
        <v>172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159.3743823315815</v>
      </c>
      <c r="E25" s="285">
        <f>E19+E21+E23</f>
        <v>161.8244367798454</v>
      </c>
      <c r="F25" s="285">
        <f>F19+F21+F23</f>
        <v>159.25452017875838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 codeName="Sheet142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Mutuobare!G23</f>
        <v>2.0597236567865238</v>
      </c>
      <c r="D40" s="943"/>
      <c r="E40" s="880">
        <f>C40</f>
        <v>2.0597236567865238</v>
      </c>
      <c r="F40" s="943"/>
      <c r="G40" s="613">
        <f>C40</f>
        <v>2.0597236567865238</v>
      </c>
      <c r="H40" s="943"/>
    </row>
    <row r="41" spans="1:8" s="392" customFormat="1">
      <c r="A41" s="605"/>
      <c r="B41" s="617" t="s">
        <v>446</v>
      </c>
      <c r="C41" s="618">
        <f>SUM(C40)</f>
        <v>2.0597236567865238</v>
      </c>
      <c r="D41" s="618"/>
      <c r="E41" s="626">
        <f>SUM(E40)</f>
        <v>2.0597236567865238</v>
      </c>
      <c r="F41" s="944"/>
      <c r="G41" s="618">
        <f>SUM(G40)</f>
        <v>2.0597236567865238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170.39683374558442</v>
      </c>
      <c r="D43" s="610"/>
      <c r="E43" s="613">
        <f>E$37+E$42+E$41</f>
        <v>173.05850929694964</v>
      </c>
      <c r="F43" s="610"/>
      <c r="G43" s="236">
        <f>G$37+G$42+G$41</f>
        <v>170.25199839475198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158.53683374558443</v>
      </c>
      <c r="D46" s="610"/>
      <c r="E46" s="641">
        <f>E$43-E44-E45+F$38</f>
        <v>160.99850929694963</v>
      </c>
      <c r="F46" s="610"/>
      <c r="G46" s="642">
        <f>G$43-G44-G45+H$38</f>
        <v>158.40199839475198</v>
      </c>
      <c r="H46" s="573"/>
    </row>
    <row r="47" spans="1:8">
      <c r="B47" s="503" t="s">
        <v>445</v>
      </c>
      <c r="C47" s="644"/>
      <c r="D47" s="696" t="str">
        <f>CONCATENATE("+ ",ROUND((C$46*0.08),2))</f>
        <v>+ 12.68</v>
      </c>
      <c r="E47" s="644"/>
      <c r="F47" s="627" t="str">
        <f>CONCATENATE("+ ",ROUND((E$46*0.08),2))</f>
        <v>+ 12.88</v>
      </c>
      <c r="G47" s="645"/>
      <c r="H47" s="627" t="str">
        <f>CONCATENATE("+ ",ROUND((G$46*0.08),2))</f>
        <v>+ 12.67</v>
      </c>
    </row>
    <row r="48" spans="1:8" ht="15" thickBot="1">
      <c r="B48" s="646" t="s">
        <v>449</v>
      </c>
      <c r="C48" s="697" t="str">
        <f>D47</f>
        <v>+ 12.68</v>
      </c>
      <c r="D48" s="632"/>
      <c r="E48" s="631" t="str">
        <f>F47</f>
        <v>+ 12.88</v>
      </c>
      <c r="F48" s="632"/>
      <c r="G48" s="631" t="str">
        <f>H47</f>
        <v>+ 12.67</v>
      </c>
      <c r="H48" s="632"/>
    </row>
    <row r="49" spans="1:9" s="392" customFormat="1" ht="15" thickBot="1">
      <c r="B49" s="647" t="s">
        <v>452</v>
      </c>
      <c r="C49" s="648">
        <f>C$46+C$48+C$44+C$45</f>
        <v>171.21683374558444</v>
      </c>
      <c r="D49" s="649">
        <f>D38+D47</f>
        <v>0.82000000000000028</v>
      </c>
      <c r="E49" s="648">
        <f>E$46+E$48+E$44+E$45</f>
        <v>173.87850929694963</v>
      </c>
      <c r="F49" s="649">
        <f>F38+F47</f>
        <v>0.82000000000000028</v>
      </c>
      <c r="G49" s="650">
        <f>G$46+G$48+G$44+G$45</f>
        <v>171.07199839475197</v>
      </c>
      <c r="H49" s="651">
        <f>H38+H47</f>
        <v>0.82000000000000028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 codeName="Sheet143"/>
  <dimension ref="B2:K31"/>
  <sheetViews>
    <sheetView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768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Wajir!D21</f>
        <v>8.19</v>
      </c>
      <c r="E21" s="168">
        <f>Wajir!E21</f>
        <v>8.19</v>
      </c>
      <c r="F21" s="168">
        <f>Wajir!F21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10.084981830228712</v>
      </c>
      <c r="E23" s="283">
        <f t="shared" ref="E23:F23" si="0">$G$23*$G$8</f>
        <v>10.084981830228712</v>
      </c>
      <c r="F23" s="283">
        <f t="shared" si="0"/>
        <v>10.084981830228712</v>
      </c>
      <c r="G23" s="284">
        <f>'Delivery &gt;40km-Sept 2013'!E24*I23/1000</f>
        <v>8.6939498536454423</v>
      </c>
      <c r="H23" s="262" t="s">
        <v>127</v>
      </c>
      <c r="I23" s="259">
        <v>726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167.07008471993785</v>
      </c>
      <c r="E25" s="285">
        <f>E19+E21+E23</f>
        <v>169.52013916820175</v>
      </c>
      <c r="F25" s="285">
        <f>F19+F21+F23</f>
        <v>166.95022256711474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 codeName="Sheet144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'North Horr'!G23</f>
        <v>8.6939498536454423</v>
      </c>
      <c r="D40" s="943"/>
      <c r="E40" s="880">
        <f>C40</f>
        <v>8.6939498536454423</v>
      </c>
      <c r="F40" s="943"/>
      <c r="G40" s="613">
        <f>C40</f>
        <v>8.6939498536454423</v>
      </c>
      <c r="H40" s="943"/>
    </row>
    <row r="41" spans="1:8" s="392" customFormat="1">
      <c r="A41" s="605"/>
      <c r="B41" s="617" t="s">
        <v>446</v>
      </c>
      <c r="C41" s="618">
        <f>SUM(C40)</f>
        <v>8.6939498536454423</v>
      </c>
      <c r="D41" s="618"/>
      <c r="E41" s="626">
        <f>SUM(E40)</f>
        <v>8.6939498536454423</v>
      </c>
      <c r="F41" s="944"/>
      <c r="G41" s="618">
        <f>SUM(G40)</f>
        <v>8.6939498536454423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177.03105994244333</v>
      </c>
      <c r="D43" s="610"/>
      <c r="E43" s="613">
        <f>E$37+E$42+E$41</f>
        <v>179.69273549380856</v>
      </c>
      <c r="F43" s="610"/>
      <c r="G43" s="236">
        <f>G$37+G$42+G$41</f>
        <v>176.8862245916109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165.17105994244332</v>
      </c>
      <c r="D46" s="610"/>
      <c r="E46" s="641">
        <f>E$43-E44-E45+F$38</f>
        <v>167.63273549380855</v>
      </c>
      <c r="F46" s="610"/>
      <c r="G46" s="642">
        <f>G$43-G44-G45+H$38</f>
        <v>165.0362245916109</v>
      </c>
      <c r="H46" s="573"/>
    </row>
    <row r="47" spans="1:8">
      <c r="B47" s="503" t="s">
        <v>445</v>
      </c>
      <c r="C47" s="644"/>
      <c r="D47" s="696" t="str">
        <f>CONCATENATE("+ ",ROUND((C$46*0.08),2))</f>
        <v>+ 13.21</v>
      </c>
      <c r="E47" s="644"/>
      <c r="F47" s="627" t="str">
        <f>CONCATENATE("+ ",ROUND((E$46*0.08),2))</f>
        <v>+ 13.41</v>
      </c>
      <c r="G47" s="645"/>
      <c r="H47" s="627" t="str">
        <f>CONCATENATE("+ ",ROUND((G$46*0.08),2))</f>
        <v>+ 13.2</v>
      </c>
    </row>
    <row r="48" spans="1:8" ht="15" thickBot="1">
      <c r="B48" s="646" t="s">
        <v>449</v>
      </c>
      <c r="C48" s="697" t="str">
        <f>D47</f>
        <v>+ 13.21</v>
      </c>
      <c r="D48" s="632"/>
      <c r="E48" s="631" t="str">
        <f>F47</f>
        <v>+ 13.41</v>
      </c>
      <c r="F48" s="632"/>
      <c r="G48" s="631" t="str">
        <f>H47</f>
        <v>+ 13.2</v>
      </c>
      <c r="H48" s="632"/>
    </row>
    <row r="49" spans="1:9" s="392" customFormat="1" ht="15" thickBot="1">
      <c r="B49" s="647" t="s">
        <v>452</v>
      </c>
      <c r="C49" s="648">
        <f>C$46+C$48+C$44+C$45</f>
        <v>178.38105994244333</v>
      </c>
      <c r="D49" s="649">
        <f>D38+D47</f>
        <v>1.3500000000000014</v>
      </c>
      <c r="E49" s="648">
        <f>E$46+E$48+E$44+E$45</f>
        <v>181.04273549380855</v>
      </c>
      <c r="F49" s="649">
        <f>F38+F47</f>
        <v>1.3499999999999996</v>
      </c>
      <c r="G49" s="650">
        <f>G$46+G$48+G$44+G$45</f>
        <v>178.23622459161089</v>
      </c>
      <c r="H49" s="651">
        <f>H38+H47</f>
        <v>1.3499999999999996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 codeName="Sheet145"/>
  <dimension ref="B2:K31"/>
  <sheetViews>
    <sheetView topLeftCell="B1"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767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Wajir!D21</f>
        <v>8.19</v>
      </c>
      <c r="E21" s="168">
        <f>Wajir!E21</f>
        <v>8.19</v>
      </c>
      <c r="F21" s="168">
        <f>Wajir!F21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8.598627758831368</v>
      </c>
      <c r="E23" s="283">
        <f t="shared" ref="E23:F23" si="0">$G$23*$G$8</f>
        <v>8.598627758831368</v>
      </c>
      <c r="F23" s="283">
        <f t="shared" si="0"/>
        <v>8.598627758831368</v>
      </c>
      <c r="G23" s="284">
        <f>'Delivery &gt;40km-Sept 2013'!E24*I23/1000</f>
        <v>7.4126101369235942</v>
      </c>
      <c r="H23" s="262" t="s">
        <v>127</v>
      </c>
      <c r="I23" s="259">
        <v>619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165.5837306485405</v>
      </c>
      <c r="E25" s="285">
        <f>E19+E21+E23</f>
        <v>168.03378509680439</v>
      </c>
      <c r="F25" s="285">
        <f>F19+F21+F23</f>
        <v>165.46386849571738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 codeName="Sheet146"/>
  <dimension ref="A2:M68"/>
  <sheetViews>
    <sheetView topLeftCell="A42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Maikona!G23</f>
        <v>7.4126101369235942</v>
      </c>
      <c r="D40" s="943"/>
      <c r="E40" s="880">
        <f>C40</f>
        <v>7.4126101369235942</v>
      </c>
      <c r="F40" s="943"/>
      <c r="G40" s="613">
        <f>C40</f>
        <v>7.4126101369235942</v>
      </c>
      <c r="H40" s="943"/>
    </row>
    <row r="41" spans="1:8" s="392" customFormat="1">
      <c r="A41" s="605"/>
      <c r="B41" s="617" t="s">
        <v>446</v>
      </c>
      <c r="C41" s="618">
        <f>SUM(C40)</f>
        <v>7.4126101369235942</v>
      </c>
      <c r="D41" s="618"/>
      <c r="E41" s="626">
        <f>SUM(E40)</f>
        <v>7.4126101369235942</v>
      </c>
      <c r="F41" s="944"/>
      <c r="G41" s="618">
        <f>SUM(G40)</f>
        <v>7.4126101369235942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175.74972022572149</v>
      </c>
      <c r="D43" s="610"/>
      <c r="E43" s="613">
        <f>E$37+E$42+E$41</f>
        <v>178.41139577708671</v>
      </c>
      <c r="F43" s="610"/>
      <c r="G43" s="236">
        <f>G$37+G$42+G$41</f>
        <v>175.60488487488905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163.88972022572148</v>
      </c>
      <c r="D46" s="610"/>
      <c r="E46" s="641">
        <f>E$43-E44-E45+F$38</f>
        <v>166.35139577708671</v>
      </c>
      <c r="F46" s="610"/>
      <c r="G46" s="642">
        <f>G$43-G44-G45+H$38</f>
        <v>163.75488487488906</v>
      </c>
      <c r="H46" s="573"/>
    </row>
    <row r="47" spans="1:8">
      <c r="B47" s="503" t="s">
        <v>445</v>
      </c>
      <c r="C47" s="644"/>
      <c r="D47" s="696" t="str">
        <f>CONCATENATE("+ ",ROUND((C$46*0.08),2))</f>
        <v>+ 13.11</v>
      </c>
      <c r="E47" s="644"/>
      <c r="F47" s="627" t="str">
        <f>CONCATENATE("+ ",ROUND((E$46*0.08),2))</f>
        <v>+ 13.31</v>
      </c>
      <c r="G47" s="645"/>
      <c r="H47" s="627" t="str">
        <f>CONCATENATE("+ ",ROUND((G$46*0.08),2))</f>
        <v>+ 13.1</v>
      </c>
    </row>
    <row r="48" spans="1:8" ht="15" thickBot="1">
      <c r="B48" s="646" t="s">
        <v>449</v>
      </c>
      <c r="C48" s="697" t="str">
        <f>D47</f>
        <v>+ 13.11</v>
      </c>
      <c r="D48" s="632"/>
      <c r="E48" s="631" t="str">
        <f>F47</f>
        <v>+ 13.31</v>
      </c>
      <c r="F48" s="632"/>
      <c r="G48" s="631" t="str">
        <f>H47</f>
        <v>+ 13.1</v>
      </c>
      <c r="H48" s="632"/>
    </row>
    <row r="49" spans="1:9" s="392" customFormat="1" ht="15" thickBot="1">
      <c r="B49" s="647" t="s">
        <v>452</v>
      </c>
      <c r="C49" s="648">
        <f>C$46+C$48+C$44+C$45</f>
        <v>176.99972022572149</v>
      </c>
      <c r="D49" s="649">
        <f>D38+D47</f>
        <v>1.25</v>
      </c>
      <c r="E49" s="648">
        <f>E$46+E$48+E$44+E$45</f>
        <v>179.66139577708671</v>
      </c>
      <c r="F49" s="649">
        <f>F38+F47</f>
        <v>1.25</v>
      </c>
      <c r="G49" s="650">
        <f>G$46+G$48+G$44+G$45</f>
        <v>176.85488487488905</v>
      </c>
      <c r="H49" s="651">
        <f>H38+H47</f>
        <v>1.25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 codeName="Sheet147"/>
  <dimension ref="B2:K31"/>
  <sheetViews>
    <sheetView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766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Wajir!D21</f>
        <v>8.19</v>
      </c>
      <c r="E21" s="168">
        <f>Wajir!E21</f>
        <v>8.19</v>
      </c>
      <c r="F21" s="168">
        <f>Wajir!F21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9.1820564597536904</v>
      </c>
      <c r="E23" s="283">
        <f t="shared" ref="E23:F23" si="0">$G$23*$G$8</f>
        <v>9.1820564597536904</v>
      </c>
      <c r="F23" s="283">
        <f t="shared" si="0"/>
        <v>9.1820564597536904</v>
      </c>
      <c r="G23" s="284">
        <f>'Delivery &gt;40km-Sept 2013'!E24*I23/1000</f>
        <v>7.9155659135807683</v>
      </c>
      <c r="H23" s="262" t="s">
        <v>127</v>
      </c>
      <c r="I23" s="259">
        <v>661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166.16715934946282</v>
      </c>
      <c r="E25" s="285">
        <f>E19+E21+E23</f>
        <v>168.61721379772672</v>
      </c>
      <c r="F25" s="285">
        <f>F19+F21+F23</f>
        <v>166.0472971966397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 codeName="Sheet148"/>
  <dimension ref="A2:M68"/>
  <sheetViews>
    <sheetView topLeftCell="A41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Kalacha!G23</f>
        <v>7.9155659135807683</v>
      </c>
      <c r="D40" s="943"/>
      <c r="E40" s="880">
        <f>C40</f>
        <v>7.9155659135807683</v>
      </c>
      <c r="F40" s="943"/>
      <c r="G40" s="613">
        <f>C40</f>
        <v>7.9155659135807683</v>
      </c>
      <c r="H40" s="943"/>
    </row>
    <row r="41" spans="1:8" s="392" customFormat="1">
      <c r="A41" s="605"/>
      <c r="B41" s="617" t="s">
        <v>446</v>
      </c>
      <c r="C41" s="618">
        <f>SUM(C40)</f>
        <v>7.9155659135807683</v>
      </c>
      <c r="D41" s="618"/>
      <c r="E41" s="626">
        <f>SUM(E40)</f>
        <v>7.9155659135807683</v>
      </c>
      <c r="F41" s="944"/>
      <c r="G41" s="618">
        <f>SUM(G40)</f>
        <v>7.9155659135807683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176.25267600237865</v>
      </c>
      <c r="D43" s="610"/>
      <c r="E43" s="613">
        <f>E$37+E$42+E$41</f>
        <v>178.91435155374387</v>
      </c>
      <c r="F43" s="610"/>
      <c r="G43" s="236">
        <f>G$37+G$42+G$41</f>
        <v>176.10784065154621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164.39267600237866</v>
      </c>
      <c r="D46" s="610"/>
      <c r="E46" s="641">
        <f>E$43-E44-E45+F$38</f>
        <v>166.85435155374387</v>
      </c>
      <c r="F46" s="610"/>
      <c r="G46" s="642">
        <f>G$43-G44-G45+H$38</f>
        <v>164.25784065154622</v>
      </c>
      <c r="H46" s="573"/>
    </row>
    <row r="47" spans="1:8">
      <c r="B47" s="503" t="s">
        <v>445</v>
      </c>
      <c r="C47" s="644"/>
      <c r="D47" s="696" t="str">
        <f>CONCATENATE("+ ",ROUND((C$46*0.08),2))</f>
        <v>+ 13.15</v>
      </c>
      <c r="E47" s="644"/>
      <c r="F47" s="627" t="str">
        <f>CONCATENATE("+ ",ROUND((E$46*0.08),2))</f>
        <v>+ 13.35</v>
      </c>
      <c r="G47" s="645"/>
      <c r="H47" s="627" t="str">
        <f>CONCATENATE("+ ",ROUND((G$46*0.08),2))</f>
        <v>+ 13.14</v>
      </c>
    </row>
    <row r="48" spans="1:8" ht="15" thickBot="1">
      <c r="B48" s="646" t="s">
        <v>449</v>
      </c>
      <c r="C48" s="697" t="str">
        <f>D47</f>
        <v>+ 13.15</v>
      </c>
      <c r="D48" s="632"/>
      <c r="E48" s="631" t="str">
        <f>F47</f>
        <v>+ 13.35</v>
      </c>
      <c r="F48" s="632"/>
      <c r="G48" s="631" t="str">
        <f>H47</f>
        <v>+ 13.14</v>
      </c>
      <c r="H48" s="632"/>
    </row>
    <row r="49" spans="1:9" s="392" customFormat="1" ht="15" thickBot="1">
      <c r="B49" s="647" t="s">
        <v>452</v>
      </c>
      <c r="C49" s="648">
        <f>C$46+C$48+C$44+C$45</f>
        <v>177.54267600237867</v>
      </c>
      <c r="D49" s="649">
        <f>D38+D47</f>
        <v>1.2900000000000009</v>
      </c>
      <c r="E49" s="648">
        <f>E$46+E$48+E$44+E$45</f>
        <v>180.20435155374386</v>
      </c>
      <c r="F49" s="649">
        <f>F38+F47</f>
        <v>1.2899999999999991</v>
      </c>
      <c r="G49" s="650">
        <f>G$46+G$48+G$44+G$45</f>
        <v>177.39784065154623</v>
      </c>
      <c r="H49" s="651">
        <f>H38+H47</f>
        <v>1.2900000000000009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 codeName="Sheet149"/>
  <dimension ref="B2:K31"/>
  <sheetViews>
    <sheetView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765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Wajir!D21</f>
        <v>8.19</v>
      </c>
      <c r="E21" s="168">
        <f>Wajir!E21</f>
        <v>8.19</v>
      </c>
      <c r="F21" s="168">
        <f>Wajir!F21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9.2515122574825384</v>
      </c>
      <c r="E23" s="283">
        <f t="shared" ref="E23:F23" si="0">$G$23*$G$8</f>
        <v>9.2515122574825384</v>
      </c>
      <c r="F23" s="283">
        <f t="shared" si="0"/>
        <v>9.2515122574825384</v>
      </c>
      <c r="G23" s="284">
        <f>'Delivery &gt;40km-Sept 2013'!E24*I23/1000</f>
        <v>7.9754416012780514</v>
      </c>
      <c r="H23" s="262" t="s">
        <v>127</v>
      </c>
      <c r="I23" s="259">
        <v>666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166.23661514719169</v>
      </c>
      <c r="E25" s="285">
        <f>E19+E21+E23</f>
        <v>168.68666959545558</v>
      </c>
      <c r="F25" s="285">
        <f>F19+F21+F23</f>
        <v>166.11675299436857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 codeName="Sheet150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Loyangalani!G23</f>
        <v>7.9754416012780514</v>
      </c>
      <c r="D40" s="943"/>
      <c r="E40" s="880">
        <f>C40</f>
        <v>7.9754416012780514</v>
      </c>
      <c r="F40" s="943"/>
      <c r="G40" s="613">
        <f>C40</f>
        <v>7.9754416012780514</v>
      </c>
      <c r="H40" s="943"/>
    </row>
    <row r="41" spans="1:8" s="392" customFormat="1">
      <c r="A41" s="605"/>
      <c r="B41" s="617" t="s">
        <v>446</v>
      </c>
      <c r="C41" s="618">
        <f>SUM(C40)</f>
        <v>7.9754416012780514</v>
      </c>
      <c r="D41" s="618"/>
      <c r="E41" s="626">
        <f>SUM(E40)</f>
        <v>7.9754416012780514</v>
      </c>
      <c r="F41" s="944"/>
      <c r="G41" s="618">
        <f>SUM(G40)</f>
        <v>7.9754416012780514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176.31255169007594</v>
      </c>
      <c r="D43" s="610"/>
      <c r="E43" s="613">
        <f>E$37+E$42+E$41</f>
        <v>178.97422724144116</v>
      </c>
      <c r="F43" s="610"/>
      <c r="G43" s="236">
        <f>G$37+G$42+G$41</f>
        <v>176.1677163392435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164.45255169007595</v>
      </c>
      <c r="D46" s="610"/>
      <c r="E46" s="641">
        <f>E$43-E44-E45+F$38</f>
        <v>166.91422724144115</v>
      </c>
      <c r="F46" s="610"/>
      <c r="G46" s="642">
        <f>G$43-G44-G45+H$38</f>
        <v>164.3177163392435</v>
      </c>
      <c r="H46" s="573"/>
    </row>
    <row r="47" spans="1:8">
      <c r="B47" s="503" t="s">
        <v>445</v>
      </c>
      <c r="C47" s="644"/>
      <c r="D47" s="696" t="str">
        <f>CONCATENATE("+ ",ROUND((C$46*0.08),2))</f>
        <v>+ 13.16</v>
      </c>
      <c r="E47" s="644"/>
      <c r="F47" s="627" t="str">
        <f>CONCATENATE("+ ",ROUND((E$46*0.08),2))</f>
        <v>+ 13.35</v>
      </c>
      <c r="G47" s="645"/>
      <c r="H47" s="627" t="str">
        <f>CONCATENATE("+ ",ROUND((G$46*0.08),2))</f>
        <v>+ 13.15</v>
      </c>
    </row>
    <row r="48" spans="1:8" ht="15" thickBot="1">
      <c r="B48" s="646" t="s">
        <v>449</v>
      </c>
      <c r="C48" s="697" t="str">
        <f>D47</f>
        <v>+ 13.16</v>
      </c>
      <c r="D48" s="632"/>
      <c r="E48" s="631" t="str">
        <f>F47</f>
        <v>+ 13.35</v>
      </c>
      <c r="F48" s="632"/>
      <c r="G48" s="631" t="str">
        <f>H47</f>
        <v>+ 13.15</v>
      </c>
      <c r="H48" s="632"/>
    </row>
    <row r="49" spans="1:9" s="392" customFormat="1" ht="15" thickBot="1">
      <c r="B49" s="647" t="s">
        <v>452</v>
      </c>
      <c r="C49" s="648">
        <f>C$46+C$48+C$44+C$45</f>
        <v>177.61255169007595</v>
      </c>
      <c r="D49" s="649">
        <f>D38+D47</f>
        <v>1.3000000000000007</v>
      </c>
      <c r="E49" s="648">
        <f>E$46+E$48+E$44+E$45</f>
        <v>180.26422724144115</v>
      </c>
      <c r="F49" s="649">
        <f>F38+F47</f>
        <v>1.2899999999999991</v>
      </c>
      <c r="G49" s="650">
        <f>G$46+G$48+G$44+G$45</f>
        <v>177.46771633924351</v>
      </c>
      <c r="H49" s="651">
        <f>H38+H47</f>
        <v>1.3000000000000007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 codeName="Sheet151"/>
  <dimension ref="B2:K31"/>
  <sheetViews>
    <sheetView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764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Wajir!D21</f>
        <v>8.19</v>
      </c>
      <c r="E21" s="168">
        <f>Wajir!E21</f>
        <v>8.19</v>
      </c>
      <c r="F21" s="168">
        <f>Wajir!F21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9.0431448642959946</v>
      </c>
      <c r="E23" s="283">
        <f t="shared" ref="E23:F23" si="0">$G$23*$G$8</f>
        <v>9.0431448642959946</v>
      </c>
      <c r="F23" s="283">
        <f t="shared" si="0"/>
        <v>9.0431448642959946</v>
      </c>
      <c r="G23" s="284">
        <f>'Delivery &gt;40km-Sept 2013'!E24*I23/1000</f>
        <v>7.7958145381862032</v>
      </c>
      <c r="H23" s="262" t="s">
        <v>127</v>
      </c>
      <c r="I23" s="259">
        <v>651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166.02824775400512</v>
      </c>
      <c r="E25" s="285">
        <f>E19+E21+E23</f>
        <v>168.47830220226902</v>
      </c>
      <c r="F25" s="285">
        <f>F19+F21+F23</f>
        <v>165.908385601182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 codeName="Sheet152"/>
  <dimension ref="A2:M68"/>
  <sheetViews>
    <sheetView topLeftCell="A24" workbookViewId="0">
      <selection activeCell="C27" sqref="C27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Turbi!G23</f>
        <v>7.7958145381862032</v>
      </c>
      <c r="D40" s="943"/>
      <c r="E40" s="880">
        <f>C40</f>
        <v>7.7958145381862032</v>
      </c>
      <c r="F40" s="943"/>
      <c r="G40" s="613">
        <f>C40</f>
        <v>7.7958145381862032</v>
      </c>
      <c r="H40" s="943"/>
    </row>
    <row r="41" spans="1:8" s="392" customFormat="1">
      <c r="A41" s="605"/>
      <c r="B41" s="617" t="s">
        <v>446</v>
      </c>
      <c r="C41" s="618">
        <f>SUM(C40)</f>
        <v>7.7958145381862032</v>
      </c>
      <c r="D41" s="618"/>
      <c r="E41" s="626">
        <f>SUM(E40)</f>
        <v>7.7958145381862032</v>
      </c>
      <c r="F41" s="944"/>
      <c r="G41" s="618">
        <f>SUM(G40)</f>
        <v>7.7958145381862032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176.13292462698408</v>
      </c>
      <c r="D43" s="610"/>
      <c r="E43" s="613">
        <f>E$37+E$42+E$41</f>
        <v>178.7946001783493</v>
      </c>
      <c r="F43" s="610"/>
      <c r="G43" s="236">
        <f>G$37+G$42+G$41</f>
        <v>175.98808927615164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164.27292462698409</v>
      </c>
      <c r="D46" s="610"/>
      <c r="E46" s="641">
        <f>E$43-E44-E45+F$38</f>
        <v>166.7346001783493</v>
      </c>
      <c r="F46" s="610"/>
      <c r="G46" s="642">
        <f>G$43-G44-G45+H$38</f>
        <v>164.13808927615165</v>
      </c>
      <c r="H46" s="573"/>
    </row>
    <row r="47" spans="1:8">
      <c r="B47" s="503" t="s">
        <v>445</v>
      </c>
      <c r="C47" s="644"/>
      <c r="D47" s="696" t="str">
        <f>CONCATENATE("+ ",ROUND((C$46*0.08),2))</f>
        <v>+ 13.14</v>
      </c>
      <c r="E47" s="644"/>
      <c r="F47" s="627" t="str">
        <f>CONCATENATE("+ ",ROUND((E$46*0.08),2))</f>
        <v>+ 13.34</v>
      </c>
      <c r="G47" s="645"/>
      <c r="H47" s="627" t="str">
        <f>CONCATENATE("+ ",ROUND((G$46*0.08),2))</f>
        <v>+ 13.13</v>
      </c>
    </row>
    <row r="48" spans="1:8" ht="15" thickBot="1">
      <c r="B48" s="646" t="s">
        <v>449</v>
      </c>
      <c r="C48" s="697" t="str">
        <f>D47</f>
        <v>+ 13.14</v>
      </c>
      <c r="D48" s="632"/>
      <c r="E48" s="631" t="str">
        <f>F47</f>
        <v>+ 13.34</v>
      </c>
      <c r="F48" s="632"/>
      <c r="G48" s="631" t="str">
        <f>H47</f>
        <v>+ 13.13</v>
      </c>
      <c r="H48" s="632"/>
    </row>
    <row r="49" spans="1:9" s="392" customFormat="1" ht="15" thickBot="1">
      <c r="B49" s="647" t="s">
        <v>452</v>
      </c>
      <c r="C49" s="648">
        <f>C$46+C$48+C$44+C$45</f>
        <v>177.41292462698408</v>
      </c>
      <c r="D49" s="649">
        <f>D38+D47</f>
        <v>1.2800000000000011</v>
      </c>
      <c r="E49" s="648">
        <f>E$46+E$48+E$44+E$45</f>
        <v>180.0746001783493</v>
      </c>
      <c r="F49" s="649">
        <f>F38+F47</f>
        <v>1.2799999999999994</v>
      </c>
      <c r="G49" s="650">
        <f>G$46+G$48+G$44+G$45</f>
        <v>177.26808927615164</v>
      </c>
      <c r="H49" s="651">
        <f>H38+H47</f>
        <v>1.2800000000000011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 codeName="Sheet153"/>
  <dimension ref="B2:K31"/>
  <sheetViews>
    <sheetView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763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Wajir!D21</f>
        <v>8.19</v>
      </c>
      <c r="E21" s="168">
        <f>Wajir!E21</f>
        <v>8.19</v>
      </c>
      <c r="F21" s="168">
        <f>Wajir!F21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6.0426544024097657</v>
      </c>
      <c r="E23" s="283">
        <f t="shared" ref="E23:F23" si="0">$G$23*$G$8</f>
        <v>6.0426544024097657</v>
      </c>
      <c r="F23" s="283">
        <f t="shared" si="0"/>
        <v>6.0426544024097657</v>
      </c>
      <c r="G23" s="284">
        <f>'Delivery &gt;40km-Sept 2013'!E24*I23/1000</f>
        <v>5.2091848296635916</v>
      </c>
      <c r="H23" s="262" t="s">
        <v>127</v>
      </c>
      <c r="I23" s="259">
        <v>435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163.02775729211891</v>
      </c>
      <c r="E25" s="285">
        <f>E19+E21+E23</f>
        <v>165.4778117403828</v>
      </c>
      <c r="F25" s="285">
        <f>F19+F21+F23</f>
        <v>162.90789513929579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 codeName="Sheet154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Laisamis!G23</f>
        <v>5.2091848296635916</v>
      </c>
      <c r="D40" s="943"/>
      <c r="E40" s="880">
        <f>C40</f>
        <v>5.2091848296635916</v>
      </c>
      <c r="F40" s="943"/>
      <c r="G40" s="613">
        <f>C40</f>
        <v>5.2091848296635916</v>
      </c>
      <c r="H40" s="943"/>
    </row>
    <row r="41" spans="1:8" s="392" customFormat="1">
      <c r="A41" s="605"/>
      <c r="B41" s="617" t="s">
        <v>446</v>
      </c>
      <c r="C41" s="618">
        <f>SUM(C40)</f>
        <v>5.2091848296635916</v>
      </c>
      <c r="D41" s="618"/>
      <c r="E41" s="626">
        <f>SUM(E40)</f>
        <v>5.2091848296635916</v>
      </c>
      <c r="F41" s="944"/>
      <c r="G41" s="618">
        <f>SUM(G40)</f>
        <v>5.2091848296635916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173.54629491846148</v>
      </c>
      <c r="D43" s="610"/>
      <c r="E43" s="613">
        <f>E$37+E$42+E$41</f>
        <v>176.20797046982671</v>
      </c>
      <c r="F43" s="610"/>
      <c r="G43" s="236">
        <f>G$37+G$42+G$41</f>
        <v>173.40145956762905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161.6862949184615</v>
      </c>
      <c r="D46" s="610"/>
      <c r="E46" s="641">
        <f>E$43-E44-E45+F$38</f>
        <v>164.1479704698267</v>
      </c>
      <c r="F46" s="610"/>
      <c r="G46" s="642">
        <f>G$43-G44-G45+H$38</f>
        <v>161.55145956762905</v>
      </c>
      <c r="H46" s="573"/>
    </row>
    <row r="47" spans="1:8">
      <c r="B47" s="503" t="s">
        <v>445</v>
      </c>
      <c r="C47" s="644"/>
      <c r="D47" s="696" t="str">
        <f>CONCATENATE("+ ",ROUND((C$46*0.08),2))</f>
        <v>+ 12.93</v>
      </c>
      <c r="E47" s="644"/>
      <c r="F47" s="627" t="str">
        <f>CONCATENATE("+ ",ROUND((E$46*0.08),2))</f>
        <v>+ 13.13</v>
      </c>
      <c r="G47" s="645"/>
      <c r="H47" s="627" t="str">
        <f>CONCATENATE("+ ",ROUND((G$46*0.08),2))</f>
        <v>+ 12.92</v>
      </c>
    </row>
    <row r="48" spans="1:8" ht="15" thickBot="1">
      <c r="B48" s="646" t="s">
        <v>449</v>
      </c>
      <c r="C48" s="697" t="str">
        <f>D47</f>
        <v>+ 12.93</v>
      </c>
      <c r="D48" s="632"/>
      <c r="E48" s="631" t="str">
        <f>F47</f>
        <v>+ 13.13</v>
      </c>
      <c r="F48" s="632"/>
      <c r="G48" s="631" t="str">
        <f>H47</f>
        <v>+ 12.92</v>
      </c>
      <c r="H48" s="632"/>
    </row>
    <row r="49" spans="1:9" s="392" customFormat="1" ht="15" thickBot="1">
      <c r="B49" s="647" t="s">
        <v>452</v>
      </c>
      <c r="C49" s="648">
        <f>C$46+C$48+C$44+C$45</f>
        <v>174.61629491846151</v>
      </c>
      <c r="D49" s="649">
        <f>D38+D47</f>
        <v>1.0700000000000003</v>
      </c>
      <c r="E49" s="648">
        <f>E$46+E$48+E$44+E$45</f>
        <v>177.2779704698267</v>
      </c>
      <c r="F49" s="649">
        <f>F38+F47</f>
        <v>1.0700000000000003</v>
      </c>
      <c r="G49" s="650">
        <f>G$46+G$48+G$44+G$45</f>
        <v>174.47145956762904</v>
      </c>
      <c r="H49" s="651">
        <f>H38+H47</f>
        <v>1.0700000000000003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 codeName="Sheet155"/>
  <dimension ref="B2:K31"/>
  <sheetViews>
    <sheetView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762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Wajir!D21</f>
        <v>8.19</v>
      </c>
      <c r="E21" s="168">
        <f>Wajir!E21</f>
        <v>8.19</v>
      </c>
      <c r="F21" s="168">
        <f>Wajir!F21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5.7231577328570653</v>
      </c>
      <c r="E23" s="283">
        <f t="shared" ref="E23:F23" si="0">$G$23*$G$8</f>
        <v>5.7231577328570653</v>
      </c>
      <c r="F23" s="283">
        <f t="shared" si="0"/>
        <v>5.7231577328570653</v>
      </c>
      <c r="G23" s="284">
        <f>'Delivery &gt;40km-Sept 2013'!E24*I23/1000</f>
        <v>4.933756666256091</v>
      </c>
      <c r="H23" s="262" t="s">
        <v>127</v>
      </c>
      <c r="I23" s="259">
        <v>412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162.7082606225662</v>
      </c>
      <c r="E25" s="285">
        <f>E19+E21+E23</f>
        <v>165.1583150708301</v>
      </c>
      <c r="F25" s="285">
        <f>F19+F21+F23</f>
        <v>162.58839846974308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 codeName="Sheet156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Merille!G23</f>
        <v>4.933756666256091</v>
      </c>
      <c r="D40" s="943"/>
      <c r="E40" s="880">
        <f>C40</f>
        <v>4.933756666256091</v>
      </c>
      <c r="F40" s="943"/>
      <c r="G40" s="613">
        <f>C40</f>
        <v>4.933756666256091</v>
      </c>
      <c r="H40" s="943"/>
    </row>
    <row r="41" spans="1:8" s="392" customFormat="1">
      <c r="A41" s="605"/>
      <c r="B41" s="617" t="s">
        <v>446</v>
      </c>
      <c r="C41" s="618">
        <f>SUM(C40)</f>
        <v>4.933756666256091</v>
      </c>
      <c r="D41" s="618"/>
      <c r="E41" s="626">
        <f>SUM(E40)</f>
        <v>4.933756666256091</v>
      </c>
      <c r="F41" s="944"/>
      <c r="G41" s="618">
        <f>SUM(G40)</f>
        <v>4.933756666256091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173.27086675505399</v>
      </c>
      <c r="D43" s="610"/>
      <c r="E43" s="613">
        <f>E$37+E$42+E$41</f>
        <v>175.93254230641921</v>
      </c>
      <c r="F43" s="610"/>
      <c r="G43" s="236">
        <f>G$37+G$42+G$41</f>
        <v>173.12603140422155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161.41086675505397</v>
      </c>
      <c r="D46" s="610"/>
      <c r="E46" s="641">
        <f>E$43-E44-E45+F$38</f>
        <v>163.87254230641921</v>
      </c>
      <c r="F46" s="610"/>
      <c r="G46" s="642">
        <f>G$43-G44-G45+H$38</f>
        <v>161.27603140422156</v>
      </c>
      <c r="H46" s="573"/>
    </row>
    <row r="47" spans="1:8">
      <c r="B47" s="503" t="s">
        <v>445</v>
      </c>
      <c r="C47" s="644"/>
      <c r="D47" s="696" t="str">
        <f>CONCATENATE("+ ",ROUND((C$46*0.08),2))</f>
        <v>+ 12.91</v>
      </c>
      <c r="E47" s="644"/>
      <c r="F47" s="627" t="str">
        <f>CONCATENATE("+ ",ROUND((E$46*0.08),2))</f>
        <v>+ 13.11</v>
      </c>
      <c r="G47" s="645"/>
      <c r="H47" s="627" t="str">
        <f>CONCATENATE("+ ",ROUND((G$46*0.08),2))</f>
        <v>+ 12.9</v>
      </c>
    </row>
    <row r="48" spans="1:8" ht="15" thickBot="1">
      <c r="B48" s="646" t="s">
        <v>449</v>
      </c>
      <c r="C48" s="697" t="str">
        <f>D47</f>
        <v>+ 12.91</v>
      </c>
      <c r="D48" s="632"/>
      <c r="E48" s="631" t="str">
        <f>F47</f>
        <v>+ 13.11</v>
      </c>
      <c r="F48" s="632"/>
      <c r="G48" s="631" t="str">
        <f>H47</f>
        <v>+ 12.9</v>
      </c>
      <c r="H48" s="632"/>
    </row>
    <row r="49" spans="1:9" s="392" customFormat="1" ht="15" thickBot="1">
      <c r="B49" s="647" t="s">
        <v>452</v>
      </c>
      <c r="C49" s="648">
        <f>C$46+C$48+C$44+C$45</f>
        <v>174.32086675505397</v>
      </c>
      <c r="D49" s="649">
        <f>D38+D47</f>
        <v>1.0500000000000007</v>
      </c>
      <c r="E49" s="648">
        <f>E$46+E$48+E$44+E$45</f>
        <v>176.98254230641919</v>
      </c>
      <c r="F49" s="649">
        <f>F38+F47</f>
        <v>1.0499999999999989</v>
      </c>
      <c r="G49" s="650">
        <f>G$46+G$48+G$44+G$45</f>
        <v>174.17603140422156</v>
      </c>
      <c r="H49" s="651">
        <f>H38+H47</f>
        <v>1.0500000000000007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 codeName="Sheet157"/>
  <dimension ref="B2:K31"/>
  <sheetViews>
    <sheetView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761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Nairobi!D9</f>
        <v>2.9308559999999999</v>
      </c>
      <c r="E9" s="269">
        <f>Nairobi!E9</f>
        <v>2.9308559999999999</v>
      </c>
      <c r="F9" s="269">
        <f>Nairobi!F9</f>
        <v>2.9308559999999999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Nairobi!G10</f>
        <v>2.5266000000000002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4.4398149358122394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487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Nairobi!D17</f>
        <v>4.2039999999999997</v>
      </c>
      <c r="E17" s="280">
        <f>Nairobi!E17</f>
        <v>4.1739999999999995</v>
      </c>
      <c r="F17" s="280">
        <f>Nairobi!F17</f>
        <v>4.1739999999999995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148.79510288970914</v>
      </c>
      <c r="E19" s="282">
        <f>SUM(E7:E18)</f>
        <v>151.24515733797304</v>
      </c>
      <c r="F19" s="282">
        <f>SUM(F7:F18)</f>
        <v>148.67524073688602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Wajir!D21</f>
        <v>8.19</v>
      </c>
      <c r="E21" s="168">
        <f>Wajir!E21</f>
        <v>8.19</v>
      </c>
      <c r="F21" s="168">
        <f>Wajir!F21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7.0567090492509452</v>
      </c>
      <c r="E23" s="283">
        <f t="shared" ref="E23:F23" si="0">$G$23*$G$8</f>
        <v>7.0567090492509452</v>
      </c>
      <c r="F23" s="283">
        <f t="shared" si="0"/>
        <v>7.0567090492509452</v>
      </c>
      <c r="G23" s="284">
        <f>'Delivery &gt;40km-Sept 2013'!E24*I23/1000</f>
        <v>6.0833698700439189</v>
      </c>
      <c r="H23" s="262" t="s">
        <v>127</v>
      </c>
      <c r="I23" s="259">
        <v>508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164.04181193896008</v>
      </c>
      <c r="E25" s="285">
        <f>E19+E21+E23</f>
        <v>166.49186638722398</v>
      </c>
      <c r="F25" s="285">
        <f>F19+F21+F23</f>
        <v>163.92194978613696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 codeName="Sheet158"/>
  <dimension ref="A2:M68"/>
  <sheetViews>
    <sheetView topLeftCell="A14" workbookViewId="0">
      <selection activeCell="C27" sqref="C27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3.2967989288526822</v>
      </c>
      <c r="D21" s="573"/>
      <c r="E21" s="618">
        <f>SUM(E$22:E$23)</f>
        <v>3.0245601162353575</v>
      </c>
      <c r="F21" s="621"/>
      <c r="G21" s="618">
        <f>SUM(G$22:G$23)</f>
        <v>3.0156818500078444</v>
      </c>
      <c r="H21" s="573"/>
    </row>
    <row r="22" spans="1:8">
      <c r="A22" s="605"/>
      <c r="B22" s="614" t="s">
        <v>455</v>
      </c>
      <c r="C22" s="613">
        <f>SUM(C$24:C$25)</f>
        <v>2.5266000000000002</v>
      </c>
      <c r="D22" s="573"/>
      <c r="E22" s="613">
        <f>SUM(E$24:E$25)</f>
        <v>2.5266000000000002</v>
      </c>
      <c r="F22" s="621"/>
      <c r="G22" s="613">
        <f>SUM(G$24:G$25)</f>
        <v>2.5266000000000002</v>
      </c>
      <c r="H22" s="573"/>
    </row>
    <row r="23" spans="1:8">
      <c r="A23" s="605"/>
      <c r="B23" s="614" t="s">
        <v>456</v>
      </c>
      <c r="C23" s="613">
        <f>C$26+C$27</f>
        <v>0.77019892885268193</v>
      </c>
      <c r="D23" s="573"/>
      <c r="E23" s="613">
        <f>E$26+E$27</f>
        <v>0.49796011623535724</v>
      </c>
      <c r="F23" s="621"/>
      <c r="G23" s="613">
        <f>G$26+G$27</f>
        <v>0.48908185000784438</v>
      </c>
      <c r="H23" s="573"/>
    </row>
    <row r="24" spans="1:8">
      <c r="A24" s="605"/>
      <c r="B24" s="622" t="s">
        <v>466</v>
      </c>
      <c r="C24" s="602">
        <f>Nairobi!G10</f>
        <v>2.5266000000000002</v>
      </c>
      <c r="D24" s="623"/>
      <c r="E24" s="602">
        <f>C24</f>
        <v>2.5266000000000002</v>
      </c>
      <c r="F24" s="624"/>
      <c r="G24" s="602">
        <f>E24</f>
        <v>2.5266000000000002</v>
      </c>
      <c r="H24" s="573"/>
    </row>
    <row r="25" spans="1:8">
      <c r="A25" s="605"/>
      <c r="B25" s="622" t="s">
        <v>465</v>
      </c>
      <c r="C25" s="602">
        <f>Nairobi!D11/1.16</f>
        <v>0</v>
      </c>
      <c r="D25" s="623"/>
      <c r="E25" s="602">
        <f>Nairobi!E11/1.16</f>
        <v>0</v>
      </c>
      <c r="F25" s="624"/>
      <c r="G25" s="602">
        <f>Nairobi!F11/1.16</f>
        <v>0</v>
      </c>
      <c r="H25" s="573"/>
    </row>
    <row r="26" spans="1:8">
      <c r="A26" s="605"/>
      <c r="B26" s="622" t="s">
        <v>334</v>
      </c>
      <c r="C26" s="602">
        <f>Nairobi!D13</f>
        <v>6.5748689048399672E-2</v>
      </c>
      <c r="D26" s="623"/>
      <c r="E26" s="602">
        <f>Nairobi!E13</f>
        <v>6.703309257014424E-2</v>
      </c>
      <c r="F26" s="624"/>
      <c r="G26" s="602">
        <f>Nairobi!F13</f>
        <v>6.5837941347209814E-2</v>
      </c>
      <c r="H26" s="573"/>
    </row>
    <row r="27" spans="1:8">
      <c r="A27" s="605"/>
      <c r="B27" s="622" t="s">
        <v>332</v>
      </c>
      <c r="C27" s="602">
        <f>Nairobi!D15</f>
        <v>0.70445023980428223</v>
      </c>
      <c r="D27" s="623"/>
      <c r="E27" s="602">
        <f>Nairobi!E15</f>
        <v>0.43092702366521302</v>
      </c>
      <c r="F27" s="624"/>
      <c r="G27" s="602">
        <f>Nairobi!F15</f>
        <v>0.42324390866063455</v>
      </c>
      <c r="H27" s="573"/>
    </row>
    <row r="28" spans="1:8">
      <c r="A28" s="605" t="s">
        <v>404</v>
      </c>
      <c r="B28" s="620" t="s">
        <v>427</v>
      </c>
      <c r="C28" s="618">
        <f>Nairobi!D17</f>
        <v>4.2039999999999997</v>
      </c>
      <c r="D28" s="625"/>
      <c r="E28" s="626">
        <f>Nairobi!E17</f>
        <v>4.1739999999999995</v>
      </c>
      <c r="F28" s="625"/>
      <c r="G28" s="618">
        <f>Nairobi!F17</f>
        <v>4.1739999999999995</v>
      </c>
      <c r="H28" s="573"/>
    </row>
    <row r="29" spans="1:8">
      <c r="A29" s="605"/>
      <c r="B29" s="620" t="s">
        <v>440</v>
      </c>
      <c r="C29" s="618">
        <f>C$9+C$20+C$22+C$23+C$28</f>
        <v>148.2871100887979</v>
      </c>
      <c r="D29" s="625"/>
      <c r="E29" s="626">
        <f>E$9+E$20+E$22+E$23+E$28</f>
        <v>150.74878564016311</v>
      </c>
      <c r="F29" s="625"/>
      <c r="G29" s="618">
        <f>G$9+G$20+G$22+G$23+G$28</f>
        <v>148.15227473796546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+ 12.06</v>
      </c>
      <c r="G30" s="606"/>
      <c r="H30" s="627" t="str">
        <f>CONCATENATE("+ ",ROUND((G$29*0.08),2))</f>
        <v>+ 11.85</v>
      </c>
    </row>
    <row r="31" spans="1:8">
      <c r="A31" s="605"/>
      <c r="B31" s="620" t="s">
        <v>436</v>
      </c>
      <c r="C31" s="606">
        <f>C$9+C$20+C$21+C$28</f>
        <v>148.2871100887979</v>
      </c>
      <c r="D31" s="629"/>
      <c r="E31" s="628">
        <f>E$9+E$20+E$21+E$28</f>
        <v>150.74878564016311</v>
      </c>
      <c r="F31" s="629"/>
      <c r="G31" s="606">
        <f>G$9+G$20+G$21+G$28</f>
        <v>148.15227473796546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+ 12.06</v>
      </c>
      <c r="F32" s="632"/>
      <c r="G32" s="631" t="str">
        <f>H30</f>
        <v>+ 11.85</v>
      </c>
      <c r="H32" s="632"/>
    </row>
    <row r="33" spans="1:8" ht="15" thickBot="1">
      <c r="A33" s="605"/>
      <c r="B33" s="633" t="s">
        <v>529</v>
      </c>
      <c r="C33" s="634">
        <f>C31+C32</f>
        <v>160.14711008879789</v>
      </c>
      <c r="D33" s="634">
        <f>D8+D10+D30</f>
        <v>4.525729895232983</v>
      </c>
      <c r="E33" s="635">
        <f>E31+E32</f>
        <v>162.80878564016311</v>
      </c>
      <c r="F33" s="634">
        <f>F8+F10+F30</f>
        <v>3.7272551479421629</v>
      </c>
      <c r="G33" s="634">
        <f>G31+G32</f>
        <v>160.00227473796545</v>
      </c>
      <c r="H33" s="636">
        <f>H8+H10+H30</f>
        <v>3.2993295242285843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160.14711008879789</v>
      </c>
      <c r="D37" s="573"/>
      <c r="E37" s="236">
        <f>E33</f>
        <v>162.80878564016311</v>
      </c>
      <c r="F37" s="573"/>
      <c r="G37" s="236">
        <f>G33</f>
        <v>160.00227473796545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-12.06</v>
      </c>
      <c r="G38" s="638"/>
      <c r="H38" s="609">
        <f>-G32</f>
        <v>-11.85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Korr!G23</f>
        <v>6.0833698700439189</v>
      </c>
      <c r="D40" s="943"/>
      <c r="E40" s="880">
        <f>C40</f>
        <v>6.0833698700439189</v>
      </c>
      <c r="F40" s="943"/>
      <c r="G40" s="613">
        <f>C40</f>
        <v>6.0833698700439189</v>
      </c>
      <c r="H40" s="943"/>
    </row>
    <row r="41" spans="1:8" s="392" customFormat="1">
      <c r="A41" s="605"/>
      <c r="B41" s="617" t="s">
        <v>446</v>
      </c>
      <c r="C41" s="618">
        <f>SUM(C40)</f>
        <v>6.0833698700439189</v>
      </c>
      <c r="D41" s="618"/>
      <c r="E41" s="626">
        <f>SUM(E40)</f>
        <v>6.0833698700439189</v>
      </c>
      <c r="F41" s="944"/>
      <c r="G41" s="618">
        <f>SUM(G40)</f>
        <v>6.0833698700439189</v>
      </c>
      <c r="H41" s="944"/>
    </row>
    <row r="42" spans="1:8">
      <c r="A42" s="605" t="s">
        <v>642</v>
      </c>
      <c r="B42" s="503" t="s">
        <v>426</v>
      </c>
      <c r="C42" s="618">
        <f>Nairobi!D21</f>
        <v>8.19</v>
      </c>
      <c r="D42" s="625"/>
      <c r="E42" s="626">
        <f>Nairobi!E21</f>
        <v>8.19</v>
      </c>
      <c r="F42" s="625"/>
      <c r="G42" s="618">
        <f>Nairobi!F21</f>
        <v>8.19</v>
      </c>
      <c r="H42" s="629"/>
    </row>
    <row r="43" spans="1:8">
      <c r="B43" s="620" t="s">
        <v>447</v>
      </c>
      <c r="C43" s="613">
        <f>C$37+C$42+C$41</f>
        <v>174.42047995884181</v>
      </c>
      <c r="D43" s="610"/>
      <c r="E43" s="613">
        <f>E$37+E$42+E$41</f>
        <v>177.08215551020703</v>
      </c>
      <c r="F43" s="610"/>
      <c r="G43" s="236">
        <f>G$37+G$42+G$41</f>
        <v>174.27564460800937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162.56047995884182</v>
      </c>
      <c r="D46" s="610"/>
      <c r="E46" s="641">
        <f>E$43-E44-E45+F$38</f>
        <v>165.02215551020703</v>
      </c>
      <c r="F46" s="610"/>
      <c r="G46" s="642">
        <f>G$43-G44-G45+H$38</f>
        <v>162.42564460800938</v>
      </c>
      <c r="H46" s="573"/>
    </row>
    <row r="47" spans="1:8">
      <c r="B47" s="503" t="s">
        <v>445</v>
      </c>
      <c r="C47" s="644"/>
      <c r="D47" s="696" t="str">
        <f>CONCATENATE("+ ",ROUND((C$46*0.08),2))</f>
        <v>+ 13</v>
      </c>
      <c r="E47" s="644"/>
      <c r="F47" s="627" t="str">
        <f>CONCATENATE("+ ",ROUND((E$46*0.08),2))</f>
        <v>+ 13.2</v>
      </c>
      <c r="G47" s="645"/>
      <c r="H47" s="627" t="str">
        <f>CONCATENATE("+ ",ROUND((G$46*0.08),2))</f>
        <v>+ 12.99</v>
      </c>
    </row>
    <row r="48" spans="1:8" ht="15" thickBot="1">
      <c r="B48" s="646" t="s">
        <v>449</v>
      </c>
      <c r="C48" s="697" t="str">
        <f>D47</f>
        <v>+ 13</v>
      </c>
      <c r="D48" s="632"/>
      <c r="E48" s="631" t="str">
        <f>F47</f>
        <v>+ 13.2</v>
      </c>
      <c r="F48" s="632"/>
      <c r="G48" s="631" t="str">
        <f>H47</f>
        <v>+ 12.99</v>
      </c>
      <c r="H48" s="632"/>
    </row>
    <row r="49" spans="1:9" s="392" customFormat="1" ht="15" thickBot="1">
      <c r="B49" s="647" t="s">
        <v>452</v>
      </c>
      <c r="C49" s="648">
        <f>C$46+C$48+C$44+C$45</f>
        <v>175.56047995884182</v>
      </c>
      <c r="D49" s="649">
        <f>D38+D47</f>
        <v>1.1400000000000006</v>
      </c>
      <c r="E49" s="648">
        <f>E$46+E$48+E$44+E$45</f>
        <v>178.22215551020702</v>
      </c>
      <c r="F49" s="649">
        <f>F38+F47</f>
        <v>1.1399999999999988</v>
      </c>
      <c r="G49" s="650">
        <f>G$46+G$48+G$44+G$45</f>
        <v>175.41564460800939</v>
      </c>
      <c r="H49" s="651">
        <f>H38+H47</f>
        <v>1.1400000000000006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 codeName="Sheet159">
    <tabColor rgb="FFFF0000"/>
  </sheetPr>
  <dimension ref="B2:L33"/>
  <sheetViews>
    <sheetView topLeftCell="A19" workbookViewId="0">
      <selection activeCell="D27" sqref="D27:F27"/>
    </sheetView>
  </sheetViews>
  <sheetFormatPr defaultColWidth="9.1796875" defaultRowHeight="14.5"/>
  <cols>
    <col min="1" max="1" width="9.1796875" style="159"/>
    <col min="2" max="2" width="28.26953125" style="159" bestFit="1" customWidth="1"/>
    <col min="3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9.81640625" style="159" customWidth="1"/>
    <col min="9" max="9" width="56" style="159" bestFit="1" customWidth="1"/>
    <col min="10" max="16384" width="9.1796875" style="159"/>
  </cols>
  <sheetData>
    <row r="2" spans="2:12">
      <c r="C2" s="258" t="s">
        <v>61</v>
      </c>
      <c r="G2" s="160"/>
      <c r="H2" s="160"/>
    </row>
    <row r="3" spans="2:12">
      <c r="C3" s="258" t="s">
        <v>27</v>
      </c>
      <c r="G3" s="160"/>
      <c r="H3" s="160"/>
      <c r="I3" s="325"/>
    </row>
    <row r="4" spans="2:12">
      <c r="C4" s="259" t="str">
        <f>Nairobi!C4</f>
        <v>March 15 - April 14, 2023</v>
      </c>
      <c r="D4" s="258"/>
      <c r="E4" s="160"/>
      <c r="F4" s="160"/>
      <c r="G4" s="260"/>
      <c r="H4" s="260"/>
    </row>
    <row r="5" spans="2:12" ht="15" thickBot="1">
      <c r="C5" s="160"/>
      <c r="D5" s="160"/>
      <c r="E5" s="160"/>
      <c r="F5" s="160"/>
      <c r="G5" s="261"/>
      <c r="H5" s="913">
        <f>D9/1.16</f>
        <v>3.1492499999999999</v>
      </c>
      <c r="I5" s="914">
        <f>D9/1.14</f>
        <v>3.2044999999999999</v>
      </c>
      <c r="J5" s="262"/>
      <c r="K5" s="262"/>
      <c r="L5" s="262"/>
    </row>
    <row r="6" spans="2:12" ht="15" thickBot="1">
      <c r="C6" s="288"/>
      <c r="D6" s="169" t="s">
        <v>0</v>
      </c>
      <c r="E6" s="169" t="s">
        <v>1</v>
      </c>
      <c r="F6" s="169" t="s">
        <v>3</v>
      </c>
      <c r="G6" s="265">
        <v>1</v>
      </c>
      <c r="H6" s="852"/>
      <c r="I6" s="289" t="s">
        <v>167</v>
      </c>
      <c r="J6" s="262"/>
      <c r="K6" s="262"/>
      <c r="L6" s="262"/>
    </row>
    <row r="7" spans="2:12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160"/>
      <c r="I7" s="262" t="s">
        <v>26</v>
      </c>
      <c r="J7" s="262"/>
      <c r="K7" s="262"/>
      <c r="L7" s="262"/>
    </row>
    <row r="8" spans="2:12" ht="15" thickBot="1">
      <c r="C8" s="263"/>
      <c r="D8" s="263"/>
      <c r="E8" s="263"/>
      <c r="F8" s="263"/>
      <c r="G8" s="268">
        <v>1.1599999999999999</v>
      </c>
      <c r="H8" s="268"/>
      <c r="I8" s="262" t="str">
        <f>Nairobi!I7</f>
        <v>Weighted average cost (KPRL + KOSF)</v>
      </c>
      <c r="J8" s="262"/>
      <c r="K8" s="262"/>
      <c r="L8" s="262"/>
    </row>
    <row r="9" spans="2:12" ht="15" thickBot="1">
      <c r="C9" s="263" t="s">
        <v>20</v>
      </c>
      <c r="D9" s="269">
        <f>$G$10*G9*$G$8</f>
        <v>3.6531299999999995</v>
      </c>
      <c r="E9" s="269">
        <f>$G$10*$G$9*$G$8</f>
        <v>3.6531299999999995</v>
      </c>
      <c r="F9" s="269">
        <f>$G$10*G6*$G$8</f>
        <v>3.6531299999999995</v>
      </c>
      <c r="G9" s="270">
        <v>1</v>
      </c>
      <c r="H9" s="853"/>
      <c r="I9" s="289" t="s">
        <v>166</v>
      </c>
      <c r="J9" s="262"/>
      <c r="K9" s="262"/>
      <c r="L9" s="262"/>
    </row>
    <row r="10" spans="2:12" ht="15" thickBot="1">
      <c r="C10" s="263"/>
      <c r="D10" s="271"/>
      <c r="E10" s="274"/>
      <c r="F10" s="274"/>
      <c r="G10" s="272">
        <v>3.1492499999999999</v>
      </c>
      <c r="H10" s="854"/>
      <c r="I10" s="262" t="s">
        <v>30</v>
      </c>
      <c r="J10" s="262"/>
      <c r="K10" s="262"/>
      <c r="L10" s="262"/>
    </row>
    <row r="11" spans="2:12" ht="15" thickBot="1">
      <c r="C11" s="227" t="s">
        <v>20</v>
      </c>
      <c r="D11" s="195">
        <f>$G$11*$G$12*$G$8</f>
        <v>0</v>
      </c>
      <c r="E11" s="195">
        <f>$G$11*$G$12*$G$8</f>
        <v>0</v>
      </c>
      <c r="F11" s="269">
        <v>0</v>
      </c>
      <c r="G11" s="273">
        <f>'Bridging - Sept 2013'!E23*G14/1000</f>
        <v>5.6432144666689448</v>
      </c>
      <c r="H11" s="297"/>
      <c r="I11" s="262" t="s">
        <v>272</v>
      </c>
      <c r="J11" s="262"/>
      <c r="K11" s="262"/>
      <c r="L11" s="262"/>
    </row>
    <row r="12" spans="2:12">
      <c r="C12" s="263"/>
      <c r="D12" s="274"/>
      <c r="E12" s="274"/>
      <c r="F12" s="274"/>
      <c r="G12" s="665">
        <f>1-G9</f>
        <v>0</v>
      </c>
      <c r="H12" s="665"/>
      <c r="I12" s="275" t="s">
        <v>168</v>
      </c>
      <c r="J12" s="262"/>
      <c r="K12" s="262"/>
      <c r="L12" s="262"/>
    </row>
    <row r="13" spans="2:12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1075">
        <f>Nairobi!$G$13</f>
        <v>4.6666666666666666E-4</v>
      </c>
      <c r="H13" s="278"/>
      <c r="I13" s="262" t="s">
        <v>25</v>
      </c>
      <c r="J13" s="262"/>
      <c r="K13" s="262"/>
      <c r="L13" s="262"/>
    </row>
    <row r="14" spans="2:12" ht="15" thickBot="1">
      <c r="C14" s="263"/>
      <c r="D14" s="274"/>
      <c r="E14" s="274"/>
      <c r="F14" s="274"/>
      <c r="G14" s="279">
        <v>619</v>
      </c>
      <c r="H14" s="279">
        <v>619</v>
      </c>
      <c r="I14" s="262" t="s">
        <v>35</v>
      </c>
      <c r="J14" s="262"/>
      <c r="K14" s="262"/>
      <c r="L14" s="262"/>
    </row>
    <row r="15" spans="2:12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95">
        <v>0</v>
      </c>
      <c r="H15" s="295"/>
      <c r="I15" s="262" t="s">
        <v>29</v>
      </c>
      <c r="J15" s="262"/>
      <c r="K15" s="262"/>
      <c r="L15" s="262"/>
    </row>
    <row r="16" spans="2:12">
      <c r="C16" s="263"/>
      <c r="D16" s="263"/>
      <c r="E16" s="263"/>
      <c r="F16" s="263"/>
      <c r="G16" s="295">
        <v>0</v>
      </c>
      <c r="H16" s="295"/>
      <c r="I16" s="262"/>
      <c r="J16" s="262"/>
      <c r="K16" s="262"/>
      <c r="L16" s="262"/>
    </row>
    <row r="17" spans="2:12">
      <c r="C17" s="263" t="s">
        <v>20</v>
      </c>
      <c r="D17" s="280">
        <f>3.05+0.49</f>
        <v>3.54</v>
      </c>
      <c r="E17" s="280">
        <f>3.05+0.46</f>
        <v>3.51</v>
      </c>
      <c r="F17" s="280">
        <f>3.05+0.46</f>
        <v>3.51</v>
      </c>
      <c r="G17" s="281"/>
      <c r="H17" s="281"/>
      <c r="I17" s="262" t="s">
        <v>24</v>
      </c>
      <c r="J17" s="262"/>
      <c r="K17" s="262"/>
      <c r="L17" s="262"/>
    </row>
    <row r="18" spans="2:12">
      <c r="C18" s="263"/>
      <c r="D18" s="263"/>
      <c r="E18" s="263"/>
      <c r="F18" s="263"/>
      <c r="G18" s="160"/>
      <c r="H18" s="160"/>
      <c r="I18" s="262"/>
      <c r="J18" s="262"/>
      <c r="K18" s="262"/>
      <c r="L18" s="262"/>
    </row>
    <row r="19" spans="2:12">
      <c r="C19" s="263" t="s">
        <v>20</v>
      </c>
      <c r="D19" s="282">
        <f>SUM(D7:D18)</f>
        <v>148.14892664990484</v>
      </c>
      <c r="E19" s="282">
        <f>SUM(E7:E18)</f>
        <v>150.8725043143078</v>
      </c>
      <c r="F19" s="282">
        <f>SUM(F7:F18)</f>
        <v>148.31027082822538</v>
      </c>
      <c r="G19" s="160"/>
      <c r="H19" s="160"/>
      <c r="I19" s="262" t="s">
        <v>23</v>
      </c>
      <c r="J19" s="262"/>
      <c r="K19" s="262"/>
      <c r="L19" s="262"/>
    </row>
    <row r="20" spans="2:12">
      <c r="C20" s="263"/>
      <c r="D20" s="263"/>
      <c r="E20" s="263"/>
      <c r="F20" s="263"/>
      <c r="G20" s="160"/>
      <c r="H20" s="160"/>
      <c r="I20" s="262"/>
      <c r="J20" s="262"/>
      <c r="K20" s="262"/>
      <c r="L20" s="262"/>
    </row>
    <row r="21" spans="2:12">
      <c r="C21" s="263" t="s">
        <v>20</v>
      </c>
      <c r="D21" s="168">
        <f>4.05+4.14</f>
        <v>8.19</v>
      </c>
      <c r="E21" s="168">
        <f>4.05+4.14</f>
        <v>8.19</v>
      </c>
      <c r="F21" s="168">
        <f>4.05+4.14</f>
        <v>8.19</v>
      </c>
      <c r="G21" s="160"/>
      <c r="H21" s="160"/>
      <c r="I21" s="262" t="s">
        <v>22</v>
      </c>
      <c r="J21" s="262"/>
      <c r="K21" s="262"/>
      <c r="L21" s="262"/>
    </row>
    <row r="22" spans="2:12" ht="15" thickBot="1">
      <c r="C22" s="263"/>
      <c r="D22" s="168"/>
      <c r="E22" s="168"/>
      <c r="F22" s="168"/>
      <c r="G22" s="160"/>
      <c r="H22" s="160"/>
      <c r="I22" s="262"/>
      <c r="J22" s="262"/>
      <c r="K22" s="262"/>
      <c r="L22" s="262"/>
    </row>
    <row r="23" spans="2:12" ht="15" thickBot="1">
      <c r="C23" s="263" t="s">
        <v>20</v>
      </c>
      <c r="D23" s="283">
        <f>$G$23*$G$8</f>
        <v>0.62360663649487535</v>
      </c>
      <c r="E23" s="283">
        <f t="shared" ref="E23:F23" si="0">$G$23*$G$8</f>
        <v>0.62360663649487535</v>
      </c>
      <c r="F23" s="283">
        <f t="shared" si="0"/>
        <v>0.62360663649487535</v>
      </c>
      <c r="G23" s="284">
        <f>Nairobi!G23</f>
        <v>0.53759192801282363</v>
      </c>
      <c r="H23" s="855"/>
      <c r="I23" s="262" t="s">
        <v>21</v>
      </c>
      <c r="J23" s="262"/>
      <c r="K23" s="262"/>
      <c r="L23" s="262"/>
    </row>
    <row r="24" spans="2:12">
      <c r="C24" s="263"/>
      <c r="D24" s="263"/>
      <c r="E24" s="263"/>
      <c r="F24" s="263"/>
      <c r="G24" s="160"/>
      <c r="H24" s="160"/>
      <c r="I24" s="262"/>
      <c r="J24" s="262"/>
      <c r="K24" s="262"/>
      <c r="L24" s="262"/>
    </row>
    <row r="25" spans="2:12">
      <c r="C25" s="263" t="s">
        <v>20</v>
      </c>
      <c r="D25" s="285">
        <f>D19+D21+D23</f>
        <v>156.96253328639972</v>
      </c>
      <c r="E25" s="285">
        <f>E19+E21+E23</f>
        <v>159.68611095080269</v>
      </c>
      <c r="F25" s="285">
        <f>F19+F21+F23</f>
        <v>157.12387746472027</v>
      </c>
      <c r="G25" s="160"/>
      <c r="H25" s="160"/>
      <c r="I25" s="262" t="s">
        <v>19</v>
      </c>
      <c r="J25" s="262"/>
      <c r="K25" s="262"/>
      <c r="L25" s="262"/>
    </row>
    <row r="26" spans="2:12" ht="15" thickBot="1">
      <c r="C26" s="160"/>
      <c r="D26" s="286"/>
      <c r="E26" s="160"/>
      <c r="F26" s="160"/>
      <c r="G26" s="160"/>
      <c r="H26" s="160"/>
    </row>
    <row r="27" spans="2:12" ht="19.5" customHeight="1" thickBot="1">
      <c r="B27" s="678" t="str">
        <f>Mombasa!B28</f>
        <v>February 15 - March 14 2023</v>
      </c>
      <c r="C27" s="691" t="str">
        <f>C25</f>
        <v>Kshs/lt</v>
      </c>
      <c r="D27" s="679">
        <v>153.47764687511969</v>
      </c>
      <c r="E27" s="680">
        <v>160.0282847456983</v>
      </c>
      <c r="F27" s="681">
        <v>153.35169544420302</v>
      </c>
    </row>
    <row r="28" spans="2:12" ht="7.5" customHeight="1" thickBot="1">
      <c r="B28" s="392"/>
      <c r="C28" s="392"/>
      <c r="D28" s="675"/>
      <c r="E28" s="676"/>
      <c r="F28" s="677"/>
      <c r="I28" s="210"/>
    </row>
    <row r="29" spans="2:12" ht="19.5" customHeight="1" thickBot="1">
      <c r="B29" s="682" t="s">
        <v>44</v>
      </c>
      <c r="C29" s="692" t="str">
        <f>C27</f>
        <v>Kshs/lt</v>
      </c>
      <c r="D29" s="683">
        <f>D25-D27</f>
        <v>3.48488641128003</v>
      </c>
      <c r="E29" s="684">
        <f>E25-E27</f>
        <v>-0.34217379489561495</v>
      </c>
      <c r="F29" s="693">
        <f>F25-F27</f>
        <v>3.7721820205172492</v>
      </c>
    </row>
    <row r="30" spans="2:12" ht="7.5" customHeight="1" thickBot="1">
      <c r="B30" s="392"/>
      <c r="C30" s="392"/>
      <c r="D30" s="685"/>
      <c r="E30" s="686"/>
      <c r="F30" s="687"/>
    </row>
    <row r="31" spans="2:12" ht="19.5" customHeight="1" thickBot="1">
      <c r="B31" s="682" t="s">
        <v>44</v>
      </c>
      <c r="C31" s="692" t="s">
        <v>159</v>
      </c>
      <c r="D31" s="688">
        <f>D29/D27*100</f>
        <v>2.2706149607021149</v>
      </c>
      <c r="E31" s="689">
        <f>E29/E27*100</f>
        <v>-0.21382082263730123</v>
      </c>
      <c r="F31" s="690">
        <f>F29/F27*100</f>
        <v>2.459824137966415</v>
      </c>
    </row>
    <row r="33" spans="3:6">
      <c r="C33" s="288"/>
      <c r="D33" s="169" t="s">
        <v>0</v>
      </c>
      <c r="E33" s="169" t="s">
        <v>1</v>
      </c>
      <c r="F33" s="169" t="s">
        <v>3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22538" r:id="rId4">
          <objectPr defaultSize="0" autoPict="0" r:id="rId5">
            <anchor>
              <from>
                <xdr:col>1</xdr:col>
                <xdr:colOff>57150</xdr:colOff>
                <xdr:row>18</xdr:row>
                <xdr:rowOff>12700</xdr:rowOff>
              </from>
              <to>
                <xdr:col>1</xdr:col>
                <xdr:colOff>527050</xdr:colOff>
                <xdr:row>19</xdr:row>
                <xdr:rowOff>12700</xdr:rowOff>
              </to>
            </anchor>
          </objectPr>
        </oleObject>
      </mc:Choice>
      <mc:Fallback>
        <oleObject progId="Equation.3" shapeId="22538" r:id="rId4"/>
      </mc:Fallback>
    </mc:AlternateContent>
  </oleObject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 codeName="Sheet160">
    <tabColor rgb="FF0070C0"/>
  </sheetPr>
  <dimension ref="A2:M70"/>
  <sheetViews>
    <sheetView topLeftCell="A48" workbookViewId="0">
      <selection activeCell="E67" sqref="E67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3.2149986890483997</v>
      </c>
      <c r="D21" s="573"/>
      <c r="E21" s="618">
        <f>SUM(E$22:E$23)</f>
        <v>3.2162830925701442</v>
      </c>
      <c r="F21" s="621"/>
      <c r="G21" s="618">
        <f>SUM(G$22:G$23)</f>
        <v>3.2150879413472095</v>
      </c>
      <c r="H21" s="573"/>
    </row>
    <row r="22" spans="1:8">
      <c r="A22" s="605"/>
      <c r="B22" s="614" t="s">
        <v>455</v>
      </c>
      <c r="C22" s="613">
        <f>SUM(C$24:C$25)</f>
        <v>3.1492499999999999</v>
      </c>
      <c r="D22" s="573"/>
      <c r="E22" s="613">
        <f>SUM(E$24:E$25)</f>
        <v>3.1492499999999999</v>
      </c>
      <c r="F22" s="621"/>
      <c r="G22" s="613">
        <f>SUM(G$24:G$25)</f>
        <v>3.1492499999999999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Nakuru!G10</f>
        <v>3.1492499999999999</v>
      </c>
      <c r="D24" s="623"/>
      <c r="E24" s="602">
        <f>C24</f>
        <v>3.1492499999999999</v>
      </c>
      <c r="F24" s="624"/>
      <c r="G24" s="602">
        <f>E24</f>
        <v>3.1492499999999999</v>
      </c>
      <c r="H24" s="573"/>
    </row>
    <row r="25" spans="1:8">
      <c r="A25" s="605"/>
      <c r="B25" s="622" t="s">
        <v>465</v>
      </c>
      <c r="C25" s="602">
        <f>Nakuru!D11/1.16</f>
        <v>0</v>
      </c>
      <c r="D25" s="623"/>
      <c r="E25" s="602">
        <f>Nakuru!E11/1.14</f>
        <v>0</v>
      </c>
      <c r="F25" s="624"/>
      <c r="G25" s="602">
        <f>Nakuru!F11/1.14</f>
        <v>0</v>
      </c>
      <c r="H25" s="573"/>
    </row>
    <row r="26" spans="1:8">
      <c r="A26" s="605"/>
      <c r="B26" s="622" t="s">
        <v>334</v>
      </c>
      <c r="C26" s="602">
        <f>Nakuru!D13</f>
        <v>6.5748689048399672E-2</v>
      </c>
      <c r="D26" s="623"/>
      <c r="E26" s="602">
        <f>Nakuru!E13</f>
        <v>6.703309257014424E-2</v>
      </c>
      <c r="F26" s="624"/>
      <c r="G26" s="602">
        <f>Nakuru!F13</f>
        <v>6.5837941347209814E-2</v>
      </c>
      <c r="H26" s="573"/>
    </row>
    <row r="27" spans="1:8">
      <c r="A27" s="605"/>
      <c r="B27" s="622" t="s">
        <v>332</v>
      </c>
      <c r="C27" s="602">
        <f>Nakuru!D15</f>
        <v>0</v>
      </c>
      <c r="D27" s="623"/>
      <c r="E27" s="602">
        <f>Nakuru!E15</f>
        <v>0</v>
      </c>
      <c r="F27" s="624"/>
      <c r="G27" s="602">
        <f>Nakuru!F15</f>
        <v>0</v>
      </c>
      <c r="H27" s="573"/>
    </row>
    <row r="28" spans="1:8">
      <c r="A28" s="605" t="s">
        <v>404</v>
      </c>
      <c r="B28" s="620" t="s">
        <v>427</v>
      </c>
      <c r="C28" s="618">
        <f>Nakuru!D17</f>
        <v>3.54</v>
      </c>
      <c r="D28" s="625"/>
      <c r="E28" s="626">
        <f>Nakuru!E17</f>
        <v>3.51</v>
      </c>
      <c r="F28" s="625"/>
      <c r="G28" s="618">
        <f>Nakuru!F17</f>
        <v>3.51</v>
      </c>
      <c r="H28" s="573"/>
    </row>
    <row r="29" spans="1:8">
      <c r="A29" s="605"/>
      <c r="B29" s="620" t="s">
        <v>440</v>
      </c>
      <c r="C29" s="618">
        <f>C$9+C$20+C$22+C$23+C$28</f>
        <v>147.54130984899359</v>
      </c>
      <c r="D29" s="625"/>
      <c r="E29" s="626">
        <f>E$9+E$20+E$22+E$23+E$28</f>
        <v>150.27650861649786</v>
      </c>
      <c r="F29" s="625"/>
      <c r="G29" s="618">
        <f>G$9+G$20+G$22+G$23+G$28</f>
        <v>147.68768082930481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</v>
      </c>
      <c r="E30" s="628"/>
      <c r="F30" s="627" t="str">
        <f>CONCATENATE("+ ",ROUND((E$29*0.08),2))</f>
        <v>+ 12.02</v>
      </c>
      <c r="G30" s="606"/>
      <c r="H30" s="627" t="str">
        <f>CONCATENATE("+ ",ROUND((G$29*0.08),2))</f>
        <v>+ 11.82</v>
      </c>
    </row>
    <row r="31" spans="1:8">
      <c r="A31" s="605"/>
      <c r="B31" s="620" t="s">
        <v>436</v>
      </c>
      <c r="C31" s="606">
        <f>C$9+C$20+C$21+C$28</f>
        <v>147.54130984899359</v>
      </c>
      <c r="D31" s="629"/>
      <c r="E31" s="628">
        <f>E$9+E$20+E$21+E$28</f>
        <v>150.27650861649786</v>
      </c>
      <c r="F31" s="629"/>
      <c r="G31" s="606">
        <f>G$9+G$20+G$21+G$28</f>
        <v>147.68768082930481</v>
      </c>
      <c r="H31" s="629"/>
    </row>
    <row r="32" spans="1:8" ht="15" thickBot="1">
      <c r="A32" s="605"/>
      <c r="B32" s="630" t="s">
        <v>448</v>
      </c>
      <c r="C32" s="631" t="str">
        <f>D30</f>
        <v>+ 11.8</v>
      </c>
      <c r="D32" s="632"/>
      <c r="E32" s="631" t="str">
        <f>F30</f>
        <v>+ 12.02</v>
      </c>
      <c r="F32" s="632"/>
      <c r="G32" s="631" t="str">
        <f>H30</f>
        <v>+ 11.82</v>
      </c>
      <c r="H32" s="632"/>
    </row>
    <row r="33" spans="1:8" ht="15" thickBot="1">
      <c r="A33" s="605"/>
      <c r="B33" s="633" t="s">
        <v>529</v>
      </c>
      <c r="C33" s="634">
        <f>C31+C32</f>
        <v>159.3413098489936</v>
      </c>
      <c r="D33" s="634">
        <f>D8+D10+D30</f>
        <v>4.4657298952329842</v>
      </c>
      <c r="E33" s="635">
        <f>E31+E32</f>
        <v>162.29650861649787</v>
      </c>
      <c r="F33" s="634">
        <f>F8+F10+F30</f>
        <v>3.687255147942162</v>
      </c>
      <c r="G33" s="634">
        <f>G31+G32</f>
        <v>159.5076808293048</v>
      </c>
      <c r="H33" s="636">
        <f>H8+H10+H30</f>
        <v>3.2693295242285849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159.3413098489936</v>
      </c>
      <c r="D37" s="573"/>
      <c r="E37" s="236">
        <f>E33</f>
        <v>162.29650861649787</v>
      </c>
      <c r="F37" s="573"/>
      <c r="G37" s="236">
        <f>G33</f>
        <v>159.5076808293048</v>
      </c>
      <c r="H37" s="629"/>
    </row>
    <row r="38" spans="1:8">
      <c r="A38" s="605"/>
      <c r="B38" s="637" t="s">
        <v>425</v>
      </c>
      <c r="C38" s="638"/>
      <c r="D38" s="609">
        <f>-C32</f>
        <v>-11.8</v>
      </c>
      <c r="E38" s="639"/>
      <c r="F38" s="609">
        <f>-E32</f>
        <v>-12.02</v>
      </c>
      <c r="G38" s="638"/>
      <c r="H38" s="609">
        <f>-G32</f>
        <v>-11.82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Nakuru!G23</f>
        <v>0.53759192801282363</v>
      </c>
      <c r="D40" s="943"/>
      <c r="E40" s="880">
        <f>C40</f>
        <v>0.53759192801282363</v>
      </c>
      <c r="F40" s="943"/>
      <c r="G40" s="613">
        <f>C40</f>
        <v>0.53759192801282363</v>
      </c>
      <c r="H40" s="943"/>
    </row>
    <row r="41" spans="1:8" s="392" customFormat="1">
      <c r="A41" s="605"/>
      <c r="B41" s="617" t="s">
        <v>446</v>
      </c>
      <c r="C41" s="618">
        <f>SUM(C40)</f>
        <v>0.53759192801282363</v>
      </c>
      <c r="D41" s="618"/>
      <c r="E41" s="626">
        <f>SUM(E40)</f>
        <v>0.53759192801282363</v>
      </c>
      <c r="F41" s="944"/>
      <c r="G41" s="618">
        <f>SUM(G40)</f>
        <v>0.53759192801282363</v>
      </c>
      <c r="H41" s="944"/>
    </row>
    <row r="42" spans="1:8">
      <c r="A42" s="605" t="s">
        <v>642</v>
      </c>
      <c r="B42" s="503" t="s">
        <v>426</v>
      </c>
      <c r="C42" s="236">
        <f>Nakuru!D21</f>
        <v>8.19</v>
      </c>
      <c r="D42" s="573"/>
      <c r="E42" s="236">
        <f>Nakuru!E21</f>
        <v>8.19</v>
      </c>
      <c r="F42" s="573"/>
      <c r="G42" s="236">
        <f>Nakuru!F21</f>
        <v>8.19</v>
      </c>
      <c r="H42" s="629"/>
    </row>
    <row r="43" spans="1:8">
      <c r="B43" s="620" t="s">
        <v>447</v>
      </c>
      <c r="C43" s="613">
        <f>C$37+C$42+C$41</f>
        <v>168.06890177700643</v>
      </c>
      <c r="D43" s="610"/>
      <c r="E43" s="613">
        <f>E$37+E$42+E$41</f>
        <v>171.0241005445107</v>
      </c>
      <c r="F43" s="610"/>
      <c r="G43" s="236">
        <f>G$37+G$42+G$41</f>
        <v>168.23527275731763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156.26890177700642</v>
      </c>
      <c r="D46" s="610"/>
      <c r="E46" s="641">
        <f>E$43-E44-E45+F$38</f>
        <v>159.00410054451069</v>
      </c>
      <c r="F46" s="610"/>
      <c r="G46" s="642">
        <f>G$43-G44-G45+H$38</f>
        <v>156.41527275731764</v>
      </c>
      <c r="H46" s="573"/>
    </row>
    <row r="47" spans="1:8">
      <c r="B47" s="503" t="s">
        <v>445</v>
      </c>
      <c r="C47" s="644"/>
      <c r="D47" s="696" t="str">
        <f>CONCATENATE("+ ",ROUND((C$46*0.08),2))</f>
        <v>+ 12.5</v>
      </c>
      <c r="E47" s="644"/>
      <c r="F47" s="627" t="str">
        <f>CONCATENATE("+ ",ROUND((E$46*0.08),2))</f>
        <v>+ 12.72</v>
      </c>
      <c r="G47" s="645"/>
      <c r="H47" s="627" t="str">
        <f>CONCATENATE("+ ",ROUND((G$46*0.08),2))</f>
        <v>+ 12.51</v>
      </c>
    </row>
    <row r="48" spans="1:8" ht="15" thickBot="1">
      <c r="B48" s="646" t="s">
        <v>449</v>
      </c>
      <c r="C48" s="697" t="str">
        <f>D47</f>
        <v>+ 12.5</v>
      </c>
      <c r="D48" s="632"/>
      <c r="E48" s="631" t="str">
        <f>F47</f>
        <v>+ 12.72</v>
      </c>
      <c r="F48" s="632"/>
      <c r="G48" s="631" t="str">
        <f>H47</f>
        <v>+ 12.51</v>
      </c>
      <c r="H48" s="632"/>
    </row>
    <row r="49" spans="1:9" s="392" customFormat="1" ht="15" thickBot="1">
      <c r="B49" s="647" t="s">
        <v>452</v>
      </c>
      <c r="C49" s="648">
        <f>C$46+C$48+C$44+C$45</f>
        <v>168.76890177700642</v>
      </c>
      <c r="D49" s="649">
        <f>D38+D47</f>
        <v>0.69999999999999929</v>
      </c>
      <c r="E49" s="648">
        <f>E$46+E$48+E$44+E$45</f>
        <v>171.72410054451069</v>
      </c>
      <c r="F49" s="649">
        <f>F38+F47</f>
        <v>0.70000000000000107</v>
      </c>
      <c r="G49" s="650">
        <f>G$46+G$48+G$44+G$45</f>
        <v>168.92527275731763</v>
      </c>
      <c r="H49" s="651">
        <f>H38+H47</f>
        <v>0.6899999999999995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  <c r="G59" s="162"/>
    </row>
    <row r="60" spans="1:9">
      <c r="G60" s="162"/>
      <c r="H60" s="162"/>
      <c r="I60" s="162"/>
    </row>
    <row r="61" spans="1:9" ht="15" thickBot="1"/>
    <row r="62" spans="1:9" ht="15" thickBot="1">
      <c r="C62" s="668" t="s">
        <v>0</v>
      </c>
      <c r="D62" s="669" t="s">
        <v>1</v>
      </c>
      <c r="E62" s="670" t="s">
        <v>155</v>
      </c>
    </row>
    <row r="63" spans="1:9" ht="15" thickBot="1">
      <c r="B63" s="671" t="str">
        <f>Nakuru!C4</f>
        <v>March 15 - April 14, 2023</v>
      </c>
      <c r="C63" s="672">
        <f>C49</f>
        <v>168.76890177700642</v>
      </c>
      <c r="D63" s="673">
        <f>E49</f>
        <v>171.72410054451069</v>
      </c>
      <c r="E63" s="674">
        <f>G49</f>
        <v>168.92527275731763</v>
      </c>
    </row>
    <row r="64" spans="1:9" ht="15" thickBot="1">
      <c r="C64" s="675"/>
      <c r="D64" s="676"/>
      <c r="E64" s="677"/>
    </row>
    <row r="65" spans="2:5" ht="15" thickBot="1">
      <c r="B65" s="678" t="str">
        <f>Nakuru!B27</f>
        <v>February 15 - March 14 2023</v>
      </c>
      <c r="C65" s="679">
        <v>164.99873150805715</v>
      </c>
      <c r="D65" s="679">
        <v>172.10032587829804</v>
      </c>
      <c r="E65" s="679">
        <v>164.86161905939201</v>
      </c>
    </row>
    <row r="66" spans="2:5" ht="15" thickBot="1">
      <c r="B66" s="392"/>
      <c r="C66" s="675"/>
      <c r="D66" s="676"/>
      <c r="E66" s="677"/>
    </row>
    <row r="67" spans="2:5" ht="15" thickBot="1">
      <c r="B67" s="682" t="s">
        <v>474</v>
      </c>
      <c r="C67" s="683">
        <f>C63-C65</f>
        <v>3.770170268949272</v>
      </c>
      <c r="D67" s="683">
        <f>D63-D65</f>
        <v>-0.37622533378734602</v>
      </c>
      <c r="E67" s="684">
        <f>E63-E65</f>
        <v>4.0636536979256164</v>
      </c>
    </row>
    <row r="68" spans="2:5" ht="15" thickBot="1">
      <c r="B68" s="392"/>
      <c r="C68" s="685"/>
      <c r="D68" s="686"/>
      <c r="E68" s="687"/>
    </row>
    <row r="69" spans="2:5" ht="15" thickBot="1">
      <c r="B69" s="682" t="s">
        <v>475</v>
      </c>
      <c r="C69" s="1034">
        <f>C67/C65</f>
        <v>2.2849692446060828E-2</v>
      </c>
      <c r="D69" s="1034">
        <f t="shared" ref="D69:E69" si="0">D67/D65</f>
        <v>-2.186081472346522E-3</v>
      </c>
      <c r="E69" s="1034">
        <f t="shared" si="0"/>
        <v>2.464887656150987E-2</v>
      </c>
    </row>
    <row r="70" spans="2:5">
      <c r="B70" s="953"/>
      <c r="C70" s="954"/>
      <c r="D70" s="954"/>
      <c r="E70" s="954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 codeName="Sheet161">
    <tabColor rgb="FF00CC00"/>
  </sheetPr>
  <dimension ref="B2:K31"/>
  <sheetViews>
    <sheetView topLeftCell="B1" workbookViewId="0">
      <selection activeCell="G9" sqref="G9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71</v>
      </c>
      <c r="G2" s="160"/>
    </row>
    <row r="3" spans="2:11">
      <c r="C3" s="258" t="s">
        <v>27</v>
      </c>
      <c r="G3" s="160"/>
    </row>
    <row r="4" spans="2:11">
      <c r="C4" s="259" t="str">
        <f>Nairobi!C4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Nakuru!G8</f>
        <v>1.1599999999999999</v>
      </c>
      <c r="H8" s="262" t="str">
        <f>Nairobi!I7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$G$10*$G$9*$G$8</f>
        <v>3.6531299999999995</v>
      </c>
      <c r="E9" s="269">
        <f>$G$10*$G$9*$G$8</f>
        <v>3.6531299999999995</v>
      </c>
      <c r="F9" s="269">
        <f>$G$10*G6*$G$8</f>
        <v>3.6531299999999995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93"/>
      <c r="F10" s="274"/>
      <c r="G10" s="272">
        <f>Nakuru!G10</f>
        <v>3.1492499999999999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Nakuru!D11</f>
        <v>0</v>
      </c>
      <c r="E11" s="294">
        <f>$G$11*G12*$G$8</f>
        <v>0</v>
      </c>
      <c r="F11" s="269">
        <v>0</v>
      </c>
      <c r="G11" s="273">
        <f>'Bridging - Sept 2013'!E23*G14/1000</f>
        <v>5.8802477075952657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645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Nakuru!D17</f>
        <v>3.54</v>
      </c>
      <c r="E17" s="280">
        <f>Nakuru!E17</f>
        <v>3.51</v>
      </c>
      <c r="F17" s="280">
        <f>Nakuru!F17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148.14892664990484</v>
      </c>
      <c r="E19" s="282">
        <f>SUM(E7:E18)</f>
        <v>150.8725043143078</v>
      </c>
      <c r="F19" s="282">
        <f>SUM(F7:F18)</f>
        <v>148.31027082822538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Nakuru!D21</f>
        <v>8.19</v>
      </c>
      <c r="E21" s="168">
        <f>Nakuru!E21</f>
        <v>8.19</v>
      </c>
      <c r="F21" s="168">
        <f>Nakuru!F21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0.88903421092925294</v>
      </c>
      <c r="E23" s="283">
        <f t="shared" ref="E23:F23" si="0">$G$23*$G$8</f>
        <v>0.88903421092925294</v>
      </c>
      <c r="F23" s="283">
        <f t="shared" si="0"/>
        <v>0.88903421092925294</v>
      </c>
      <c r="G23" s="284">
        <f>'Delivery &gt;40km-Sept 2013'!E24*I23/1000</f>
        <v>0.76640880252521815</v>
      </c>
      <c r="H23" s="262" t="s">
        <v>128</v>
      </c>
      <c r="I23" s="259">
        <v>64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157.22796086083409</v>
      </c>
      <c r="E25" s="285">
        <f>E19+E21+E23</f>
        <v>159.95153852523705</v>
      </c>
      <c r="F25" s="285">
        <f>F19+F21+F23</f>
        <v>157.38930503915464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44042" r:id="rId4">
          <objectPr defaultSize="0" autoPict="0" r:id="rId5">
            <anchor>
              <from>
                <xdr:col>1</xdr:col>
                <xdr:colOff>57150</xdr:colOff>
                <xdr:row>17</xdr:row>
                <xdr:rowOff>152400</xdr:rowOff>
              </from>
              <to>
                <xdr:col>1</xdr:col>
                <xdr:colOff>527050</xdr:colOff>
                <xdr:row>18</xdr:row>
                <xdr:rowOff>152400</xdr:rowOff>
              </to>
            </anchor>
          </objectPr>
        </oleObject>
      </mc:Choice>
      <mc:Fallback>
        <oleObject progId="Equation.3" shapeId="44042" r:id="rId4"/>
      </mc:Fallback>
    </mc:AlternateContent>
  </oleObject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 codeName="Sheet162">
    <tabColor rgb="FF0070C0"/>
  </sheetPr>
  <dimension ref="A2:M68"/>
  <sheetViews>
    <sheetView topLeftCell="A22" workbookViewId="0">
      <selection activeCell="D41" sqref="D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3.2149986890483997</v>
      </c>
      <c r="D21" s="573"/>
      <c r="E21" s="618">
        <f>SUM(E$22:E$23)</f>
        <v>3.2162830925701442</v>
      </c>
      <c r="F21" s="621"/>
      <c r="G21" s="618">
        <f>SUM(G$22:G$23)</f>
        <v>3.2150879413472095</v>
      </c>
      <c r="H21" s="573"/>
    </row>
    <row r="22" spans="1:8">
      <c r="A22" s="605"/>
      <c r="B22" s="614" t="s">
        <v>455</v>
      </c>
      <c r="C22" s="613">
        <f>SUM(C$24:C$25)</f>
        <v>3.1492499999999999</v>
      </c>
      <c r="D22" s="573"/>
      <c r="E22" s="613">
        <f>SUM(E$24:E$25)</f>
        <v>3.1492499999999999</v>
      </c>
      <c r="F22" s="621"/>
      <c r="G22" s="613">
        <f>SUM(G$24:G$25)</f>
        <v>3.1492499999999999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Nakuru!G10</f>
        <v>3.1492499999999999</v>
      </c>
      <c r="D24" s="623"/>
      <c r="E24" s="602">
        <f>C24</f>
        <v>3.1492499999999999</v>
      </c>
      <c r="F24" s="624"/>
      <c r="G24" s="602">
        <f>E24</f>
        <v>3.1492499999999999</v>
      </c>
      <c r="H24" s="573"/>
    </row>
    <row r="25" spans="1:8">
      <c r="A25" s="605"/>
      <c r="B25" s="622" t="s">
        <v>465</v>
      </c>
      <c r="C25" s="602">
        <f>Nakuru!D11/1.16</f>
        <v>0</v>
      </c>
      <c r="D25" s="623"/>
      <c r="E25" s="602">
        <f>Nakuru!E11/1.14</f>
        <v>0</v>
      </c>
      <c r="F25" s="624"/>
      <c r="G25" s="602">
        <f>Nakuru!F11/1.14</f>
        <v>0</v>
      </c>
      <c r="H25" s="573"/>
    </row>
    <row r="26" spans="1:8">
      <c r="A26" s="605"/>
      <c r="B26" s="622" t="s">
        <v>334</v>
      </c>
      <c r="C26" s="602">
        <f>Nakuru!D13</f>
        <v>6.5748689048399672E-2</v>
      </c>
      <c r="D26" s="623"/>
      <c r="E26" s="602">
        <f>Nakuru!E13</f>
        <v>6.703309257014424E-2</v>
      </c>
      <c r="F26" s="624"/>
      <c r="G26" s="602">
        <f>Nakuru!F13</f>
        <v>6.5837941347209814E-2</v>
      </c>
      <c r="H26" s="573"/>
    </row>
    <row r="27" spans="1:8">
      <c r="A27" s="605"/>
      <c r="B27" s="622" t="s">
        <v>332</v>
      </c>
      <c r="C27" s="602">
        <f>Nakuru!D15</f>
        <v>0</v>
      </c>
      <c r="D27" s="623"/>
      <c r="E27" s="602">
        <f>Nakuru!E15</f>
        <v>0</v>
      </c>
      <c r="F27" s="624"/>
      <c r="G27" s="602">
        <f>Nakuru!F15</f>
        <v>0</v>
      </c>
      <c r="H27" s="573"/>
    </row>
    <row r="28" spans="1:8">
      <c r="A28" s="605" t="s">
        <v>404</v>
      </c>
      <c r="B28" s="620" t="s">
        <v>427</v>
      </c>
      <c r="C28" s="618">
        <f>Nakuru!D17</f>
        <v>3.54</v>
      </c>
      <c r="D28" s="625"/>
      <c r="E28" s="626">
        <f>Nakuru!E17</f>
        <v>3.51</v>
      </c>
      <c r="F28" s="625"/>
      <c r="G28" s="618">
        <f>Nakuru!F17</f>
        <v>3.51</v>
      </c>
      <c r="H28" s="573"/>
    </row>
    <row r="29" spans="1:8">
      <c r="A29" s="605"/>
      <c r="B29" s="620" t="s">
        <v>440</v>
      </c>
      <c r="C29" s="618">
        <f>C$9+C$20+C$22+C$23+C$28</f>
        <v>147.54130984899359</v>
      </c>
      <c r="D29" s="625"/>
      <c r="E29" s="626">
        <f>E$9+E$20+E$22+E$23+E$28</f>
        <v>150.27650861649786</v>
      </c>
      <c r="F29" s="625"/>
      <c r="G29" s="618">
        <f>G$9+G$20+G$22+G$23+G$28</f>
        <v>147.68768082930481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</v>
      </c>
      <c r="E30" s="628"/>
      <c r="F30" s="627" t="str">
        <f>CONCATENATE("+ ",ROUND((E$29*0.08),2))</f>
        <v>+ 12.02</v>
      </c>
      <c r="G30" s="606"/>
      <c r="H30" s="627" t="str">
        <f>CONCATENATE("+ ",ROUND((G$29*0.08),2))</f>
        <v>+ 11.82</v>
      </c>
    </row>
    <row r="31" spans="1:8">
      <c r="A31" s="605"/>
      <c r="B31" s="620" t="s">
        <v>436</v>
      </c>
      <c r="C31" s="606">
        <f>C$9+C$20+C$21+C$28</f>
        <v>147.54130984899359</v>
      </c>
      <c r="D31" s="629"/>
      <c r="E31" s="628">
        <f>E$9+E$20+E$21+E$28</f>
        <v>150.27650861649786</v>
      </c>
      <c r="F31" s="629"/>
      <c r="G31" s="606">
        <f>G$9+G$20+G$21+G$28</f>
        <v>147.68768082930481</v>
      </c>
      <c r="H31" s="629"/>
    </row>
    <row r="32" spans="1:8" ht="15" thickBot="1">
      <c r="A32" s="605"/>
      <c r="B32" s="630" t="s">
        <v>448</v>
      </c>
      <c r="C32" s="631" t="str">
        <f>D30</f>
        <v>+ 11.8</v>
      </c>
      <c r="D32" s="632"/>
      <c r="E32" s="631" t="str">
        <f>F30</f>
        <v>+ 12.02</v>
      </c>
      <c r="F32" s="632"/>
      <c r="G32" s="631" t="str">
        <f>H30</f>
        <v>+ 11.82</v>
      </c>
      <c r="H32" s="632"/>
    </row>
    <row r="33" spans="1:8" ht="15" thickBot="1">
      <c r="A33" s="605"/>
      <c r="B33" s="633" t="s">
        <v>529</v>
      </c>
      <c r="C33" s="634">
        <f>C31+C32</f>
        <v>159.3413098489936</v>
      </c>
      <c r="D33" s="634">
        <f>D8+D10+D30</f>
        <v>4.4657298952329842</v>
      </c>
      <c r="E33" s="635">
        <f>E31+E32</f>
        <v>162.29650861649787</v>
      </c>
      <c r="F33" s="634">
        <f>F8+F10+F30</f>
        <v>3.687255147942162</v>
      </c>
      <c r="G33" s="634">
        <f>G31+G32</f>
        <v>159.5076808293048</v>
      </c>
      <c r="H33" s="636">
        <f>H8+H10+H30</f>
        <v>3.2693295242285849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159.3413098489936</v>
      </c>
      <c r="D37" s="573"/>
      <c r="E37" s="236">
        <f>E33</f>
        <v>162.29650861649787</v>
      </c>
      <c r="F37" s="573"/>
      <c r="G37" s="236">
        <f>G33</f>
        <v>159.5076808293048</v>
      </c>
      <c r="H37" s="629"/>
    </row>
    <row r="38" spans="1:8">
      <c r="A38" s="605"/>
      <c r="B38" s="637" t="s">
        <v>425</v>
      </c>
      <c r="C38" s="638"/>
      <c r="D38" s="609">
        <f>-C32</f>
        <v>-11.8</v>
      </c>
      <c r="E38" s="639"/>
      <c r="F38" s="609">
        <f>-E32</f>
        <v>-12.02</v>
      </c>
      <c r="G38" s="638"/>
      <c r="H38" s="609">
        <f>-G32</f>
        <v>-11.82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Nyahururu!G23</f>
        <v>0.76640880252521815</v>
      </c>
      <c r="D40" s="943"/>
      <c r="E40" s="880">
        <f>C40</f>
        <v>0.76640880252521815</v>
      </c>
      <c r="F40" s="943"/>
      <c r="G40" s="613">
        <f>C40</f>
        <v>0.76640880252521815</v>
      </c>
      <c r="H40" s="943"/>
    </row>
    <row r="41" spans="1:8" s="392" customFormat="1">
      <c r="A41" s="605"/>
      <c r="B41" s="617" t="s">
        <v>446</v>
      </c>
      <c r="C41" s="618">
        <f>SUM(C40)</f>
        <v>0.76640880252521815</v>
      </c>
      <c r="D41" s="618"/>
      <c r="E41" s="626">
        <f>SUM(E40)</f>
        <v>0.76640880252521815</v>
      </c>
      <c r="F41" s="944"/>
      <c r="G41" s="618">
        <f>SUM(G40)</f>
        <v>0.76640880252521815</v>
      </c>
      <c r="H41" s="944"/>
    </row>
    <row r="42" spans="1:8">
      <c r="A42" s="605" t="s">
        <v>642</v>
      </c>
      <c r="B42" s="503" t="s">
        <v>426</v>
      </c>
      <c r="C42" s="236">
        <f>Nakuru!D21</f>
        <v>8.19</v>
      </c>
      <c r="D42" s="573"/>
      <c r="E42" s="236">
        <f>Nakuru!E21</f>
        <v>8.19</v>
      </c>
      <c r="F42" s="573"/>
      <c r="G42" s="236">
        <f>Nakuru!F21</f>
        <v>8.19</v>
      </c>
      <c r="H42" s="629"/>
    </row>
    <row r="43" spans="1:8">
      <c r="B43" s="620" t="s">
        <v>447</v>
      </c>
      <c r="C43" s="613">
        <f>C$37+C$42+C$41</f>
        <v>168.29771865151881</v>
      </c>
      <c r="D43" s="610"/>
      <c r="E43" s="613">
        <f>E$37+E$42+E$41</f>
        <v>171.25291741902308</v>
      </c>
      <c r="F43" s="610"/>
      <c r="G43" s="236">
        <f>G$37+G$42+G$41</f>
        <v>168.46408963183001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156.4977186515188</v>
      </c>
      <c r="D46" s="610"/>
      <c r="E46" s="641">
        <f>E$43-E44-E45+F$38</f>
        <v>159.23291741902307</v>
      </c>
      <c r="F46" s="610"/>
      <c r="G46" s="642">
        <f>G$43-G44-G45+H$38</f>
        <v>156.64408963183001</v>
      </c>
      <c r="H46" s="573"/>
    </row>
    <row r="47" spans="1:8">
      <c r="B47" s="503" t="s">
        <v>445</v>
      </c>
      <c r="C47" s="644"/>
      <c r="D47" s="696" t="str">
        <f>CONCATENATE("+ ",ROUND((C$46*0.08),2))</f>
        <v>+ 12.52</v>
      </c>
      <c r="E47" s="644"/>
      <c r="F47" s="627" t="str">
        <f>CONCATENATE("+ ",ROUND((E$46*0.08),2))</f>
        <v>+ 12.74</v>
      </c>
      <c r="G47" s="645"/>
      <c r="H47" s="627" t="str">
        <f>CONCATENATE("+ ",ROUND((G$46*0.08),2))</f>
        <v>+ 12.53</v>
      </c>
    </row>
    <row r="48" spans="1:8" ht="15" thickBot="1">
      <c r="B48" s="646" t="s">
        <v>449</v>
      </c>
      <c r="C48" s="697" t="str">
        <f>D47</f>
        <v>+ 12.52</v>
      </c>
      <c r="D48" s="632"/>
      <c r="E48" s="631" t="str">
        <f>F47</f>
        <v>+ 12.74</v>
      </c>
      <c r="F48" s="632"/>
      <c r="G48" s="631" t="str">
        <f>H47</f>
        <v>+ 12.53</v>
      </c>
      <c r="H48" s="632"/>
    </row>
    <row r="49" spans="1:9" s="392" customFormat="1" ht="15" thickBot="1">
      <c r="B49" s="647" t="s">
        <v>452</v>
      </c>
      <c r="C49" s="648">
        <f>C$46+C$48+C$44+C$45</f>
        <v>169.01771865151881</v>
      </c>
      <c r="D49" s="649">
        <f>D38+D47</f>
        <v>0.71999999999999886</v>
      </c>
      <c r="E49" s="648">
        <f>E$46+E$48+E$44+E$45</f>
        <v>171.97291741902308</v>
      </c>
      <c r="F49" s="649">
        <f>F38+F47</f>
        <v>0.72000000000000064</v>
      </c>
      <c r="G49" s="650">
        <f>G$46+G$48+G$44+G$45</f>
        <v>169.17408963183001</v>
      </c>
      <c r="H49" s="651">
        <f>H38+H47</f>
        <v>0.70999999999999908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 codeName="Sheet163">
    <tabColor rgb="FF00CC00"/>
  </sheetPr>
  <dimension ref="B2:K31"/>
  <sheetViews>
    <sheetView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759</v>
      </c>
      <c r="G2" s="160"/>
    </row>
    <row r="3" spans="2:11">
      <c r="C3" s="258" t="s">
        <v>27</v>
      </c>
      <c r="G3" s="160"/>
    </row>
    <row r="4" spans="2:11">
      <c r="C4" s="259" t="str">
        <f>Nairobi!C4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Nakuru!G8</f>
        <v>1.1599999999999999</v>
      </c>
      <c r="H8" s="262" t="str">
        <f>Nairobi!I7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$G$10*$G$9*$G$8</f>
        <v>3.6531299999999995</v>
      </c>
      <c r="E9" s="269">
        <f>$G$10*$G$9*$G$8</f>
        <v>3.6531299999999995</v>
      </c>
      <c r="F9" s="269">
        <f>$G$10*G6*$G$8</f>
        <v>3.6531299999999995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93"/>
      <c r="F10" s="274"/>
      <c r="G10" s="272">
        <f>Nakuru!G10</f>
        <v>3.1492499999999999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Nakuru!D11</f>
        <v>0</v>
      </c>
      <c r="E11" s="294">
        <f>$G$11*G12*$G$8</f>
        <v>0</v>
      </c>
      <c r="F11" s="269">
        <v>0</v>
      </c>
      <c r="G11" s="273">
        <f>'Bridging - Sept 2013'!E23*G14/1000</f>
        <v>5.8802477075952657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645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Nakuru!D17</f>
        <v>3.54</v>
      </c>
      <c r="E17" s="280">
        <f>Nakuru!E17</f>
        <v>3.51</v>
      </c>
      <c r="F17" s="280">
        <f>Nakuru!F17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148.14892664990484</v>
      </c>
      <c r="E19" s="282">
        <f>SUM(E7:E18)</f>
        <v>150.8725043143078</v>
      </c>
      <c r="F19" s="282">
        <f>SUM(F7:F18)</f>
        <v>148.31027082822538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Nakuru!D21</f>
        <v>8.19</v>
      </c>
      <c r="E21" s="168">
        <f>Nakuru!E21</f>
        <v>8.19</v>
      </c>
      <c r="F21" s="168">
        <f>Nakuru!F21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4.097892066002025</v>
      </c>
      <c r="E23" s="283">
        <f t="shared" ref="E23:F23" si="0">$G$23*$G$8</f>
        <v>4.097892066002025</v>
      </c>
      <c r="F23" s="283">
        <f t="shared" si="0"/>
        <v>4.097892066002025</v>
      </c>
      <c r="G23" s="284">
        <f>'Delivery &gt;40km-Sept 2013'!E24*I23/1000</f>
        <v>3.5326655741396773</v>
      </c>
      <c r="H23" s="262" t="s">
        <v>128</v>
      </c>
      <c r="I23" s="259">
        <v>295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160.43681871590687</v>
      </c>
      <c r="E25" s="285">
        <f>E19+E21+E23</f>
        <v>163.16039638030983</v>
      </c>
      <c r="F25" s="285">
        <f>F19+F21+F23</f>
        <v>160.59816289422741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 codeName="Sheet164">
    <tabColor rgb="FF0000FF"/>
  </sheetPr>
  <dimension ref="A2:M68"/>
  <sheetViews>
    <sheetView topLeftCell="A23" workbookViewId="0">
      <selection activeCell="G28" sqref="G28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3.2149986890483997</v>
      </c>
      <c r="D21" s="573"/>
      <c r="E21" s="618">
        <f>SUM(E$22:E$23)</f>
        <v>3.2162830925701442</v>
      </c>
      <c r="F21" s="621"/>
      <c r="G21" s="618">
        <f>SUM(G$22:G$23)</f>
        <v>3.2150879413472095</v>
      </c>
      <c r="H21" s="573"/>
    </row>
    <row r="22" spans="1:8">
      <c r="A22" s="605"/>
      <c r="B22" s="614" t="s">
        <v>455</v>
      </c>
      <c r="C22" s="613">
        <f>SUM(C$24:C$25)</f>
        <v>3.1492499999999999</v>
      </c>
      <c r="D22" s="573"/>
      <c r="E22" s="613">
        <f>SUM(E$24:E$25)</f>
        <v>3.1492499999999999</v>
      </c>
      <c r="F22" s="621"/>
      <c r="G22" s="613">
        <f>SUM(G$24:G$25)</f>
        <v>3.1492499999999999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Nakuru!G10</f>
        <v>3.1492499999999999</v>
      </c>
      <c r="D24" s="623"/>
      <c r="E24" s="602">
        <f>C24</f>
        <v>3.1492499999999999</v>
      </c>
      <c r="F24" s="624"/>
      <c r="G24" s="602">
        <f>E24</f>
        <v>3.1492499999999999</v>
      </c>
      <c r="H24" s="573"/>
    </row>
    <row r="25" spans="1:8">
      <c r="A25" s="605"/>
      <c r="B25" s="622" t="s">
        <v>465</v>
      </c>
      <c r="C25" s="602">
        <f>Nakuru!D11/1.14</f>
        <v>0</v>
      </c>
      <c r="D25" s="623"/>
      <c r="E25" s="602">
        <f>Nakuru!E11/1.14</f>
        <v>0</v>
      </c>
      <c r="F25" s="624"/>
      <c r="G25" s="602">
        <f>Nakuru!F11/1.14</f>
        <v>0</v>
      </c>
      <c r="H25" s="573"/>
    </row>
    <row r="26" spans="1:8">
      <c r="A26" s="605"/>
      <c r="B26" s="622" t="s">
        <v>334</v>
      </c>
      <c r="C26" s="602">
        <f>Nakuru!D13</f>
        <v>6.5748689048399672E-2</v>
      </c>
      <c r="D26" s="623"/>
      <c r="E26" s="602">
        <f>Nakuru!E13</f>
        <v>6.703309257014424E-2</v>
      </c>
      <c r="F26" s="624"/>
      <c r="G26" s="602">
        <f>Nakuru!F13</f>
        <v>6.5837941347209814E-2</v>
      </c>
      <c r="H26" s="573"/>
    </row>
    <row r="27" spans="1:8">
      <c r="A27" s="605"/>
      <c r="B27" s="622" t="s">
        <v>332</v>
      </c>
      <c r="C27" s="602">
        <f>Nakuru!D15</f>
        <v>0</v>
      </c>
      <c r="D27" s="623"/>
      <c r="E27" s="602">
        <f>Nakuru!E15</f>
        <v>0</v>
      </c>
      <c r="F27" s="624"/>
      <c r="G27" s="602">
        <f>Nakuru!F15</f>
        <v>0</v>
      </c>
      <c r="H27" s="573"/>
    </row>
    <row r="28" spans="1:8">
      <c r="A28" s="605" t="s">
        <v>404</v>
      </c>
      <c r="B28" s="620" t="s">
        <v>427</v>
      </c>
      <c r="C28" s="618">
        <f>Nakuru!D17</f>
        <v>3.54</v>
      </c>
      <c r="D28" s="625"/>
      <c r="E28" s="626">
        <f>Nakuru!E17</f>
        <v>3.51</v>
      </c>
      <c r="F28" s="625"/>
      <c r="G28" s="618">
        <f>Nakuru!F17</f>
        <v>3.51</v>
      </c>
      <c r="H28" s="573"/>
    </row>
    <row r="29" spans="1:8">
      <c r="A29" s="605"/>
      <c r="B29" s="620" t="s">
        <v>440</v>
      </c>
      <c r="C29" s="618">
        <f>C$9+C$20+C$22+C$23+C$28</f>
        <v>147.54130984899359</v>
      </c>
      <c r="D29" s="625"/>
      <c r="E29" s="626">
        <f>E$9+E$20+E$22+E$23+E$28</f>
        <v>150.27650861649786</v>
      </c>
      <c r="F29" s="625"/>
      <c r="G29" s="618">
        <f>G$9+G$20+G$22+G$23+G$28</f>
        <v>147.68768082930481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</v>
      </c>
      <c r="E30" s="628"/>
      <c r="F30" s="627" t="str">
        <f>CONCATENATE("+ ",ROUND((E$29*0.08),2))</f>
        <v>+ 12.02</v>
      </c>
      <c r="G30" s="606"/>
      <c r="H30" s="627" t="str">
        <f>CONCATENATE("+ ",ROUND((G$29*0.08),2))</f>
        <v>+ 11.82</v>
      </c>
    </row>
    <row r="31" spans="1:8">
      <c r="A31" s="605"/>
      <c r="B31" s="620" t="s">
        <v>436</v>
      </c>
      <c r="C31" s="606">
        <f>C$9+C$20+C$21+C$28</f>
        <v>147.54130984899359</v>
      </c>
      <c r="D31" s="629"/>
      <c r="E31" s="628">
        <f>E$9+E$20+E$21+E$28</f>
        <v>150.27650861649786</v>
      </c>
      <c r="F31" s="629"/>
      <c r="G31" s="606">
        <f>G$9+G$20+G$21+G$28</f>
        <v>147.68768082930481</v>
      </c>
      <c r="H31" s="629"/>
    </row>
    <row r="32" spans="1:8" ht="15" thickBot="1">
      <c r="A32" s="605"/>
      <c r="B32" s="630" t="s">
        <v>448</v>
      </c>
      <c r="C32" s="631" t="str">
        <f>D30</f>
        <v>+ 11.8</v>
      </c>
      <c r="D32" s="632"/>
      <c r="E32" s="631" t="str">
        <f>F30</f>
        <v>+ 12.02</v>
      </c>
      <c r="F32" s="632"/>
      <c r="G32" s="631" t="str">
        <f>H30</f>
        <v>+ 11.82</v>
      </c>
      <c r="H32" s="632"/>
    </row>
    <row r="33" spans="1:8" ht="15" thickBot="1">
      <c r="A33" s="605"/>
      <c r="B33" s="633" t="s">
        <v>529</v>
      </c>
      <c r="C33" s="634">
        <f>C31+C32</f>
        <v>159.3413098489936</v>
      </c>
      <c r="D33" s="634">
        <f>D8+D10+D30</f>
        <v>4.4657298952329842</v>
      </c>
      <c r="E33" s="635">
        <f>E31+E32</f>
        <v>162.29650861649787</v>
      </c>
      <c r="F33" s="634">
        <f>F8+F10+F30</f>
        <v>3.687255147942162</v>
      </c>
      <c r="G33" s="634">
        <f>G31+G32</f>
        <v>159.5076808293048</v>
      </c>
      <c r="H33" s="636">
        <f>H8+H10+H30</f>
        <v>3.2693295242285849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159.3413098489936</v>
      </c>
      <c r="D37" s="573"/>
      <c r="E37" s="236">
        <f>E33</f>
        <v>162.29650861649787</v>
      </c>
      <c r="F37" s="573"/>
      <c r="G37" s="236">
        <f>G33</f>
        <v>159.5076808293048</v>
      </c>
      <c r="H37" s="629"/>
    </row>
    <row r="38" spans="1:8">
      <c r="A38" s="605"/>
      <c r="B38" s="637" t="s">
        <v>425</v>
      </c>
      <c r="C38" s="638"/>
      <c r="D38" s="609">
        <f>-C32</f>
        <v>-11.8</v>
      </c>
      <c r="E38" s="639"/>
      <c r="F38" s="609">
        <f>-E32</f>
        <v>-12.02</v>
      </c>
      <c r="G38" s="638"/>
      <c r="H38" s="609">
        <f>-G32</f>
        <v>-11.82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'Archers Post'!G23</f>
        <v>3.5326655741396773</v>
      </c>
      <c r="D40" s="943"/>
      <c r="E40" s="880">
        <f>C40</f>
        <v>3.5326655741396773</v>
      </c>
      <c r="F40" s="943"/>
      <c r="G40" s="613">
        <f>C40</f>
        <v>3.5326655741396773</v>
      </c>
      <c r="H40" s="943"/>
    </row>
    <row r="41" spans="1:8" s="392" customFormat="1">
      <c r="A41" s="605"/>
      <c r="B41" s="617" t="s">
        <v>446</v>
      </c>
      <c r="C41" s="618">
        <f>SUM(C40)</f>
        <v>3.5326655741396773</v>
      </c>
      <c r="D41" s="618"/>
      <c r="E41" s="626">
        <f>SUM(E40)</f>
        <v>3.5326655741396773</v>
      </c>
      <c r="F41" s="944"/>
      <c r="G41" s="618">
        <f>SUM(G40)</f>
        <v>3.5326655741396773</v>
      </c>
      <c r="H41" s="944"/>
    </row>
    <row r="42" spans="1:8">
      <c r="A42" s="605" t="s">
        <v>642</v>
      </c>
      <c r="B42" s="503" t="s">
        <v>426</v>
      </c>
      <c r="C42" s="236">
        <f>Nakuru!D21</f>
        <v>8.19</v>
      </c>
      <c r="D42" s="573"/>
      <c r="E42" s="236">
        <f>Nakuru!E21</f>
        <v>8.19</v>
      </c>
      <c r="F42" s="573"/>
      <c r="G42" s="236">
        <f>Nakuru!F21</f>
        <v>8.19</v>
      </c>
      <c r="H42" s="629"/>
    </row>
    <row r="43" spans="1:8">
      <c r="B43" s="620" t="s">
        <v>447</v>
      </c>
      <c r="C43" s="613">
        <f>C$37+C$42+C$41</f>
        <v>171.06397542313329</v>
      </c>
      <c r="D43" s="610"/>
      <c r="E43" s="613">
        <f>E$37+E$42+E$41</f>
        <v>174.01917419063756</v>
      </c>
      <c r="F43" s="610"/>
      <c r="G43" s="236">
        <f>G$37+G$42+G$41</f>
        <v>171.23034640344449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159.26397542313327</v>
      </c>
      <c r="D46" s="610"/>
      <c r="E46" s="641">
        <f>E$43-E44-E45+F$38</f>
        <v>161.99917419063755</v>
      </c>
      <c r="F46" s="610"/>
      <c r="G46" s="642">
        <f>G$43-G44-G45+H$38</f>
        <v>159.41034640344449</v>
      </c>
      <c r="H46" s="573"/>
    </row>
    <row r="47" spans="1:8">
      <c r="B47" s="503" t="s">
        <v>445</v>
      </c>
      <c r="C47" s="644"/>
      <c r="D47" s="696" t="str">
        <f>CONCATENATE("+ ",ROUND((C$46*0.08),2))</f>
        <v>+ 12.74</v>
      </c>
      <c r="E47" s="644"/>
      <c r="F47" s="627" t="str">
        <f>CONCATENATE("+ ",ROUND((E$46*0.08),2))</f>
        <v>+ 12.96</v>
      </c>
      <c r="G47" s="645"/>
      <c r="H47" s="627" t="str">
        <f>CONCATENATE("+ ",ROUND((G$46*0.08),2))</f>
        <v>+ 12.75</v>
      </c>
    </row>
    <row r="48" spans="1:8" ht="15" thickBot="1">
      <c r="B48" s="646" t="s">
        <v>449</v>
      </c>
      <c r="C48" s="697" t="str">
        <f>D47</f>
        <v>+ 12.74</v>
      </c>
      <c r="D48" s="632"/>
      <c r="E48" s="631" t="str">
        <f>F47</f>
        <v>+ 12.96</v>
      </c>
      <c r="F48" s="632"/>
      <c r="G48" s="631" t="str">
        <f>H47</f>
        <v>+ 12.75</v>
      </c>
      <c r="H48" s="632"/>
    </row>
    <row r="49" spans="1:9" s="392" customFormat="1" ht="15" thickBot="1">
      <c r="B49" s="647" t="s">
        <v>452</v>
      </c>
      <c r="C49" s="648">
        <f>C$46+C$48+C$44+C$45</f>
        <v>172.00397542313328</v>
      </c>
      <c r="D49" s="649">
        <f>D38+D47</f>
        <v>0.9399999999999995</v>
      </c>
      <c r="E49" s="648">
        <f>E$46+E$48+E$44+E$45</f>
        <v>174.95917419063755</v>
      </c>
      <c r="F49" s="649">
        <f>F38+F47</f>
        <v>0.94000000000000128</v>
      </c>
      <c r="G49" s="650">
        <f>G$46+G$48+G$44+G$45</f>
        <v>172.16034640344449</v>
      </c>
      <c r="H49" s="651">
        <f>H38+H47</f>
        <v>0.92999999999999972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 codeName="Sheet165">
    <tabColor rgb="FF00CC00"/>
  </sheetPr>
  <dimension ref="B2:K31"/>
  <sheetViews>
    <sheetView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760</v>
      </c>
      <c r="G2" s="160"/>
    </row>
    <row r="3" spans="2:11">
      <c r="C3" s="258" t="s">
        <v>27</v>
      </c>
      <c r="G3" s="160"/>
    </row>
    <row r="4" spans="2:11">
      <c r="C4" s="259" t="str">
        <f>Nairobi!C4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Nakuru!G8</f>
        <v>1.1599999999999999</v>
      </c>
      <c r="H8" s="262" t="str">
        <f>Nairobi!I7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Nakuru!D9</f>
        <v>3.6531299999999995</v>
      </c>
      <c r="E9" s="269">
        <f>$G$10*$G$9*$G$8</f>
        <v>3.6531299999999995</v>
      </c>
      <c r="F9" s="269">
        <f>$G$10*G6*$G$8</f>
        <v>3.6531299999999995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93"/>
      <c r="F10" s="274"/>
      <c r="G10" s="272">
        <f>Nakuru!G10</f>
        <v>3.1492499999999999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Nakuru!D11</f>
        <v>0</v>
      </c>
      <c r="E11" s="294">
        <f>$G$11*G12*$G$8</f>
        <v>0</v>
      </c>
      <c r="F11" s="269">
        <v>0</v>
      </c>
      <c r="G11" s="273">
        <f>'Bridging - Sept 2013'!E23*G14/1000</f>
        <v>5.8802477075952657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645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Nakuru!D17</f>
        <v>3.54</v>
      </c>
      <c r="E17" s="280">
        <f>Nakuru!E17</f>
        <v>3.51</v>
      </c>
      <c r="F17" s="280">
        <f>Nakuru!F17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148.14892664990484</v>
      </c>
      <c r="E19" s="282">
        <f>SUM(E7:E18)</f>
        <v>150.8725043143078</v>
      </c>
      <c r="F19" s="282">
        <f>SUM(F7:F18)</f>
        <v>148.31027082822538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Nakuru!D21</f>
        <v>8.19</v>
      </c>
      <c r="E21" s="168">
        <f>Nakuru!E21</f>
        <v>8.19</v>
      </c>
      <c r="F21" s="168">
        <f>Nakuru!F21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5.2786406273924396</v>
      </c>
      <c r="E23" s="283">
        <f t="shared" ref="E23:F23" si="0">$G$23*$G$8</f>
        <v>5.2786406273924396</v>
      </c>
      <c r="F23" s="283">
        <f t="shared" si="0"/>
        <v>5.2786406273924396</v>
      </c>
      <c r="G23" s="284">
        <f>'Delivery &gt;40km-Sept 2013'!E24*I23/1000</f>
        <v>4.5505522649934829</v>
      </c>
      <c r="H23" s="262" t="s">
        <v>128</v>
      </c>
      <c r="I23" s="259">
        <v>380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161.61756727729727</v>
      </c>
      <c r="E25" s="285">
        <f>E19+E21+E23</f>
        <v>164.34114494170024</v>
      </c>
      <c r="F25" s="285">
        <f>F19+F21+F23</f>
        <v>161.77891145561782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 codeName="Sheet166">
    <tabColor rgb="FF0000FF"/>
  </sheetPr>
  <dimension ref="A2:M68"/>
  <sheetViews>
    <sheetView topLeftCell="A22" workbookViewId="0">
      <selection activeCell="D60" sqref="D60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3.2149986890483997</v>
      </c>
      <c r="D21" s="573"/>
      <c r="E21" s="618">
        <f>SUM(E$22:E$23)</f>
        <v>3.2162830925701442</v>
      </c>
      <c r="F21" s="621"/>
      <c r="G21" s="618">
        <f>SUM(G$22:G$23)</f>
        <v>3.2150879413472095</v>
      </c>
      <c r="H21" s="573"/>
    </row>
    <row r="22" spans="1:8">
      <c r="A22" s="605"/>
      <c r="B22" s="614" t="s">
        <v>455</v>
      </c>
      <c r="C22" s="613">
        <f>SUM(C$24:C$25)</f>
        <v>3.1492499999999999</v>
      </c>
      <c r="D22" s="573"/>
      <c r="E22" s="613">
        <f>SUM(E$24:E$25)</f>
        <v>3.1492499999999999</v>
      </c>
      <c r="F22" s="621"/>
      <c r="G22" s="613">
        <f>SUM(G$24:G$25)</f>
        <v>3.1492499999999999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Nakuru!G10</f>
        <v>3.1492499999999999</v>
      </c>
      <c r="D24" s="623"/>
      <c r="E24" s="602">
        <f>C24</f>
        <v>3.1492499999999999</v>
      </c>
      <c r="F24" s="624"/>
      <c r="G24" s="602">
        <f>E24</f>
        <v>3.1492499999999999</v>
      </c>
      <c r="H24" s="573"/>
    </row>
    <row r="25" spans="1:8">
      <c r="A25" s="605"/>
      <c r="B25" s="622" t="s">
        <v>465</v>
      </c>
      <c r="C25" s="602">
        <f>Nakuru!D11/1.16</f>
        <v>0</v>
      </c>
      <c r="D25" s="623"/>
      <c r="E25" s="602">
        <f>Nakuru!E11/1.14</f>
        <v>0</v>
      </c>
      <c r="F25" s="624"/>
      <c r="G25" s="602">
        <f>Nakuru!F11/1.14</f>
        <v>0</v>
      </c>
      <c r="H25" s="573"/>
    </row>
    <row r="26" spans="1:8">
      <c r="A26" s="605"/>
      <c r="B26" s="622" t="s">
        <v>334</v>
      </c>
      <c r="C26" s="602">
        <f>Nakuru!D13</f>
        <v>6.5748689048399672E-2</v>
      </c>
      <c r="D26" s="623"/>
      <c r="E26" s="602">
        <f>Nakuru!E13</f>
        <v>6.703309257014424E-2</v>
      </c>
      <c r="F26" s="624"/>
      <c r="G26" s="602">
        <f>Nakuru!F13</f>
        <v>6.5837941347209814E-2</v>
      </c>
      <c r="H26" s="573"/>
    </row>
    <row r="27" spans="1:8">
      <c r="A27" s="605"/>
      <c r="B27" s="622" t="s">
        <v>332</v>
      </c>
      <c r="C27" s="602">
        <f>Nakuru!D15</f>
        <v>0</v>
      </c>
      <c r="D27" s="623"/>
      <c r="E27" s="602">
        <f>Nakuru!E15</f>
        <v>0</v>
      </c>
      <c r="F27" s="624"/>
      <c r="G27" s="602">
        <f>Nakuru!F15</f>
        <v>0</v>
      </c>
      <c r="H27" s="573"/>
    </row>
    <row r="28" spans="1:8">
      <c r="A28" s="605" t="s">
        <v>404</v>
      </c>
      <c r="B28" s="620" t="s">
        <v>427</v>
      </c>
      <c r="C28" s="618">
        <f>Nakuru!D17</f>
        <v>3.54</v>
      </c>
      <c r="D28" s="625"/>
      <c r="E28" s="626">
        <f>Nakuru!E17</f>
        <v>3.51</v>
      </c>
      <c r="F28" s="625"/>
      <c r="G28" s="618">
        <f>Nakuru!F17</f>
        <v>3.51</v>
      </c>
      <c r="H28" s="573"/>
    </row>
    <row r="29" spans="1:8">
      <c r="A29" s="605"/>
      <c r="B29" s="620" t="s">
        <v>440</v>
      </c>
      <c r="C29" s="618">
        <f>C$9+C$20+C$22+C$23+C$28</f>
        <v>147.54130984899359</v>
      </c>
      <c r="D29" s="625"/>
      <c r="E29" s="626">
        <f>E$9+E$20+E$22+E$23+E$28</f>
        <v>150.27650861649786</v>
      </c>
      <c r="F29" s="625"/>
      <c r="G29" s="618">
        <f>G$9+G$20+G$22+G$23+G$28</f>
        <v>147.68768082930481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</v>
      </c>
      <c r="E30" s="628"/>
      <c r="F30" s="627" t="str">
        <f>CONCATENATE("+ ",ROUND((E$29*0.08),2))</f>
        <v>+ 12.02</v>
      </c>
      <c r="G30" s="606"/>
      <c r="H30" s="627" t="str">
        <f>CONCATENATE("+ ",ROUND((G$29*0.08),2))</f>
        <v>+ 11.82</v>
      </c>
    </row>
    <row r="31" spans="1:8">
      <c r="A31" s="605"/>
      <c r="B31" s="620" t="s">
        <v>436</v>
      </c>
      <c r="C31" s="606">
        <f>C$9+C$20+C$21+C$28</f>
        <v>147.54130984899359</v>
      </c>
      <c r="D31" s="629"/>
      <c r="E31" s="628">
        <f>E$9+E$20+E$21+E$28</f>
        <v>150.27650861649786</v>
      </c>
      <c r="F31" s="629"/>
      <c r="G31" s="606">
        <f>G$9+G$20+G$21+G$28</f>
        <v>147.68768082930481</v>
      </c>
      <c r="H31" s="629"/>
    </row>
    <row r="32" spans="1:8" ht="15" thickBot="1">
      <c r="A32" s="605"/>
      <c r="B32" s="630" t="s">
        <v>448</v>
      </c>
      <c r="C32" s="631" t="str">
        <f>D30</f>
        <v>+ 11.8</v>
      </c>
      <c r="D32" s="632"/>
      <c r="E32" s="631" t="str">
        <f>F30</f>
        <v>+ 12.02</v>
      </c>
      <c r="F32" s="632"/>
      <c r="G32" s="631" t="str">
        <f>H30</f>
        <v>+ 11.82</v>
      </c>
      <c r="H32" s="632"/>
    </row>
    <row r="33" spans="1:8" ht="15" thickBot="1">
      <c r="A33" s="605"/>
      <c r="B33" s="633" t="s">
        <v>529</v>
      </c>
      <c r="C33" s="634">
        <f>C31+C32</f>
        <v>159.3413098489936</v>
      </c>
      <c r="D33" s="634">
        <f>D8+D10+D30</f>
        <v>4.4657298952329842</v>
      </c>
      <c r="E33" s="635">
        <f>E31+E32</f>
        <v>162.29650861649787</v>
      </c>
      <c r="F33" s="634">
        <f>F8+F10+F30</f>
        <v>3.687255147942162</v>
      </c>
      <c r="G33" s="634">
        <f>G31+G32</f>
        <v>159.5076808293048</v>
      </c>
      <c r="H33" s="636">
        <f>H8+H10+H30</f>
        <v>3.2693295242285849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159.3413098489936</v>
      </c>
      <c r="D37" s="573"/>
      <c r="E37" s="236">
        <f>E33</f>
        <v>162.29650861649787</v>
      </c>
      <c r="F37" s="573"/>
      <c r="G37" s="236">
        <f>G33</f>
        <v>159.5076808293048</v>
      </c>
      <c r="H37" s="629"/>
    </row>
    <row r="38" spans="1:8">
      <c r="A38" s="605"/>
      <c r="B38" s="637" t="s">
        <v>425</v>
      </c>
      <c r="C38" s="638"/>
      <c r="D38" s="609">
        <f>-C32</f>
        <v>-11.8</v>
      </c>
      <c r="E38" s="639"/>
      <c r="F38" s="609">
        <f>-E32</f>
        <v>-12.02</v>
      </c>
      <c r="G38" s="638"/>
      <c r="H38" s="609">
        <f>-G32</f>
        <v>-11.82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Lodosoit!G23</f>
        <v>4.5505522649934829</v>
      </c>
      <c r="D40" s="943"/>
      <c r="E40" s="880">
        <f>C40</f>
        <v>4.5505522649934829</v>
      </c>
      <c r="F40" s="943"/>
      <c r="G40" s="613">
        <f>C40</f>
        <v>4.5505522649934829</v>
      </c>
      <c r="H40" s="943"/>
    </row>
    <row r="41" spans="1:8" s="392" customFormat="1">
      <c r="A41" s="605"/>
      <c r="B41" s="617" t="s">
        <v>446</v>
      </c>
      <c r="C41" s="618">
        <f>SUM(C40)</f>
        <v>4.5505522649934829</v>
      </c>
      <c r="D41" s="618"/>
      <c r="E41" s="626">
        <f>SUM(E40)</f>
        <v>4.5505522649934829</v>
      </c>
      <c r="F41" s="944"/>
      <c r="G41" s="618">
        <f>SUM(G40)</f>
        <v>4.5505522649934829</v>
      </c>
      <c r="H41" s="944"/>
    </row>
    <row r="42" spans="1:8">
      <c r="A42" s="605" t="s">
        <v>642</v>
      </c>
      <c r="B42" s="503" t="s">
        <v>426</v>
      </c>
      <c r="C42" s="236">
        <f>Nakuru!D21</f>
        <v>8.19</v>
      </c>
      <c r="D42" s="573"/>
      <c r="E42" s="236">
        <f>Nakuru!E21</f>
        <v>8.19</v>
      </c>
      <c r="F42" s="573"/>
      <c r="G42" s="236">
        <f>Nakuru!F21</f>
        <v>8.19</v>
      </c>
      <c r="H42" s="629"/>
    </row>
    <row r="43" spans="1:8">
      <c r="B43" s="620" t="s">
        <v>447</v>
      </c>
      <c r="C43" s="613">
        <f>C$37+C$42+C$41</f>
        <v>172.08186211398709</v>
      </c>
      <c r="D43" s="610"/>
      <c r="E43" s="613">
        <f>E$37+E$42+E$41</f>
        <v>175.03706088149136</v>
      </c>
      <c r="F43" s="610"/>
      <c r="G43" s="236">
        <f>G$37+G$42+G$41</f>
        <v>172.24823309429829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160.28186211398707</v>
      </c>
      <c r="D46" s="610"/>
      <c r="E46" s="641">
        <f>E$43-E44-E45+F$38</f>
        <v>163.01706088149135</v>
      </c>
      <c r="F46" s="610"/>
      <c r="G46" s="642">
        <f>G$43-G44-G45+H$38</f>
        <v>160.42823309429829</v>
      </c>
      <c r="H46" s="573"/>
    </row>
    <row r="47" spans="1:8">
      <c r="B47" s="503" t="s">
        <v>445</v>
      </c>
      <c r="C47" s="644"/>
      <c r="D47" s="696" t="str">
        <f>CONCATENATE("+ ",ROUND((C$46*0.08),2))</f>
        <v>+ 12.82</v>
      </c>
      <c r="E47" s="644"/>
      <c r="F47" s="627" t="str">
        <f>CONCATENATE("+ ",ROUND((E$46*0.08),2))</f>
        <v>+ 13.04</v>
      </c>
      <c r="G47" s="645"/>
      <c r="H47" s="627" t="str">
        <f>CONCATENATE("+ ",ROUND((G$46*0.08),2))</f>
        <v>+ 12.83</v>
      </c>
    </row>
    <row r="48" spans="1:8" ht="15" thickBot="1">
      <c r="B48" s="646" t="s">
        <v>449</v>
      </c>
      <c r="C48" s="697" t="str">
        <f>D47</f>
        <v>+ 12.82</v>
      </c>
      <c r="D48" s="632"/>
      <c r="E48" s="631" t="str">
        <f>F47</f>
        <v>+ 13.04</v>
      </c>
      <c r="F48" s="632"/>
      <c r="G48" s="631" t="str">
        <f>H47</f>
        <v>+ 12.83</v>
      </c>
      <c r="H48" s="632"/>
    </row>
    <row r="49" spans="1:9" s="392" customFormat="1" ht="15" thickBot="1">
      <c r="B49" s="647" t="s">
        <v>452</v>
      </c>
      <c r="C49" s="648">
        <f>C$46+C$48+C$44+C$45</f>
        <v>173.10186211398707</v>
      </c>
      <c r="D49" s="649">
        <f>D38+D47</f>
        <v>1.0199999999999996</v>
      </c>
      <c r="E49" s="648">
        <f>E$46+E$48+E$44+E$45</f>
        <v>176.05706088149134</v>
      </c>
      <c r="F49" s="649">
        <f>F38+F47</f>
        <v>1.0199999999999996</v>
      </c>
      <c r="G49" s="650">
        <f>G$46+G$48+G$44+G$45</f>
        <v>173.2582330942983</v>
      </c>
      <c r="H49" s="651">
        <f>H38+H47</f>
        <v>1.0099999999999998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 codeName="Sheet167">
    <tabColor rgb="FF00CC00"/>
  </sheetPr>
  <dimension ref="B2:K31"/>
  <sheetViews>
    <sheetView workbookViewId="0">
      <selection activeCell="G8" sqref="G8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85</v>
      </c>
      <c r="G2" s="160"/>
    </row>
    <row r="3" spans="2:11">
      <c r="C3" s="258" t="s">
        <v>27</v>
      </c>
      <c r="G3" s="160"/>
    </row>
    <row r="4" spans="2:11">
      <c r="C4" s="259" t="str">
        <f>Nairobi!C4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Nakuru!G8</f>
        <v>1.1599999999999999</v>
      </c>
      <c r="H8" s="262" t="str">
        <f>Nairobi!I7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Nakuru!D9</f>
        <v>3.6531299999999995</v>
      </c>
      <c r="E9" s="269">
        <f>Nakuru!E9</f>
        <v>3.6531299999999995</v>
      </c>
      <c r="F9" s="269">
        <f>Nakuru!F9</f>
        <v>3.6531299999999995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93"/>
      <c r="F10" s="274"/>
      <c r="G10" s="272">
        <f>Nakuru!G10</f>
        <v>3.1492499999999999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Nakuru!D11</f>
        <v>0</v>
      </c>
      <c r="E11" s="294">
        <f>$G$11*G12*$G$8</f>
        <v>0</v>
      </c>
      <c r="F11" s="269">
        <v>0</v>
      </c>
      <c r="G11" s="273">
        <f>'Bridging - Sept 2013'!E23*G14/1000</f>
        <v>5.8802477075952657</v>
      </c>
      <c r="H11" s="262" t="s">
        <v>273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645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Nakuru!D17</f>
        <v>3.54</v>
      </c>
      <c r="E17" s="280">
        <f>Nakuru!E17</f>
        <v>3.51</v>
      </c>
      <c r="F17" s="280">
        <f>Nakuru!F17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148.14892664990484</v>
      </c>
      <c r="E19" s="282">
        <f>SUM(E7:E18)</f>
        <v>150.8725043143078</v>
      </c>
      <c r="F19" s="282">
        <f>SUM(F7:F18)</f>
        <v>148.31027082822538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Nakuru!D21</f>
        <v>8.19</v>
      </c>
      <c r="E21" s="168">
        <f>Nakuru!E21</f>
        <v>8.19</v>
      </c>
      <c r="F21" s="168">
        <f>Nakuru!F21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0.97238116820387033</v>
      </c>
      <c r="E23" s="283">
        <f t="shared" ref="E23:F23" si="0">$G$23*$G$8</f>
        <v>0.97238116820387033</v>
      </c>
      <c r="F23" s="283">
        <f t="shared" si="0"/>
        <v>0.97238116820387033</v>
      </c>
      <c r="G23" s="284">
        <f>'Delivery &gt;40km-Sept 2013'!E24*I23/1000</f>
        <v>0.83825962776195728</v>
      </c>
      <c r="H23" s="262" t="s">
        <v>128</v>
      </c>
      <c r="I23" s="259">
        <v>70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157.3113078181087</v>
      </c>
      <c r="E25" s="285">
        <f>E19+E21+E23</f>
        <v>160.03488548251167</v>
      </c>
      <c r="F25" s="285">
        <f>F19+F21+F23</f>
        <v>157.47265199642925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pageSetup scale="75" orientation="landscape" r:id="rId1"/>
  <drawing r:id="rId2"/>
  <legacyDrawing r:id="rId3"/>
  <oleObjects>
    <mc:AlternateContent xmlns:mc="http://schemas.openxmlformats.org/markup-compatibility/2006">
      <mc:Choice Requires="x14">
        <oleObject progId="Equation.3" shapeId="64522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64522" r:id="rId4"/>
      </mc:Fallback>
    </mc:AlternateContent>
  </oleObject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 codeName="Sheet168">
    <tabColor rgb="FF0070C0"/>
  </sheetPr>
  <dimension ref="A2:M68"/>
  <sheetViews>
    <sheetView topLeftCell="A25" workbookViewId="0">
      <selection activeCell="C58" sqref="C58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3.2149986890483997</v>
      </c>
      <c r="D21" s="573"/>
      <c r="E21" s="618">
        <f>SUM(E$22:E$23)</f>
        <v>3.2162830925701442</v>
      </c>
      <c r="F21" s="621"/>
      <c r="G21" s="618">
        <f>SUM(G$22:G$23)</f>
        <v>3.2150879413472095</v>
      </c>
      <c r="H21" s="573"/>
    </row>
    <row r="22" spans="1:8">
      <c r="A22" s="605"/>
      <c r="B22" s="614" t="s">
        <v>455</v>
      </c>
      <c r="C22" s="613">
        <f>SUM(C$24:C$25)</f>
        <v>3.1492499999999999</v>
      </c>
      <c r="D22" s="573"/>
      <c r="E22" s="613">
        <f>SUM(E$24:E$25)</f>
        <v>3.1492499999999999</v>
      </c>
      <c r="F22" s="621"/>
      <c r="G22" s="613">
        <f>SUM(G$24:G$25)</f>
        <v>3.1492499999999999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Nakuru!G10</f>
        <v>3.1492499999999999</v>
      </c>
      <c r="D24" s="623"/>
      <c r="E24" s="602">
        <f>C24</f>
        <v>3.1492499999999999</v>
      </c>
      <c r="F24" s="624"/>
      <c r="G24" s="602">
        <f>E24</f>
        <v>3.1492499999999999</v>
      </c>
      <c r="H24" s="573"/>
    </row>
    <row r="25" spans="1:8">
      <c r="A25" s="605"/>
      <c r="B25" s="622" t="s">
        <v>465</v>
      </c>
      <c r="C25" s="602">
        <f>Nakuru!D11/1.16</f>
        <v>0</v>
      </c>
      <c r="D25" s="623"/>
      <c r="E25" s="602">
        <f>Nakuru!E11/1.14</f>
        <v>0</v>
      </c>
      <c r="F25" s="624"/>
      <c r="G25" s="602">
        <f>Nakuru!F11/1.14</f>
        <v>0</v>
      </c>
      <c r="H25" s="573"/>
    </row>
    <row r="26" spans="1:8">
      <c r="A26" s="605"/>
      <c r="B26" s="622" t="s">
        <v>334</v>
      </c>
      <c r="C26" s="602">
        <f>Nakuru!D13</f>
        <v>6.5748689048399672E-2</v>
      </c>
      <c r="D26" s="623"/>
      <c r="E26" s="602">
        <f>Nakuru!E13</f>
        <v>6.703309257014424E-2</v>
      </c>
      <c r="F26" s="624"/>
      <c r="G26" s="602">
        <f>Nakuru!F13</f>
        <v>6.5837941347209814E-2</v>
      </c>
      <c r="H26" s="573"/>
    </row>
    <row r="27" spans="1:8">
      <c r="A27" s="605"/>
      <c r="B27" s="622" t="s">
        <v>332</v>
      </c>
      <c r="C27" s="602">
        <f>Nakuru!D15</f>
        <v>0</v>
      </c>
      <c r="D27" s="623"/>
      <c r="E27" s="602">
        <f>Nakuru!E15</f>
        <v>0</v>
      </c>
      <c r="F27" s="624"/>
      <c r="G27" s="602">
        <f>Nakuru!F15</f>
        <v>0</v>
      </c>
      <c r="H27" s="573"/>
    </row>
    <row r="28" spans="1:8">
      <c r="A28" s="605" t="s">
        <v>404</v>
      </c>
      <c r="B28" s="620" t="s">
        <v>427</v>
      </c>
      <c r="C28" s="618">
        <f>Nakuru!D17</f>
        <v>3.54</v>
      </c>
      <c r="D28" s="625"/>
      <c r="E28" s="626">
        <f>Nakuru!E17</f>
        <v>3.51</v>
      </c>
      <c r="F28" s="625"/>
      <c r="G28" s="618">
        <f>Nakuru!F17</f>
        <v>3.51</v>
      </c>
      <c r="H28" s="573"/>
    </row>
    <row r="29" spans="1:8">
      <c r="A29" s="605"/>
      <c r="B29" s="620" t="s">
        <v>440</v>
      </c>
      <c r="C29" s="618">
        <f>C$9+C$20+C$22+C$23+C$28</f>
        <v>147.54130984899359</v>
      </c>
      <c r="D29" s="625"/>
      <c r="E29" s="626">
        <f>E$9+E$20+E$22+E$23+E$28</f>
        <v>150.27650861649786</v>
      </c>
      <c r="F29" s="625"/>
      <c r="G29" s="618">
        <f>G$9+G$20+G$22+G$23+G$28</f>
        <v>147.68768082930481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</v>
      </c>
      <c r="E30" s="628"/>
      <c r="F30" s="627" t="str">
        <f>CONCATENATE("+ ",ROUND((E$29*0.08),2))</f>
        <v>+ 12.02</v>
      </c>
      <c r="G30" s="606"/>
      <c r="H30" s="627" t="str">
        <f>CONCATENATE("+ ",ROUND((G$29*0.08),2))</f>
        <v>+ 11.82</v>
      </c>
    </row>
    <row r="31" spans="1:8">
      <c r="A31" s="605"/>
      <c r="B31" s="620" t="s">
        <v>436</v>
      </c>
      <c r="C31" s="606">
        <f>C$9+C$20+C$21+C$28</f>
        <v>147.54130984899359</v>
      </c>
      <c r="D31" s="629"/>
      <c r="E31" s="628">
        <f>E$9+E$20+E$21+E$28</f>
        <v>150.27650861649786</v>
      </c>
      <c r="F31" s="629"/>
      <c r="G31" s="606">
        <f>G$9+G$20+G$21+G$28</f>
        <v>147.68768082930481</v>
      </c>
      <c r="H31" s="629"/>
    </row>
    <row r="32" spans="1:8" ht="15" thickBot="1">
      <c r="A32" s="605"/>
      <c r="B32" s="630" t="s">
        <v>448</v>
      </c>
      <c r="C32" s="631" t="str">
        <f>D30</f>
        <v>+ 11.8</v>
      </c>
      <c r="D32" s="632"/>
      <c r="E32" s="631" t="str">
        <f>F30</f>
        <v>+ 12.02</v>
      </c>
      <c r="F32" s="632"/>
      <c r="G32" s="631" t="str">
        <f>H30</f>
        <v>+ 11.82</v>
      </c>
      <c r="H32" s="632"/>
    </row>
    <row r="33" spans="1:8" ht="15" thickBot="1">
      <c r="A33" s="605"/>
      <c r="B33" s="633" t="s">
        <v>529</v>
      </c>
      <c r="C33" s="634">
        <f>C31+C32</f>
        <v>159.3413098489936</v>
      </c>
      <c r="D33" s="634">
        <f>D8+D10+D30</f>
        <v>4.4657298952329842</v>
      </c>
      <c r="E33" s="635">
        <f>E31+E32</f>
        <v>162.29650861649787</v>
      </c>
      <c r="F33" s="634">
        <f>F8+F10+F30</f>
        <v>3.687255147942162</v>
      </c>
      <c r="G33" s="634">
        <f>G31+G32</f>
        <v>159.5076808293048</v>
      </c>
      <c r="H33" s="636">
        <f>H8+H10+H30</f>
        <v>3.2693295242285849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159.3413098489936</v>
      </c>
      <c r="D37" s="573"/>
      <c r="E37" s="236">
        <f>E33</f>
        <v>162.29650861649787</v>
      </c>
      <c r="F37" s="573"/>
      <c r="G37" s="236">
        <f>G33</f>
        <v>159.5076808293048</v>
      </c>
      <c r="H37" s="629"/>
    </row>
    <row r="38" spans="1:8">
      <c r="A38" s="605"/>
      <c r="B38" s="637" t="s">
        <v>425</v>
      </c>
      <c r="C38" s="638"/>
      <c r="D38" s="609">
        <f>-C32</f>
        <v>-11.8</v>
      </c>
      <c r="E38" s="639"/>
      <c r="F38" s="609">
        <f>-E32</f>
        <v>-12.02</v>
      </c>
      <c r="G38" s="638"/>
      <c r="H38" s="609">
        <f>-G32</f>
        <v>-11.82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Naivasha!G23</f>
        <v>0.83825962776195728</v>
      </c>
      <c r="D40" s="943"/>
      <c r="E40" s="880">
        <f>C40</f>
        <v>0.83825962776195728</v>
      </c>
      <c r="F40" s="943"/>
      <c r="G40" s="613">
        <f>C40</f>
        <v>0.83825962776195728</v>
      </c>
      <c r="H40" s="943"/>
    </row>
    <row r="41" spans="1:8" s="392" customFormat="1">
      <c r="A41" s="605"/>
      <c r="B41" s="617" t="s">
        <v>446</v>
      </c>
      <c r="C41" s="618">
        <f>SUM(C40)</f>
        <v>0.83825962776195728</v>
      </c>
      <c r="D41" s="618"/>
      <c r="E41" s="626">
        <f>SUM(E40)</f>
        <v>0.83825962776195728</v>
      </c>
      <c r="F41" s="944"/>
      <c r="G41" s="618">
        <f>SUM(G40)</f>
        <v>0.83825962776195728</v>
      </c>
      <c r="H41" s="944"/>
    </row>
    <row r="42" spans="1:8">
      <c r="A42" s="605" t="s">
        <v>642</v>
      </c>
      <c r="B42" s="503" t="s">
        <v>426</v>
      </c>
      <c r="C42" s="236">
        <f>Nakuru!D21</f>
        <v>8.19</v>
      </c>
      <c r="D42" s="573"/>
      <c r="E42" s="236">
        <f>Nakuru!E21</f>
        <v>8.19</v>
      </c>
      <c r="F42" s="573"/>
      <c r="G42" s="236">
        <f>Nakuru!F21</f>
        <v>8.19</v>
      </c>
      <c r="H42" s="629"/>
    </row>
    <row r="43" spans="1:8">
      <c r="B43" s="620" t="s">
        <v>447</v>
      </c>
      <c r="C43" s="613">
        <f>C$37+C$42+C$41</f>
        <v>168.36956947675557</v>
      </c>
      <c r="D43" s="610"/>
      <c r="E43" s="613">
        <f>E$37+E$42+E$41</f>
        <v>171.32476824425984</v>
      </c>
      <c r="F43" s="610"/>
      <c r="G43" s="236">
        <f>G$37+G$42+G$41</f>
        <v>168.53594045706677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156.56956947675556</v>
      </c>
      <c r="D46" s="610"/>
      <c r="E46" s="641">
        <f>E$43-E44-E45+F$38</f>
        <v>159.30476824425983</v>
      </c>
      <c r="F46" s="610"/>
      <c r="G46" s="642">
        <f>G$43-G44-G45+H$38</f>
        <v>156.71594045706678</v>
      </c>
      <c r="H46" s="573"/>
    </row>
    <row r="47" spans="1:8">
      <c r="B47" s="503" t="s">
        <v>445</v>
      </c>
      <c r="C47" s="644"/>
      <c r="D47" s="696" t="str">
        <f>CONCATENATE("+ ",ROUND((C$46*0.08),2))</f>
        <v>+ 12.53</v>
      </c>
      <c r="E47" s="644"/>
      <c r="F47" s="627" t="str">
        <f>CONCATENATE("+ ",ROUND((E$46*0.08),2))</f>
        <v>+ 12.74</v>
      </c>
      <c r="G47" s="645"/>
      <c r="H47" s="627" t="str">
        <f>CONCATENATE("+ ",ROUND((G$46*0.08),2))</f>
        <v>+ 12.54</v>
      </c>
    </row>
    <row r="48" spans="1:8" ht="15" thickBot="1">
      <c r="B48" s="646" t="s">
        <v>449</v>
      </c>
      <c r="C48" s="697" t="str">
        <f>D47</f>
        <v>+ 12.53</v>
      </c>
      <c r="D48" s="632"/>
      <c r="E48" s="631" t="str">
        <f>F47</f>
        <v>+ 12.74</v>
      </c>
      <c r="F48" s="632"/>
      <c r="G48" s="631" t="str">
        <f>H47</f>
        <v>+ 12.54</v>
      </c>
      <c r="H48" s="632"/>
    </row>
    <row r="49" spans="1:9" s="392" customFormat="1" ht="15" thickBot="1">
      <c r="B49" s="647" t="s">
        <v>452</v>
      </c>
      <c r="C49" s="648">
        <f>C$46+C$48+C$44+C$45</f>
        <v>169.09956947675556</v>
      </c>
      <c r="D49" s="649">
        <f>D38+D47</f>
        <v>0.72999999999999865</v>
      </c>
      <c r="E49" s="648">
        <f>E$46+E$48+E$44+E$45</f>
        <v>172.04476824425984</v>
      </c>
      <c r="F49" s="649">
        <f>F38+F47</f>
        <v>0.72000000000000064</v>
      </c>
      <c r="G49" s="650">
        <f>G$46+G$48+G$44+G$45</f>
        <v>169.25594045706677</v>
      </c>
      <c r="H49" s="651">
        <f>H38+H47</f>
        <v>0.71999999999999886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 codeName="Sheet169">
    <tabColor rgb="FF00CC00"/>
  </sheetPr>
  <dimension ref="B2:K31"/>
  <sheetViews>
    <sheetView topLeftCell="B1" workbookViewId="0">
      <selection activeCell="G8" sqref="G8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186</v>
      </c>
      <c r="G2" s="160"/>
    </row>
    <row r="3" spans="2:11">
      <c r="C3" s="258" t="s">
        <v>27</v>
      </c>
      <c r="G3" s="160"/>
    </row>
    <row r="4" spans="2:11">
      <c r="C4" s="259" t="str">
        <f>Nairobi!C4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Nakuru!G8</f>
        <v>1.1599999999999999</v>
      </c>
      <c r="H8" s="262" t="str">
        <f>Nairobi!I7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Nakuru!D9</f>
        <v>3.6531299999999995</v>
      </c>
      <c r="E9" s="269">
        <f>Nakuru!E9</f>
        <v>3.6531299999999995</v>
      </c>
      <c r="F9" s="269">
        <f>Nakuru!F9</f>
        <v>3.6531299999999995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93"/>
      <c r="F10" s="274"/>
      <c r="G10" s="272">
        <f>Nakuru!G10</f>
        <v>3.1492499999999999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Nakuru!D11</f>
        <v>0</v>
      </c>
      <c r="E11" s="269">
        <f>Nakuru!E11</f>
        <v>0</v>
      </c>
      <c r="F11" s="269">
        <f>Nakuru!F11</f>
        <v>0</v>
      </c>
      <c r="G11" s="273">
        <f>'Bridging - Sept 2013'!E23*G14/1000</f>
        <v>5.8802477075952657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645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Nakuru!D17</f>
        <v>3.54</v>
      </c>
      <c r="E17" s="280">
        <f>Nakuru!E17</f>
        <v>3.51</v>
      </c>
      <c r="F17" s="280">
        <f>Nakuru!F17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148.14892664990484</v>
      </c>
      <c r="E19" s="282">
        <f>SUM(E7:E18)</f>
        <v>150.8725043143078</v>
      </c>
      <c r="F19" s="282">
        <f>SUM(F7:F18)</f>
        <v>148.31027082822538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Nakuru!D21</f>
        <v>8.19</v>
      </c>
      <c r="E21" s="168">
        <f>Nakuru!E21</f>
        <v>8.19</v>
      </c>
      <c r="F21" s="168">
        <f>Nakuru!F21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0.58203958496774533</v>
      </c>
      <c r="E23" s="283">
        <f t="shared" ref="E23:F23" si="0">$G$23*$G$8</f>
        <v>0.58203958496774533</v>
      </c>
      <c r="F23" s="283">
        <f t="shared" si="0"/>
        <v>0.58203958496774533</v>
      </c>
      <c r="G23" s="284">
        <f>'Delivery &gt;40km-Sept 2013'!E24*I23/1000</f>
        <v>0.50175826290322878</v>
      </c>
      <c r="H23" s="262" t="s">
        <v>128</v>
      </c>
      <c r="I23" s="908">
        <v>41.9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156.92096623487259</v>
      </c>
      <c r="E25" s="285">
        <f>E19+E21+E23</f>
        <v>159.64454389927556</v>
      </c>
      <c r="F25" s="285">
        <f>F19+F21+F23</f>
        <v>157.08231041319311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321546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321546" r:id="rId4"/>
      </mc:Fallback>
    </mc:AlternateContent>
  </oleObject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 codeName="Sheet170">
    <tabColor rgb="FF0070C0"/>
  </sheetPr>
  <dimension ref="A2:M68"/>
  <sheetViews>
    <sheetView topLeftCell="A31" workbookViewId="0">
      <selection activeCell="E59" sqref="E59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3.2149986890483997</v>
      </c>
      <c r="D21" s="573"/>
      <c r="E21" s="618">
        <f>SUM(E$22:E$23)</f>
        <v>3.2162830925701442</v>
      </c>
      <c r="F21" s="621"/>
      <c r="G21" s="618">
        <f>SUM(G$22:G$23)</f>
        <v>3.2150879413472095</v>
      </c>
      <c r="H21" s="573"/>
    </row>
    <row r="22" spans="1:8">
      <c r="A22" s="605"/>
      <c r="B22" s="614" t="s">
        <v>455</v>
      </c>
      <c r="C22" s="613">
        <f>SUM(C$24:C$25)</f>
        <v>3.1492499999999999</v>
      </c>
      <c r="D22" s="573"/>
      <c r="E22" s="613">
        <f>SUM(E$24:E$25)</f>
        <v>3.1492499999999999</v>
      </c>
      <c r="F22" s="621"/>
      <c r="G22" s="613">
        <f>SUM(G$24:G$25)</f>
        <v>3.1492499999999999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Nakuru!G10</f>
        <v>3.1492499999999999</v>
      </c>
      <c r="D24" s="623"/>
      <c r="E24" s="602">
        <f>C24</f>
        <v>3.1492499999999999</v>
      </c>
      <c r="F24" s="624"/>
      <c r="G24" s="602">
        <f>E24</f>
        <v>3.1492499999999999</v>
      </c>
      <c r="H24" s="573"/>
    </row>
    <row r="25" spans="1:8">
      <c r="A25" s="605"/>
      <c r="B25" s="622" t="s">
        <v>465</v>
      </c>
      <c r="C25" s="602">
        <f>Nakuru!D11/1.16</f>
        <v>0</v>
      </c>
      <c r="D25" s="623"/>
      <c r="E25" s="602">
        <f>Nakuru!E11/1.14</f>
        <v>0</v>
      </c>
      <c r="F25" s="624"/>
      <c r="G25" s="602">
        <f>Nakuru!F11/1.14</f>
        <v>0</v>
      </c>
      <c r="H25" s="573"/>
    </row>
    <row r="26" spans="1:8">
      <c r="A26" s="605"/>
      <c r="B26" s="622" t="s">
        <v>334</v>
      </c>
      <c r="C26" s="602">
        <f>Nakuru!D13</f>
        <v>6.5748689048399672E-2</v>
      </c>
      <c r="D26" s="623"/>
      <c r="E26" s="602">
        <f>Nakuru!E13</f>
        <v>6.703309257014424E-2</v>
      </c>
      <c r="F26" s="624"/>
      <c r="G26" s="602">
        <f>Nakuru!F13</f>
        <v>6.5837941347209814E-2</v>
      </c>
      <c r="H26" s="573"/>
    </row>
    <row r="27" spans="1:8">
      <c r="A27" s="605"/>
      <c r="B27" s="622" t="s">
        <v>332</v>
      </c>
      <c r="C27" s="602">
        <f>Nakuru!D15</f>
        <v>0</v>
      </c>
      <c r="D27" s="623"/>
      <c r="E27" s="602">
        <f>Nakuru!E15</f>
        <v>0</v>
      </c>
      <c r="F27" s="624"/>
      <c r="G27" s="602">
        <f>Nakuru!F15</f>
        <v>0</v>
      </c>
      <c r="H27" s="573"/>
    </row>
    <row r="28" spans="1:8">
      <c r="A28" s="605" t="s">
        <v>404</v>
      </c>
      <c r="B28" s="620" t="s">
        <v>427</v>
      </c>
      <c r="C28" s="618">
        <f>Nakuru!D17</f>
        <v>3.54</v>
      </c>
      <c r="D28" s="625"/>
      <c r="E28" s="626">
        <f>Nakuru!E17</f>
        <v>3.51</v>
      </c>
      <c r="F28" s="625"/>
      <c r="G28" s="618">
        <f>Nakuru!F17</f>
        <v>3.51</v>
      </c>
      <c r="H28" s="573"/>
    </row>
    <row r="29" spans="1:8">
      <c r="A29" s="605"/>
      <c r="B29" s="620" t="s">
        <v>440</v>
      </c>
      <c r="C29" s="618">
        <f>C$9+C$20+C$22+C$23+C$28</f>
        <v>147.54130984899359</v>
      </c>
      <c r="D29" s="625"/>
      <c r="E29" s="626">
        <f>E$9+E$20+E$22+E$23+E$28</f>
        <v>150.27650861649786</v>
      </c>
      <c r="F29" s="625"/>
      <c r="G29" s="618">
        <f>G$9+G$20+G$22+G$23+G$28</f>
        <v>147.68768082930481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</v>
      </c>
      <c r="E30" s="628"/>
      <c r="F30" s="627" t="str">
        <f>CONCATENATE("+ ",ROUND((E$29*0.08),2))</f>
        <v>+ 12.02</v>
      </c>
      <c r="G30" s="606"/>
      <c r="H30" s="627" t="str">
        <f>CONCATENATE("+ ",ROUND((G$29*0.08),2))</f>
        <v>+ 11.82</v>
      </c>
    </row>
    <row r="31" spans="1:8">
      <c r="A31" s="605"/>
      <c r="B31" s="620" t="s">
        <v>436</v>
      </c>
      <c r="C31" s="606">
        <f>C$9+C$20+C$21+C$28</f>
        <v>147.54130984899359</v>
      </c>
      <c r="D31" s="629"/>
      <c r="E31" s="628">
        <f>E$9+E$20+E$21+E$28</f>
        <v>150.27650861649786</v>
      </c>
      <c r="F31" s="629"/>
      <c r="G31" s="606">
        <f>G$9+G$20+G$21+G$28</f>
        <v>147.68768082930481</v>
      </c>
      <c r="H31" s="629"/>
    </row>
    <row r="32" spans="1:8" ht="15" thickBot="1">
      <c r="A32" s="605"/>
      <c r="B32" s="630" t="s">
        <v>448</v>
      </c>
      <c r="C32" s="631" t="str">
        <f>D30</f>
        <v>+ 11.8</v>
      </c>
      <c r="D32" s="632"/>
      <c r="E32" s="631" t="str">
        <f>F30</f>
        <v>+ 12.02</v>
      </c>
      <c r="F32" s="632"/>
      <c r="G32" s="631" t="str">
        <f>H30</f>
        <v>+ 11.82</v>
      </c>
      <c r="H32" s="632"/>
    </row>
    <row r="33" spans="1:8" ht="15" thickBot="1">
      <c r="A33" s="605"/>
      <c r="B33" s="633" t="s">
        <v>529</v>
      </c>
      <c r="C33" s="634">
        <f>C31+C32</f>
        <v>159.3413098489936</v>
      </c>
      <c r="D33" s="634">
        <f>D8+D10+D30</f>
        <v>4.4657298952329842</v>
      </c>
      <c r="E33" s="635">
        <f>E31+E32</f>
        <v>162.29650861649787</v>
      </c>
      <c r="F33" s="634">
        <f>F8+F10+F30</f>
        <v>3.687255147942162</v>
      </c>
      <c r="G33" s="634">
        <f>G31+G32</f>
        <v>159.5076808293048</v>
      </c>
      <c r="H33" s="636">
        <f>H8+H10+H30</f>
        <v>3.2693295242285849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159.3413098489936</v>
      </c>
      <c r="D37" s="573"/>
      <c r="E37" s="236">
        <f>E33</f>
        <v>162.29650861649787</v>
      </c>
      <c r="F37" s="573"/>
      <c r="G37" s="236">
        <f>G33</f>
        <v>159.5076808293048</v>
      </c>
      <c r="H37" s="629"/>
    </row>
    <row r="38" spans="1:8">
      <c r="A38" s="605"/>
      <c r="B38" s="637" t="s">
        <v>425</v>
      </c>
      <c r="C38" s="638"/>
      <c r="D38" s="609">
        <f>-C32</f>
        <v>-11.8</v>
      </c>
      <c r="E38" s="639"/>
      <c r="F38" s="609">
        <f>-E32</f>
        <v>-12.02</v>
      </c>
      <c r="G38" s="638"/>
      <c r="H38" s="609">
        <f>-G32</f>
        <v>-11.82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Gilgil!G23</f>
        <v>0.50175826290322878</v>
      </c>
      <c r="D40" s="943"/>
      <c r="E40" s="880">
        <f>C40</f>
        <v>0.50175826290322878</v>
      </c>
      <c r="F40" s="943"/>
      <c r="G40" s="613">
        <f>C40</f>
        <v>0.50175826290322878</v>
      </c>
      <c r="H40" s="943"/>
    </row>
    <row r="41" spans="1:8" s="392" customFormat="1">
      <c r="A41" s="605"/>
      <c r="B41" s="617" t="s">
        <v>446</v>
      </c>
      <c r="C41" s="618">
        <f>SUM(C40)</f>
        <v>0.50175826290322878</v>
      </c>
      <c r="D41" s="618"/>
      <c r="E41" s="626">
        <f>SUM(E40)</f>
        <v>0.50175826290322878</v>
      </c>
      <c r="F41" s="944"/>
      <c r="G41" s="618">
        <f>SUM(G40)</f>
        <v>0.50175826290322878</v>
      </c>
      <c r="H41" s="944"/>
    </row>
    <row r="42" spans="1:8">
      <c r="A42" s="605" t="s">
        <v>642</v>
      </c>
      <c r="B42" s="503" t="s">
        <v>426</v>
      </c>
      <c r="C42" s="236">
        <f>Nakuru!D21</f>
        <v>8.19</v>
      </c>
      <c r="D42" s="573"/>
      <c r="E42" s="236">
        <f>Nakuru!E21</f>
        <v>8.19</v>
      </c>
      <c r="F42" s="573"/>
      <c r="G42" s="236">
        <f>Nakuru!F21</f>
        <v>8.19</v>
      </c>
      <c r="H42" s="629"/>
    </row>
    <row r="43" spans="1:8">
      <c r="B43" s="620" t="s">
        <v>447</v>
      </c>
      <c r="C43" s="613">
        <f>C$37+C$42+C$41</f>
        <v>168.03306811189682</v>
      </c>
      <c r="D43" s="610"/>
      <c r="E43" s="613">
        <f>E$37+E$42+E$41</f>
        <v>170.9882668794011</v>
      </c>
      <c r="F43" s="610"/>
      <c r="G43" s="236">
        <f>G$37+G$42+G$41</f>
        <v>168.19943909220802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156.23306811189681</v>
      </c>
      <c r="D46" s="610"/>
      <c r="E46" s="641">
        <f>E$43-E44-E45+F$38</f>
        <v>158.96826687940109</v>
      </c>
      <c r="F46" s="610"/>
      <c r="G46" s="642">
        <f>G$43-G44-G45+H$38</f>
        <v>156.37943909220803</v>
      </c>
      <c r="H46" s="573"/>
    </row>
    <row r="47" spans="1:8">
      <c r="B47" s="503" t="s">
        <v>445</v>
      </c>
      <c r="C47" s="644"/>
      <c r="D47" s="696" t="str">
        <f>CONCATENATE("+ ",ROUND((C$46*0.08),2))</f>
        <v>+ 12.5</v>
      </c>
      <c r="E47" s="644"/>
      <c r="F47" s="627" t="str">
        <f>CONCATENATE("+ ",ROUND((E$46*0.08),2))</f>
        <v>+ 12.72</v>
      </c>
      <c r="G47" s="645"/>
      <c r="H47" s="627" t="str">
        <f>CONCATENATE("+ ",ROUND((G$46*0.08),2))</f>
        <v>+ 12.51</v>
      </c>
    </row>
    <row r="48" spans="1:8" ht="15" thickBot="1">
      <c r="B48" s="646" t="s">
        <v>449</v>
      </c>
      <c r="C48" s="697" t="str">
        <f>D47</f>
        <v>+ 12.5</v>
      </c>
      <c r="D48" s="632"/>
      <c r="E48" s="631" t="str">
        <f>F47</f>
        <v>+ 12.72</v>
      </c>
      <c r="F48" s="632"/>
      <c r="G48" s="631" t="str">
        <f>H47</f>
        <v>+ 12.51</v>
      </c>
      <c r="H48" s="632"/>
    </row>
    <row r="49" spans="1:9" s="392" customFormat="1" ht="15" thickBot="1">
      <c r="B49" s="647" t="s">
        <v>452</v>
      </c>
      <c r="C49" s="648">
        <f>C$46+C$48+C$44+C$45</f>
        <v>168.73306811189681</v>
      </c>
      <c r="D49" s="649">
        <f>D38+D47</f>
        <v>0.69999999999999929</v>
      </c>
      <c r="E49" s="648">
        <f>E$46+E$48+E$44+E$45</f>
        <v>171.68826687940108</v>
      </c>
      <c r="F49" s="649">
        <f>F38+F47</f>
        <v>0.70000000000000107</v>
      </c>
      <c r="G49" s="650">
        <f>G$46+G$48+G$44+G$45</f>
        <v>168.88943909220802</v>
      </c>
      <c r="H49" s="651">
        <f>H38+H47</f>
        <v>0.6899999999999995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 codeName="Sheet171">
    <tabColor rgb="FF00CC00"/>
  </sheetPr>
  <dimension ref="B2:K31"/>
  <sheetViews>
    <sheetView topLeftCell="A7" workbookViewId="0">
      <selection activeCell="G8" sqref="G8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187</v>
      </c>
      <c r="G2" s="160"/>
    </row>
    <row r="3" spans="2:11">
      <c r="C3" s="258" t="s">
        <v>27</v>
      </c>
      <c r="G3" s="160"/>
    </row>
    <row r="4" spans="2:11">
      <c r="C4" s="259" t="str">
        <f>Nairobi!C4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Nakuru!G8</f>
        <v>1.1599999999999999</v>
      </c>
      <c r="H8" s="262" t="str">
        <f>Nairobi!I7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G10*G8*G9</f>
        <v>3.6531299999999995</v>
      </c>
      <c r="E9" s="269">
        <f>Nakuru!E9</f>
        <v>3.6531299999999995</v>
      </c>
      <c r="F9" s="269">
        <f>Nakuru!F9</f>
        <v>3.6531299999999995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93"/>
      <c r="F10" s="274"/>
      <c r="G10" s="272">
        <f>Nakuru!G10</f>
        <v>3.1492499999999999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Nakuru!D11</f>
        <v>0</v>
      </c>
      <c r="E11" s="269">
        <f>Nakuru!E11</f>
        <v>0</v>
      </c>
      <c r="F11" s="269">
        <f>Nakuru!F11</f>
        <v>0</v>
      </c>
      <c r="G11" s="273">
        <f>'Bridging - Sept 2013'!E23*G14/1000</f>
        <v>5.8802477075952657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645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Nakuru!D17</f>
        <v>3.54</v>
      </c>
      <c r="E17" s="280">
        <f>Nakuru!E17</f>
        <v>3.51</v>
      </c>
      <c r="F17" s="280">
        <f>Nakuru!F17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148.14892664990484</v>
      </c>
      <c r="E19" s="282">
        <f>SUM(E7:E18)</f>
        <v>150.8725043143078</v>
      </c>
      <c r="F19" s="282">
        <f>SUM(F7:F18)</f>
        <v>148.31027082822538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Nakuru!D21</f>
        <v>8.19</v>
      </c>
      <c r="E21" s="168">
        <f>Nakuru!E21</f>
        <v>8.19</v>
      </c>
      <c r="F21" s="168">
        <f>Nakuru!F21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0.6639974262877858</v>
      </c>
      <c r="E23" s="283">
        <f t="shared" ref="E23:F23" si="0">$G$23*$G$8</f>
        <v>0.6639974262877858</v>
      </c>
      <c r="F23" s="283">
        <f t="shared" si="0"/>
        <v>0.6639974262877858</v>
      </c>
      <c r="G23" s="284">
        <f>'Delivery &gt;40km-Sept 2013'!E24*I23/1000</f>
        <v>0.5724115743860223</v>
      </c>
      <c r="H23" s="262" t="s">
        <v>128</v>
      </c>
      <c r="I23" s="908">
        <v>47.8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157.00292407619261</v>
      </c>
      <c r="E25" s="285">
        <f>E19+E21+E23</f>
        <v>159.72650174059558</v>
      </c>
      <c r="F25" s="285">
        <f>F19+F21+F23</f>
        <v>157.16426825451316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322570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322570" r:id="rId4"/>
      </mc:Fallback>
    </mc:AlternateContent>
  </oleObject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 codeName="Sheet172">
    <tabColor rgb="FF0070C0"/>
  </sheetPr>
  <dimension ref="A2:M68"/>
  <sheetViews>
    <sheetView topLeftCell="A22" workbookViewId="0">
      <selection activeCell="D60" sqref="D60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3.2149986890483997</v>
      </c>
      <c r="D21" s="573"/>
      <c r="E21" s="618">
        <f>SUM(E$22:E$23)</f>
        <v>3.2162830925701442</v>
      </c>
      <c r="F21" s="621"/>
      <c r="G21" s="618">
        <f>SUM(G$22:G$23)</f>
        <v>3.2150879413472095</v>
      </c>
      <c r="H21" s="573"/>
    </row>
    <row r="22" spans="1:8">
      <c r="A22" s="605"/>
      <c r="B22" s="614" t="s">
        <v>455</v>
      </c>
      <c r="C22" s="613">
        <f>SUM(C$24:C$25)</f>
        <v>3.1492499999999999</v>
      </c>
      <c r="D22" s="573"/>
      <c r="E22" s="613">
        <f>SUM(E$24:E$25)</f>
        <v>3.1492499999999999</v>
      </c>
      <c r="F22" s="621"/>
      <c r="G22" s="613">
        <f>SUM(G$24:G$25)</f>
        <v>3.1492499999999999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Nakuru!G10</f>
        <v>3.1492499999999999</v>
      </c>
      <c r="D24" s="623"/>
      <c r="E24" s="602">
        <f>C24</f>
        <v>3.1492499999999999</v>
      </c>
      <c r="F24" s="624"/>
      <c r="G24" s="602">
        <f>E24</f>
        <v>3.1492499999999999</v>
      </c>
      <c r="H24" s="573"/>
    </row>
    <row r="25" spans="1:8">
      <c r="A25" s="605"/>
      <c r="B25" s="622" t="s">
        <v>465</v>
      </c>
      <c r="C25" s="602">
        <f>Nakuru!D11/1.16</f>
        <v>0</v>
      </c>
      <c r="D25" s="623"/>
      <c r="E25" s="602">
        <f>Nakuru!E11/1.14</f>
        <v>0</v>
      </c>
      <c r="F25" s="624"/>
      <c r="G25" s="602">
        <f>Nakuru!F11/1.14</f>
        <v>0</v>
      </c>
      <c r="H25" s="573"/>
    </row>
    <row r="26" spans="1:8">
      <c r="A26" s="605"/>
      <c r="B26" s="622" t="s">
        <v>334</v>
      </c>
      <c r="C26" s="602">
        <f>Nakuru!D13</f>
        <v>6.5748689048399672E-2</v>
      </c>
      <c r="D26" s="623"/>
      <c r="E26" s="602">
        <f>Nakuru!E13</f>
        <v>6.703309257014424E-2</v>
      </c>
      <c r="F26" s="624"/>
      <c r="G26" s="602">
        <f>Nakuru!F13</f>
        <v>6.5837941347209814E-2</v>
      </c>
      <c r="H26" s="573"/>
    </row>
    <row r="27" spans="1:8">
      <c r="A27" s="605"/>
      <c r="B27" s="622" t="s">
        <v>332</v>
      </c>
      <c r="C27" s="602">
        <f>Nakuru!D15</f>
        <v>0</v>
      </c>
      <c r="D27" s="623"/>
      <c r="E27" s="602">
        <f>Nakuru!E15</f>
        <v>0</v>
      </c>
      <c r="F27" s="624"/>
      <c r="G27" s="602">
        <f>Nakuru!F15</f>
        <v>0</v>
      </c>
      <c r="H27" s="573"/>
    </row>
    <row r="28" spans="1:8">
      <c r="A28" s="605" t="s">
        <v>404</v>
      </c>
      <c r="B28" s="620" t="s">
        <v>427</v>
      </c>
      <c r="C28" s="618">
        <f>Nakuru!D17</f>
        <v>3.54</v>
      </c>
      <c r="D28" s="625"/>
      <c r="E28" s="626">
        <f>Nakuru!E17</f>
        <v>3.51</v>
      </c>
      <c r="F28" s="625"/>
      <c r="G28" s="618">
        <f>Nakuru!F17</f>
        <v>3.51</v>
      </c>
      <c r="H28" s="573"/>
    </row>
    <row r="29" spans="1:8">
      <c r="A29" s="605"/>
      <c r="B29" s="620" t="s">
        <v>440</v>
      </c>
      <c r="C29" s="618">
        <f>C$9+C$20+C$22+C$23+C$28</f>
        <v>147.54130984899359</v>
      </c>
      <c r="D29" s="625"/>
      <c r="E29" s="626">
        <f>E$9+E$20+E$22+E$23+E$28</f>
        <v>150.27650861649786</v>
      </c>
      <c r="F29" s="625"/>
      <c r="G29" s="618">
        <f>G$9+G$20+G$22+G$23+G$28</f>
        <v>147.68768082930481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</v>
      </c>
      <c r="E30" s="628"/>
      <c r="F30" s="627" t="str">
        <f>CONCATENATE("+ ",ROUND((E$29*0.08),2))</f>
        <v>+ 12.02</v>
      </c>
      <c r="G30" s="606"/>
      <c r="H30" s="627" t="str">
        <f>CONCATENATE("+ ",ROUND((G$29*0.08),2))</f>
        <v>+ 11.82</v>
      </c>
    </row>
    <row r="31" spans="1:8">
      <c r="A31" s="605"/>
      <c r="B31" s="620" t="s">
        <v>436</v>
      </c>
      <c r="C31" s="606">
        <f>C$9+C$20+C$21+C$28</f>
        <v>147.54130984899359</v>
      </c>
      <c r="D31" s="629"/>
      <c r="E31" s="628">
        <f>E$9+E$20+E$21+E$28</f>
        <v>150.27650861649786</v>
      </c>
      <c r="F31" s="629"/>
      <c r="G31" s="606">
        <f>G$9+G$20+G$21+G$28</f>
        <v>147.68768082930481</v>
      </c>
      <c r="H31" s="629"/>
    </row>
    <row r="32" spans="1:8" ht="15" thickBot="1">
      <c r="A32" s="605"/>
      <c r="B32" s="630" t="s">
        <v>448</v>
      </c>
      <c r="C32" s="631" t="str">
        <f>D30</f>
        <v>+ 11.8</v>
      </c>
      <c r="D32" s="632"/>
      <c r="E32" s="631" t="str">
        <f>F30</f>
        <v>+ 12.02</v>
      </c>
      <c r="F32" s="632"/>
      <c r="G32" s="631" t="str">
        <f>H30</f>
        <v>+ 11.82</v>
      </c>
      <c r="H32" s="632"/>
    </row>
    <row r="33" spans="1:8" ht="15" thickBot="1">
      <c r="A33" s="605"/>
      <c r="B33" s="633" t="s">
        <v>529</v>
      </c>
      <c r="C33" s="634">
        <f>C31+C32</f>
        <v>159.3413098489936</v>
      </c>
      <c r="D33" s="634">
        <f>D8+D10+D30</f>
        <v>4.4657298952329842</v>
      </c>
      <c r="E33" s="635">
        <f>E31+E32</f>
        <v>162.29650861649787</v>
      </c>
      <c r="F33" s="634">
        <f>F8+F10+F30</f>
        <v>3.687255147942162</v>
      </c>
      <c r="G33" s="634">
        <f>G31+G32</f>
        <v>159.5076808293048</v>
      </c>
      <c r="H33" s="636">
        <f>H8+H10+H30</f>
        <v>3.2693295242285849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159.3413098489936</v>
      </c>
      <c r="D37" s="573"/>
      <c r="E37" s="236">
        <f>E33</f>
        <v>162.29650861649787</v>
      </c>
      <c r="F37" s="573"/>
      <c r="G37" s="236">
        <f>G33</f>
        <v>159.5076808293048</v>
      </c>
      <c r="H37" s="629"/>
    </row>
    <row r="38" spans="1:8">
      <c r="A38" s="605"/>
      <c r="B38" s="637" t="s">
        <v>425</v>
      </c>
      <c r="C38" s="638"/>
      <c r="D38" s="609">
        <f>-C32</f>
        <v>-11.8</v>
      </c>
      <c r="E38" s="639"/>
      <c r="F38" s="609">
        <f>-E32</f>
        <v>-12.02</v>
      </c>
      <c r="G38" s="638"/>
      <c r="H38" s="609">
        <f>-G32</f>
        <v>-11.82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Molo!G23</f>
        <v>0.5724115743860223</v>
      </c>
      <c r="D40" s="943"/>
      <c r="E40" s="880">
        <f>C40</f>
        <v>0.5724115743860223</v>
      </c>
      <c r="F40" s="943"/>
      <c r="G40" s="613">
        <f>C40</f>
        <v>0.5724115743860223</v>
      </c>
      <c r="H40" s="943"/>
    </row>
    <row r="41" spans="1:8" s="392" customFormat="1">
      <c r="A41" s="605"/>
      <c r="B41" s="617" t="s">
        <v>446</v>
      </c>
      <c r="C41" s="618">
        <f>SUM(C40)</f>
        <v>0.5724115743860223</v>
      </c>
      <c r="D41" s="618"/>
      <c r="E41" s="626">
        <f>SUM(E40)</f>
        <v>0.5724115743860223</v>
      </c>
      <c r="F41" s="944"/>
      <c r="G41" s="618">
        <f>SUM(G40)</f>
        <v>0.5724115743860223</v>
      </c>
      <c r="H41" s="944"/>
    </row>
    <row r="42" spans="1:8">
      <c r="A42" s="605" t="s">
        <v>642</v>
      </c>
      <c r="B42" s="503" t="s">
        <v>426</v>
      </c>
      <c r="C42" s="236">
        <f>Nakuru!D21</f>
        <v>8.19</v>
      </c>
      <c r="D42" s="573"/>
      <c r="E42" s="236">
        <f>Nakuru!E21</f>
        <v>8.19</v>
      </c>
      <c r="F42" s="573"/>
      <c r="G42" s="236">
        <f>Nakuru!F21</f>
        <v>8.19</v>
      </c>
      <c r="H42" s="629"/>
    </row>
    <row r="43" spans="1:8">
      <c r="B43" s="620" t="s">
        <v>447</v>
      </c>
      <c r="C43" s="613">
        <f>C$37+C$42+C$41</f>
        <v>168.10372142337962</v>
      </c>
      <c r="D43" s="610"/>
      <c r="E43" s="613">
        <f>E$37+E$42+E$41</f>
        <v>171.0589201908839</v>
      </c>
      <c r="F43" s="610"/>
      <c r="G43" s="236">
        <f>G$37+G$42+G$41</f>
        <v>168.27009240369082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156.30372142337961</v>
      </c>
      <c r="D46" s="610"/>
      <c r="E46" s="641">
        <f>E$43-E44-E45+F$38</f>
        <v>159.03892019088389</v>
      </c>
      <c r="F46" s="610"/>
      <c r="G46" s="642">
        <f>G$43-G44-G45+H$38</f>
        <v>156.45009240369083</v>
      </c>
      <c r="H46" s="573"/>
    </row>
    <row r="47" spans="1:8">
      <c r="B47" s="503" t="s">
        <v>445</v>
      </c>
      <c r="C47" s="644"/>
      <c r="D47" s="696" t="str">
        <f>CONCATENATE("+ ",ROUND((C$46*0.08),2))</f>
        <v>+ 12.5</v>
      </c>
      <c r="E47" s="644"/>
      <c r="F47" s="627" t="str">
        <f>CONCATENATE("+ ",ROUND((E$46*0.08),2))</f>
        <v>+ 12.72</v>
      </c>
      <c r="G47" s="645"/>
      <c r="H47" s="627" t="str">
        <f>CONCATENATE("+ ",ROUND((G$46*0.08),2))</f>
        <v>+ 12.52</v>
      </c>
    </row>
    <row r="48" spans="1:8" ht="15" thickBot="1">
      <c r="B48" s="646" t="s">
        <v>449</v>
      </c>
      <c r="C48" s="697" t="str">
        <f>D47</f>
        <v>+ 12.5</v>
      </c>
      <c r="D48" s="632"/>
      <c r="E48" s="631" t="str">
        <f>F47</f>
        <v>+ 12.72</v>
      </c>
      <c r="F48" s="632"/>
      <c r="G48" s="631" t="str">
        <f>H47</f>
        <v>+ 12.52</v>
      </c>
      <c r="H48" s="632"/>
    </row>
    <row r="49" spans="1:9" s="392" customFormat="1" ht="15" thickBot="1">
      <c r="B49" s="647" t="s">
        <v>452</v>
      </c>
      <c r="C49" s="648">
        <f>C$46+C$48+C$44+C$45</f>
        <v>168.80372142337961</v>
      </c>
      <c r="D49" s="649">
        <f>D38+D47</f>
        <v>0.69999999999999929</v>
      </c>
      <c r="E49" s="648">
        <f>E$46+E$48+E$44+E$45</f>
        <v>171.75892019088388</v>
      </c>
      <c r="F49" s="649">
        <f>F38+F47</f>
        <v>0.70000000000000107</v>
      </c>
      <c r="G49" s="650">
        <f>G$46+G$48+G$44+G$45</f>
        <v>168.97009240369084</v>
      </c>
      <c r="H49" s="651">
        <f>H38+H47</f>
        <v>0.69999999999999929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 codeName="Sheet173">
    <tabColor rgb="FF00CC00"/>
  </sheetPr>
  <dimension ref="B2:K31"/>
  <sheetViews>
    <sheetView workbookViewId="0">
      <selection activeCell="G8" sqref="G8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187</v>
      </c>
      <c r="G2" s="160"/>
    </row>
    <row r="3" spans="2:11">
      <c r="C3" s="258" t="s">
        <v>27</v>
      </c>
      <c r="G3" s="160"/>
    </row>
    <row r="4" spans="2:11">
      <c r="C4" s="259" t="str">
        <f>Nairobi!C4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Nakuru!G8</f>
        <v>1.1599999999999999</v>
      </c>
      <c r="H8" s="262" t="str">
        <f>Nairobi!I7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Nakuru!D9</f>
        <v>3.6531299999999995</v>
      </c>
      <c r="E9" s="269">
        <f>Nakuru!E9</f>
        <v>3.6531299999999995</v>
      </c>
      <c r="F9" s="269">
        <f>Nakuru!F9</f>
        <v>3.6531299999999995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93"/>
      <c r="F10" s="274"/>
      <c r="G10" s="272">
        <f>Nakuru!G10</f>
        <v>3.1492499999999999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Nakuru!D11</f>
        <v>0</v>
      </c>
      <c r="E11" s="269">
        <f>Nakuru!E11</f>
        <v>0</v>
      </c>
      <c r="F11" s="269">
        <f>Nakuru!F11</f>
        <v>0</v>
      </c>
      <c r="G11" s="273">
        <f>'Bridging - Sept 2013'!E23*G14/1000</f>
        <v>5.8802477075952657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645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Nakuru!D17</f>
        <v>3.54</v>
      </c>
      <c r="E17" s="280">
        <f>Nakuru!E17</f>
        <v>3.51</v>
      </c>
      <c r="F17" s="280">
        <f>Nakuru!F17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148.14892664990484</v>
      </c>
      <c r="E19" s="282">
        <f>SUM(E7:E18)</f>
        <v>150.8725043143078</v>
      </c>
      <c r="F19" s="282">
        <f>SUM(F7:F18)</f>
        <v>148.31027082822538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Nakuru!D21</f>
        <v>8.19</v>
      </c>
      <c r="E21" s="168">
        <f>Nakuru!E21</f>
        <v>8.19</v>
      </c>
      <c r="F21" s="168">
        <f>Nakuru!F21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1.416898273668497</v>
      </c>
      <c r="E23" s="283">
        <f t="shared" ref="E23:F23" si="0">$G$23*$G$8</f>
        <v>1.416898273668497</v>
      </c>
      <c r="F23" s="283">
        <f t="shared" si="0"/>
        <v>1.416898273668497</v>
      </c>
      <c r="G23" s="284">
        <f>'Delivery &gt;40km-Sept 2013'!E24*I23/1000</f>
        <v>1.2214640290245664</v>
      </c>
      <c r="H23" s="262" t="s">
        <v>128</v>
      </c>
      <c r="I23" s="259">
        <v>102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157.75582492357333</v>
      </c>
      <c r="E25" s="285">
        <f>E19+E21+E23</f>
        <v>160.4794025879763</v>
      </c>
      <c r="F25" s="285">
        <f>F19+F21+F23</f>
        <v>157.91716910189388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403457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403457" r:id="rId4"/>
      </mc:Fallback>
    </mc:AlternateContent>
  </oleObject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 codeName="Sheet174">
    <tabColor rgb="FF0070C0"/>
  </sheetPr>
  <dimension ref="A2:M68"/>
  <sheetViews>
    <sheetView topLeftCell="A19" workbookViewId="0">
      <selection activeCell="E59" sqref="E59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3.2149986890483997</v>
      </c>
      <c r="D21" s="573"/>
      <c r="E21" s="618">
        <f>SUM(E$22:E$23)</f>
        <v>3.2162830925701442</v>
      </c>
      <c r="F21" s="621"/>
      <c r="G21" s="618">
        <f>SUM(G$22:G$23)</f>
        <v>3.2150879413472095</v>
      </c>
      <c r="H21" s="573"/>
    </row>
    <row r="22" spans="1:8">
      <c r="A22" s="605"/>
      <c r="B22" s="614" t="s">
        <v>455</v>
      </c>
      <c r="C22" s="613">
        <f>SUM(C$24:C$25)</f>
        <v>3.1492499999999999</v>
      </c>
      <c r="D22" s="573"/>
      <c r="E22" s="613">
        <f>SUM(E$24:E$25)</f>
        <v>3.1492499999999999</v>
      </c>
      <c r="F22" s="621"/>
      <c r="G22" s="613">
        <f>SUM(G$24:G$25)</f>
        <v>3.1492499999999999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Nakuru!G10</f>
        <v>3.1492499999999999</v>
      </c>
      <c r="D24" s="623"/>
      <c r="E24" s="602">
        <f>C24</f>
        <v>3.1492499999999999</v>
      </c>
      <c r="F24" s="624"/>
      <c r="G24" s="602">
        <f>E24</f>
        <v>3.1492499999999999</v>
      </c>
      <c r="H24" s="573"/>
    </row>
    <row r="25" spans="1:8">
      <c r="A25" s="605"/>
      <c r="B25" s="622" t="s">
        <v>465</v>
      </c>
      <c r="C25" s="602">
        <f>Nakuru!D11/1.16</f>
        <v>0</v>
      </c>
      <c r="D25" s="623"/>
      <c r="E25" s="602">
        <f>Nakuru!E11/1.14</f>
        <v>0</v>
      </c>
      <c r="F25" s="624"/>
      <c r="G25" s="602">
        <f>Nakuru!F11/1.14</f>
        <v>0</v>
      </c>
      <c r="H25" s="573"/>
    </row>
    <row r="26" spans="1:8">
      <c r="A26" s="605"/>
      <c r="B26" s="622" t="s">
        <v>334</v>
      </c>
      <c r="C26" s="602">
        <f>Nakuru!D13</f>
        <v>6.5748689048399672E-2</v>
      </c>
      <c r="D26" s="623"/>
      <c r="E26" s="602">
        <f>Nakuru!E13</f>
        <v>6.703309257014424E-2</v>
      </c>
      <c r="F26" s="624"/>
      <c r="G26" s="602">
        <f>Nakuru!F13</f>
        <v>6.5837941347209814E-2</v>
      </c>
      <c r="H26" s="573"/>
    </row>
    <row r="27" spans="1:8">
      <c r="A27" s="605"/>
      <c r="B27" s="622" t="s">
        <v>332</v>
      </c>
      <c r="C27" s="602">
        <f>Nakuru!D15</f>
        <v>0</v>
      </c>
      <c r="D27" s="623"/>
      <c r="E27" s="602">
        <f>Nakuru!E15</f>
        <v>0</v>
      </c>
      <c r="F27" s="624"/>
      <c r="G27" s="602">
        <f>Nakuru!F15</f>
        <v>0</v>
      </c>
      <c r="H27" s="573"/>
    </row>
    <row r="28" spans="1:8">
      <c r="A28" s="605" t="s">
        <v>404</v>
      </c>
      <c r="B28" s="620" t="s">
        <v>427</v>
      </c>
      <c r="C28" s="618">
        <f>Nakuru!D17</f>
        <v>3.54</v>
      </c>
      <c r="D28" s="625"/>
      <c r="E28" s="626">
        <f>Nakuru!E17</f>
        <v>3.51</v>
      </c>
      <c r="F28" s="625"/>
      <c r="G28" s="618">
        <f>Nakuru!F17</f>
        <v>3.51</v>
      </c>
      <c r="H28" s="573"/>
    </row>
    <row r="29" spans="1:8">
      <c r="A29" s="605"/>
      <c r="B29" s="620" t="s">
        <v>440</v>
      </c>
      <c r="C29" s="618">
        <f>C$9+C$20+C$22+C$23+C$28</f>
        <v>147.54130984899359</v>
      </c>
      <c r="D29" s="625"/>
      <c r="E29" s="626">
        <f>E$9+E$20+E$22+E$23+E$28</f>
        <v>150.27650861649786</v>
      </c>
      <c r="F29" s="625"/>
      <c r="G29" s="618">
        <f>G$9+G$20+G$22+G$23+G$28</f>
        <v>147.68768082930481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</v>
      </c>
      <c r="E30" s="628"/>
      <c r="F30" s="627" t="str">
        <f>CONCATENATE("+ ",ROUND((E$29*0.08),2))</f>
        <v>+ 12.02</v>
      </c>
      <c r="G30" s="606"/>
      <c r="H30" s="627" t="str">
        <f>CONCATENATE("+ ",ROUND((G$29*0.08),2))</f>
        <v>+ 11.82</v>
      </c>
    </row>
    <row r="31" spans="1:8">
      <c r="A31" s="605"/>
      <c r="B31" s="620" t="s">
        <v>436</v>
      </c>
      <c r="C31" s="606">
        <f>C$9+C$20+C$21+C$28</f>
        <v>147.54130984899359</v>
      </c>
      <c r="D31" s="629"/>
      <c r="E31" s="628">
        <f>E$9+E$20+E$21+E$28</f>
        <v>150.27650861649786</v>
      </c>
      <c r="F31" s="629"/>
      <c r="G31" s="606">
        <f>G$9+G$20+G$21+G$28</f>
        <v>147.68768082930481</v>
      </c>
      <c r="H31" s="629"/>
    </row>
    <row r="32" spans="1:8" ht="15" thickBot="1">
      <c r="A32" s="605"/>
      <c r="B32" s="630" t="s">
        <v>448</v>
      </c>
      <c r="C32" s="631" t="str">
        <f>D30</f>
        <v>+ 11.8</v>
      </c>
      <c r="D32" s="632"/>
      <c r="E32" s="631" t="str">
        <f>F30</f>
        <v>+ 12.02</v>
      </c>
      <c r="F32" s="632"/>
      <c r="G32" s="631" t="str">
        <f>H30</f>
        <v>+ 11.82</v>
      </c>
      <c r="H32" s="632"/>
    </row>
    <row r="33" spans="1:8" ht="15" thickBot="1">
      <c r="A33" s="605"/>
      <c r="B33" s="633" t="s">
        <v>529</v>
      </c>
      <c r="C33" s="634">
        <f>C31+C32</f>
        <v>159.3413098489936</v>
      </c>
      <c r="D33" s="634">
        <f>D8+D10+D30</f>
        <v>4.4657298952329842</v>
      </c>
      <c r="E33" s="635">
        <f>E31+E32</f>
        <v>162.29650861649787</v>
      </c>
      <c r="F33" s="634">
        <f>F8+F10+F30</f>
        <v>3.687255147942162</v>
      </c>
      <c r="G33" s="634">
        <f>G31+G32</f>
        <v>159.5076808293048</v>
      </c>
      <c r="H33" s="636">
        <f>H8+H10+H30</f>
        <v>3.2693295242285849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159.3413098489936</v>
      </c>
      <c r="D37" s="573"/>
      <c r="E37" s="236">
        <f>E33</f>
        <v>162.29650861649787</v>
      </c>
      <c r="F37" s="573"/>
      <c r="G37" s="236">
        <f>G33</f>
        <v>159.5076808293048</v>
      </c>
      <c r="H37" s="629"/>
    </row>
    <row r="38" spans="1:8">
      <c r="A38" s="605"/>
      <c r="B38" s="637" t="s">
        <v>425</v>
      </c>
      <c r="C38" s="638"/>
      <c r="D38" s="609">
        <f>-C32</f>
        <v>-11.8</v>
      </c>
      <c r="E38" s="639"/>
      <c r="F38" s="609">
        <f>-E32</f>
        <v>-12.02</v>
      </c>
      <c r="G38" s="638"/>
      <c r="H38" s="609">
        <f>-G32</f>
        <v>-11.82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Olenguruone!G23</f>
        <v>1.2214640290245664</v>
      </c>
      <c r="D40" s="943"/>
      <c r="E40" s="880">
        <f>C40</f>
        <v>1.2214640290245664</v>
      </c>
      <c r="F40" s="943"/>
      <c r="G40" s="613">
        <f>C40</f>
        <v>1.2214640290245664</v>
      </c>
      <c r="H40" s="943"/>
    </row>
    <row r="41" spans="1:8" s="392" customFormat="1">
      <c r="A41" s="605"/>
      <c r="B41" s="617" t="s">
        <v>446</v>
      </c>
      <c r="C41" s="618">
        <f>SUM(C40)</f>
        <v>1.2214640290245664</v>
      </c>
      <c r="D41" s="618"/>
      <c r="E41" s="626">
        <f>SUM(E40)</f>
        <v>1.2214640290245664</v>
      </c>
      <c r="F41" s="944"/>
      <c r="G41" s="618">
        <f>SUM(G40)</f>
        <v>1.2214640290245664</v>
      </c>
      <c r="H41" s="944"/>
    </row>
    <row r="42" spans="1:8">
      <c r="A42" s="605" t="s">
        <v>642</v>
      </c>
      <c r="B42" s="503" t="s">
        <v>426</v>
      </c>
      <c r="C42" s="236">
        <f>Nakuru!D21</f>
        <v>8.19</v>
      </c>
      <c r="D42" s="573"/>
      <c r="E42" s="236">
        <f>Nakuru!E21</f>
        <v>8.19</v>
      </c>
      <c r="F42" s="573"/>
      <c r="G42" s="236">
        <f>Nakuru!F21</f>
        <v>8.19</v>
      </c>
      <c r="H42" s="629"/>
    </row>
    <row r="43" spans="1:8">
      <c r="B43" s="620" t="s">
        <v>447</v>
      </c>
      <c r="C43" s="613">
        <f>C$37+C$42+C$41</f>
        <v>168.75277387801816</v>
      </c>
      <c r="D43" s="610"/>
      <c r="E43" s="613">
        <f>E$37+E$42+E$41</f>
        <v>171.70797264552243</v>
      </c>
      <c r="F43" s="610"/>
      <c r="G43" s="236">
        <f>G$37+G$42+G$41</f>
        <v>168.91914485832936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156.95277387801815</v>
      </c>
      <c r="D46" s="610"/>
      <c r="E46" s="641">
        <f>E$43-E44-E45+F$38</f>
        <v>159.68797264552242</v>
      </c>
      <c r="F46" s="610"/>
      <c r="G46" s="642">
        <f>G$43-G44-G45+H$38</f>
        <v>157.09914485832937</v>
      </c>
      <c r="H46" s="573"/>
    </row>
    <row r="47" spans="1:8">
      <c r="B47" s="503" t="s">
        <v>445</v>
      </c>
      <c r="C47" s="644"/>
      <c r="D47" s="696" t="str">
        <f>CONCATENATE("+ ",ROUND((C$46*0.08),2))</f>
        <v>+ 12.56</v>
      </c>
      <c r="E47" s="644"/>
      <c r="F47" s="627" t="str">
        <f>CONCATENATE("+ ",ROUND((E$46*0.08),2))</f>
        <v>+ 12.78</v>
      </c>
      <c r="G47" s="645"/>
      <c r="H47" s="627" t="str">
        <f>CONCATENATE("+ ",ROUND((G$46*0.08),2))</f>
        <v>+ 12.57</v>
      </c>
    </row>
    <row r="48" spans="1:8" ht="15" thickBot="1">
      <c r="B48" s="646" t="s">
        <v>449</v>
      </c>
      <c r="C48" s="697" t="str">
        <f>D47</f>
        <v>+ 12.56</v>
      </c>
      <c r="D48" s="632"/>
      <c r="E48" s="631" t="str">
        <f>F47</f>
        <v>+ 12.78</v>
      </c>
      <c r="F48" s="632"/>
      <c r="G48" s="631" t="str">
        <f>H47</f>
        <v>+ 12.57</v>
      </c>
      <c r="H48" s="632"/>
    </row>
    <row r="49" spans="1:9" s="392" customFormat="1" ht="15" thickBot="1">
      <c r="B49" s="647" t="s">
        <v>452</v>
      </c>
      <c r="C49" s="648">
        <f>C$46+C$48+C$44+C$45</f>
        <v>169.51277387801815</v>
      </c>
      <c r="D49" s="649">
        <f>D38+D47</f>
        <v>0.75999999999999979</v>
      </c>
      <c r="E49" s="648">
        <f>E$46+E$48+E$44+E$45</f>
        <v>172.46797264552242</v>
      </c>
      <c r="F49" s="649">
        <f>F38+F47</f>
        <v>0.75999999999999979</v>
      </c>
      <c r="G49" s="650">
        <f>G$46+G$48+G$44+G$45</f>
        <v>169.66914485832936</v>
      </c>
      <c r="H49" s="651">
        <f>H38+H47</f>
        <v>0.75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 codeName="Sheet175">
    <tabColor rgb="FF00CC00"/>
  </sheetPr>
  <dimension ref="B2:K31"/>
  <sheetViews>
    <sheetView topLeftCell="C1" workbookViewId="0">
      <selection activeCell="G8" sqref="G8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188</v>
      </c>
      <c r="G2" s="160"/>
    </row>
    <row r="3" spans="2:11">
      <c r="C3" s="258" t="s">
        <v>27</v>
      </c>
      <c r="G3" s="160"/>
    </row>
    <row r="4" spans="2:11">
      <c r="C4" s="259" t="str">
        <f>Nairobi!C4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Nakuru!G8</f>
        <v>1.1599999999999999</v>
      </c>
      <c r="H8" s="262" t="str">
        <f>Nairobi!I7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Nakuru!D9</f>
        <v>3.6531299999999995</v>
      </c>
      <c r="E9" s="269">
        <f>Nakuru!E9</f>
        <v>3.6531299999999995</v>
      </c>
      <c r="F9" s="269">
        <f>Nakuru!F9</f>
        <v>3.6531299999999995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93"/>
      <c r="F10" s="274"/>
      <c r="G10" s="272">
        <f>Nakuru!G10</f>
        <v>3.1492499999999999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Nakuru!D11</f>
        <v>0</v>
      </c>
      <c r="E11" s="269">
        <f>Nakuru!E11</f>
        <v>0</v>
      </c>
      <c r="F11" s="269">
        <f>Nakuru!F11</f>
        <v>0</v>
      </c>
      <c r="G11" s="273">
        <f>'Bridging - Sept 2013'!E23*G14/1000</f>
        <v>5.8802477075952657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645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Nakuru!D17</f>
        <v>3.54</v>
      </c>
      <c r="E17" s="280">
        <f>Nakuru!E17</f>
        <v>3.51</v>
      </c>
      <c r="F17" s="280">
        <f>Nakuru!F17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148.14892664990484</v>
      </c>
      <c r="E19" s="282">
        <f>SUM(E7:E18)</f>
        <v>150.8725043143078</v>
      </c>
      <c r="F19" s="282">
        <f>SUM(F7:F18)</f>
        <v>148.31027082822538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Nakuru!D21</f>
        <v>8.19</v>
      </c>
      <c r="E21" s="168">
        <f>Nakuru!E21</f>
        <v>8.19</v>
      </c>
      <c r="F21" s="168">
        <f>Nakuru!F21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0.56953754137655266</v>
      </c>
      <c r="E23" s="283">
        <f t="shared" ref="E23:F23" si="0">$G$23*$G$8</f>
        <v>0.56953754137655266</v>
      </c>
      <c r="F23" s="283">
        <f t="shared" si="0"/>
        <v>0.56953754137655266</v>
      </c>
      <c r="G23" s="284">
        <f>'Delivery &gt;40km-Sept 2013'!E24*I23/1000</f>
        <v>0.49098063911771783</v>
      </c>
      <c r="H23" s="262" t="s">
        <v>128</v>
      </c>
      <c r="I23" s="259">
        <v>41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156.90846419128138</v>
      </c>
      <c r="E25" s="285">
        <f>E19+E21+E23</f>
        <v>159.63204185568435</v>
      </c>
      <c r="F25" s="285">
        <f>F19+F21+F23</f>
        <v>157.06980836960193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323594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323594" r:id="rId4"/>
      </mc:Fallback>
    </mc:AlternateContent>
  </oleObject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 codeName="Sheet176">
    <tabColor rgb="FF0070C0"/>
  </sheetPr>
  <dimension ref="A2:M68"/>
  <sheetViews>
    <sheetView topLeftCell="A25" workbookViewId="0">
      <selection activeCell="E44" sqref="E44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3.2149986890483997</v>
      </c>
      <c r="D21" s="573"/>
      <c r="E21" s="618">
        <f>SUM(E$22:E$23)</f>
        <v>3.2162830925701442</v>
      </c>
      <c r="F21" s="621"/>
      <c r="G21" s="618">
        <f>SUM(G$22:G$23)</f>
        <v>3.2150879413472095</v>
      </c>
      <c r="H21" s="573"/>
    </row>
    <row r="22" spans="1:8">
      <c r="A22" s="605"/>
      <c r="B22" s="614" t="s">
        <v>455</v>
      </c>
      <c r="C22" s="613">
        <f>SUM(C$24:C$25)</f>
        <v>3.1492499999999999</v>
      </c>
      <c r="D22" s="573"/>
      <c r="E22" s="613">
        <f>SUM(E$24:E$25)</f>
        <v>3.1492499999999999</v>
      </c>
      <c r="F22" s="621"/>
      <c r="G22" s="613">
        <f>SUM(G$24:G$25)</f>
        <v>3.1492499999999999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Nakuru!G10</f>
        <v>3.1492499999999999</v>
      </c>
      <c r="D24" s="623"/>
      <c r="E24" s="602">
        <f>C24</f>
        <v>3.1492499999999999</v>
      </c>
      <c r="F24" s="624"/>
      <c r="G24" s="602">
        <f>E24</f>
        <v>3.1492499999999999</v>
      </c>
      <c r="H24" s="573"/>
    </row>
    <row r="25" spans="1:8">
      <c r="A25" s="605"/>
      <c r="B25" s="622" t="s">
        <v>465</v>
      </c>
      <c r="C25" s="602">
        <f>Nakuru!D11/1.16</f>
        <v>0</v>
      </c>
      <c r="D25" s="623"/>
      <c r="E25" s="602">
        <f>Nakuru!E11/1.14</f>
        <v>0</v>
      </c>
      <c r="F25" s="624"/>
      <c r="G25" s="602">
        <f>Nakuru!F11/1.14</f>
        <v>0</v>
      </c>
      <c r="H25" s="573"/>
    </row>
    <row r="26" spans="1:8">
      <c r="A26" s="605"/>
      <c r="B26" s="622" t="s">
        <v>334</v>
      </c>
      <c r="C26" s="602">
        <f>Nakuru!D13</f>
        <v>6.5748689048399672E-2</v>
      </c>
      <c r="D26" s="623"/>
      <c r="E26" s="602">
        <f>Nakuru!E13</f>
        <v>6.703309257014424E-2</v>
      </c>
      <c r="F26" s="624"/>
      <c r="G26" s="602">
        <f>Nakuru!F13</f>
        <v>6.5837941347209814E-2</v>
      </c>
      <c r="H26" s="573"/>
    </row>
    <row r="27" spans="1:8">
      <c r="A27" s="605"/>
      <c r="B27" s="622" t="s">
        <v>332</v>
      </c>
      <c r="C27" s="602">
        <f>Nakuru!D15</f>
        <v>0</v>
      </c>
      <c r="D27" s="623"/>
      <c r="E27" s="602">
        <f>Nakuru!E15</f>
        <v>0</v>
      </c>
      <c r="F27" s="624"/>
      <c r="G27" s="602">
        <f>Nakuru!F15</f>
        <v>0</v>
      </c>
      <c r="H27" s="573"/>
    </row>
    <row r="28" spans="1:8">
      <c r="A28" s="605" t="s">
        <v>404</v>
      </c>
      <c r="B28" s="620" t="s">
        <v>427</v>
      </c>
      <c r="C28" s="618">
        <f>Nakuru!D17</f>
        <v>3.54</v>
      </c>
      <c r="D28" s="625"/>
      <c r="E28" s="626">
        <f>Nakuru!E17</f>
        <v>3.51</v>
      </c>
      <c r="F28" s="625"/>
      <c r="G28" s="618">
        <f>Nakuru!F17</f>
        <v>3.51</v>
      </c>
      <c r="H28" s="573"/>
    </row>
    <row r="29" spans="1:8">
      <c r="A29" s="605"/>
      <c r="B29" s="620" t="s">
        <v>440</v>
      </c>
      <c r="C29" s="618">
        <f>C$9+C$20+C$22+C$23+C$28</f>
        <v>147.54130984899359</v>
      </c>
      <c r="D29" s="625"/>
      <c r="E29" s="626">
        <f>E$9+E$20+E$22+E$23+E$28</f>
        <v>150.27650861649786</v>
      </c>
      <c r="F29" s="625"/>
      <c r="G29" s="618">
        <f>G$9+G$20+G$22+G$23+G$28</f>
        <v>147.68768082930481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</v>
      </c>
      <c r="E30" s="628"/>
      <c r="F30" s="627" t="str">
        <f>CONCATENATE("+ ",ROUND((E$29*0.08),2))</f>
        <v>+ 12.02</v>
      </c>
      <c r="G30" s="606"/>
      <c r="H30" s="627" t="str">
        <f>CONCATENATE("+ ",ROUND((G$29*0.08),2))</f>
        <v>+ 11.82</v>
      </c>
    </row>
    <row r="31" spans="1:8">
      <c r="A31" s="605"/>
      <c r="B31" s="620" t="s">
        <v>436</v>
      </c>
      <c r="C31" s="606">
        <f>C$9+C$20+C$21+C$28</f>
        <v>147.54130984899359</v>
      </c>
      <c r="D31" s="629"/>
      <c r="E31" s="628">
        <f>E$9+E$20+E$21+E$28</f>
        <v>150.27650861649786</v>
      </c>
      <c r="F31" s="629"/>
      <c r="G31" s="606">
        <f>G$9+G$20+G$21+G$28</f>
        <v>147.68768082930481</v>
      </c>
      <c r="H31" s="629"/>
    </row>
    <row r="32" spans="1:8" ht="15" thickBot="1">
      <c r="A32" s="605"/>
      <c r="B32" s="630" t="s">
        <v>448</v>
      </c>
      <c r="C32" s="631" t="str">
        <f>D30</f>
        <v>+ 11.8</v>
      </c>
      <c r="D32" s="632"/>
      <c r="E32" s="631" t="str">
        <f>F30</f>
        <v>+ 12.02</v>
      </c>
      <c r="F32" s="632"/>
      <c r="G32" s="631" t="str">
        <f>H30</f>
        <v>+ 11.82</v>
      </c>
      <c r="H32" s="632"/>
    </row>
    <row r="33" spans="1:8" ht="15" thickBot="1">
      <c r="A33" s="605"/>
      <c r="B33" s="633" t="s">
        <v>529</v>
      </c>
      <c r="C33" s="634">
        <f>C31+C32</f>
        <v>159.3413098489936</v>
      </c>
      <c r="D33" s="634">
        <f>D8+D10+D30</f>
        <v>4.4657298952329842</v>
      </c>
      <c r="E33" s="635">
        <f>E31+E32</f>
        <v>162.29650861649787</v>
      </c>
      <c r="F33" s="634">
        <f>F8+F10+F30</f>
        <v>3.687255147942162</v>
      </c>
      <c r="G33" s="634">
        <f>G31+G32</f>
        <v>159.5076808293048</v>
      </c>
      <c r="H33" s="636">
        <f>H8+H10+H30</f>
        <v>3.2693295242285849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159.3413098489936</v>
      </c>
      <c r="D37" s="573"/>
      <c r="E37" s="236">
        <f>E33</f>
        <v>162.29650861649787</v>
      </c>
      <c r="F37" s="573"/>
      <c r="G37" s="236">
        <f>G33</f>
        <v>159.5076808293048</v>
      </c>
      <c r="H37" s="629"/>
    </row>
    <row r="38" spans="1:8">
      <c r="A38" s="605"/>
      <c r="B38" s="637" t="s">
        <v>425</v>
      </c>
      <c r="C38" s="638"/>
      <c r="D38" s="609">
        <f>-C32</f>
        <v>-11.8</v>
      </c>
      <c r="E38" s="639"/>
      <c r="F38" s="609">
        <f>-E32</f>
        <v>-12.02</v>
      </c>
      <c r="G38" s="638"/>
      <c r="H38" s="609">
        <f>-G32</f>
        <v>-11.82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Mogotio!G23</f>
        <v>0.49098063911771783</v>
      </c>
      <c r="D40" s="943"/>
      <c r="E40" s="880">
        <f>C40</f>
        <v>0.49098063911771783</v>
      </c>
      <c r="F40" s="943"/>
      <c r="G40" s="613">
        <f>C40</f>
        <v>0.49098063911771783</v>
      </c>
      <c r="H40" s="943"/>
    </row>
    <row r="41" spans="1:8" s="392" customFormat="1">
      <c r="A41" s="605"/>
      <c r="B41" s="617" t="s">
        <v>446</v>
      </c>
      <c r="C41" s="618">
        <f>SUM(C40)</f>
        <v>0.49098063911771783</v>
      </c>
      <c r="D41" s="618"/>
      <c r="E41" s="626">
        <f>SUM(E40)</f>
        <v>0.49098063911771783</v>
      </c>
      <c r="F41" s="944"/>
      <c r="G41" s="618">
        <f>SUM(G40)</f>
        <v>0.49098063911771783</v>
      </c>
      <c r="H41" s="944"/>
    </row>
    <row r="42" spans="1:8">
      <c r="A42" s="605" t="s">
        <v>642</v>
      </c>
      <c r="B42" s="503" t="s">
        <v>426</v>
      </c>
      <c r="C42" s="236">
        <f>Nakuru!D21</f>
        <v>8.19</v>
      </c>
      <c r="D42" s="573"/>
      <c r="E42" s="236">
        <f>Nakuru!E21</f>
        <v>8.19</v>
      </c>
      <c r="F42" s="573"/>
      <c r="G42" s="236">
        <f>Nakuru!F21</f>
        <v>8.19</v>
      </c>
      <c r="H42" s="629"/>
    </row>
    <row r="43" spans="1:8">
      <c r="B43" s="620" t="s">
        <v>447</v>
      </c>
      <c r="C43" s="613">
        <f>C$37+C$42+C$41</f>
        <v>168.02229048811131</v>
      </c>
      <c r="D43" s="610"/>
      <c r="E43" s="613">
        <f>E$37+E$42+E$41</f>
        <v>170.97748925561558</v>
      </c>
      <c r="F43" s="610"/>
      <c r="G43" s="236">
        <f>G$37+G$42+G$41</f>
        <v>168.18866146842251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156.2222904881113</v>
      </c>
      <c r="D46" s="610"/>
      <c r="E46" s="641">
        <f>E$43-E44-E45+F$38</f>
        <v>158.95748925561557</v>
      </c>
      <c r="F46" s="610"/>
      <c r="G46" s="642">
        <f>G$43-G44-G45+H$38</f>
        <v>156.36866146842252</v>
      </c>
      <c r="H46" s="573"/>
    </row>
    <row r="47" spans="1:8">
      <c r="B47" s="503" t="s">
        <v>445</v>
      </c>
      <c r="C47" s="644"/>
      <c r="D47" s="696" t="str">
        <f>CONCATENATE("+ ",ROUND((C$46*0.08),2))</f>
        <v>+ 12.5</v>
      </c>
      <c r="E47" s="644"/>
      <c r="F47" s="627" t="str">
        <f>CONCATENATE("+ ",ROUND((E$46*0.08),2))</f>
        <v>+ 12.72</v>
      </c>
      <c r="G47" s="645"/>
      <c r="H47" s="627" t="str">
        <f>CONCATENATE("+ ",ROUND((G$46*0.08),2))</f>
        <v>+ 12.51</v>
      </c>
    </row>
    <row r="48" spans="1:8" ht="15" thickBot="1">
      <c r="B48" s="646" t="s">
        <v>449</v>
      </c>
      <c r="C48" s="697" t="str">
        <f>D47</f>
        <v>+ 12.5</v>
      </c>
      <c r="D48" s="632"/>
      <c r="E48" s="631" t="str">
        <f>F47</f>
        <v>+ 12.72</v>
      </c>
      <c r="F48" s="632"/>
      <c r="G48" s="631" t="str">
        <f>H47</f>
        <v>+ 12.51</v>
      </c>
      <c r="H48" s="632"/>
    </row>
    <row r="49" spans="1:9" s="392" customFormat="1" ht="15" thickBot="1">
      <c r="B49" s="647" t="s">
        <v>452</v>
      </c>
      <c r="C49" s="648">
        <f>C$46+C$48+C$44+C$45</f>
        <v>168.7222904881113</v>
      </c>
      <c r="D49" s="649">
        <f>D38+D47</f>
        <v>0.69999999999999929</v>
      </c>
      <c r="E49" s="648">
        <f>E$46+E$48+E$44+E$45</f>
        <v>171.67748925561557</v>
      </c>
      <c r="F49" s="649">
        <f>F38+F47</f>
        <v>0.70000000000000107</v>
      </c>
      <c r="G49" s="650">
        <f>G$46+G$48+G$44+G$45</f>
        <v>168.87866146842251</v>
      </c>
      <c r="H49" s="651">
        <f>H38+H47</f>
        <v>0.6899999999999995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 codeName="Sheet177">
    <tabColor rgb="FF00CC00"/>
  </sheetPr>
  <dimension ref="B2:K31"/>
  <sheetViews>
    <sheetView topLeftCell="A7" workbookViewId="0">
      <selection activeCell="G8" sqref="G8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145</v>
      </c>
      <c r="G2" s="160"/>
    </row>
    <row r="3" spans="2:11">
      <c r="C3" s="258" t="s">
        <v>27</v>
      </c>
      <c r="G3" s="160"/>
    </row>
    <row r="4" spans="2:11">
      <c r="C4" s="259" t="str">
        <f>Nairobi!C4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Nakuru!G8</f>
        <v>1.1599999999999999</v>
      </c>
      <c r="H8" s="262" t="str">
        <f>Nairobi!I7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Nakuru!D9</f>
        <v>3.6531299999999995</v>
      </c>
      <c r="E9" s="269">
        <f>Nakuru!E9</f>
        <v>3.6531299999999995</v>
      </c>
      <c r="F9" s="269">
        <f>Nakuru!F9</f>
        <v>3.6531299999999995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93"/>
      <c r="F10" s="274"/>
      <c r="G10" s="272">
        <f>Nakuru!G10</f>
        <v>3.1492499999999999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Nakuru!D11</f>
        <v>0</v>
      </c>
      <c r="E11" s="269">
        <f>Nakuru!E11</f>
        <v>0</v>
      </c>
      <c r="F11" s="269">
        <f>Nakuru!F11</f>
        <v>0</v>
      </c>
      <c r="G11" s="273">
        <f>'Bridging - Sept 2013'!E23*G14/1000</f>
        <v>5.8802477075952657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645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Nakuru!D17</f>
        <v>3.54</v>
      </c>
      <c r="E17" s="280">
        <f>Nakuru!E17</f>
        <v>3.51</v>
      </c>
      <c r="F17" s="280">
        <f>Nakuru!F17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148.14892664990484</v>
      </c>
      <c r="E19" s="282">
        <f>SUM(E7:E18)</f>
        <v>150.8725043143078</v>
      </c>
      <c r="F19" s="282">
        <f>SUM(F7:F18)</f>
        <v>148.31027082822538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Nakuru!D21</f>
        <v>8.19</v>
      </c>
      <c r="E21" s="168">
        <f>Nakuru!E21</f>
        <v>8.19</v>
      </c>
      <c r="F21" s="168">
        <f>Nakuru!F21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1.9308711768619715</v>
      </c>
      <c r="E23" s="283">
        <f t="shared" ref="E23:F23" si="0">$G$23*$G$8</f>
        <v>1.9308711768619715</v>
      </c>
      <c r="F23" s="283">
        <f t="shared" si="0"/>
        <v>1.9308711768619715</v>
      </c>
      <c r="G23" s="284">
        <f>'Delivery &gt;40km-Sept 2013'!E24*I23/1000</f>
        <v>1.6645441179844582</v>
      </c>
      <c r="H23" s="262" t="s">
        <v>128</v>
      </c>
      <c r="I23" s="259">
        <v>139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158.26979782676682</v>
      </c>
      <c r="E25" s="285">
        <f>E19+E21+E23</f>
        <v>160.99337549116979</v>
      </c>
      <c r="F25" s="285">
        <f>F19+F21+F23</f>
        <v>158.43114200508737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50538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150538" r:id="rId4"/>
      </mc:Fallback>
    </mc:AlternateContent>
  </oleObjects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 codeName="Sheet178">
    <tabColor rgb="FF0070C0"/>
  </sheetPr>
  <dimension ref="A2:M68"/>
  <sheetViews>
    <sheetView topLeftCell="A25" workbookViewId="0">
      <selection activeCell="D45" sqref="D45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3.2149986890483997</v>
      </c>
      <c r="D21" s="573"/>
      <c r="E21" s="618">
        <f>SUM(E$22:E$23)</f>
        <v>3.2162830925701442</v>
      </c>
      <c r="F21" s="621"/>
      <c r="G21" s="618">
        <f>SUM(G$22:G$23)</f>
        <v>3.2150879413472095</v>
      </c>
      <c r="H21" s="573"/>
    </row>
    <row r="22" spans="1:8">
      <c r="A22" s="605"/>
      <c r="B22" s="614" t="s">
        <v>455</v>
      </c>
      <c r="C22" s="613">
        <f>SUM(C$24:C$25)</f>
        <v>3.1492499999999999</v>
      </c>
      <c r="D22" s="573"/>
      <c r="E22" s="613">
        <f>SUM(E$24:E$25)</f>
        <v>3.1492499999999999</v>
      </c>
      <c r="F22" s="621"/>
      <c r="G22" s="613">
        <f>SUM(G$24:G$25)</f>
        <v>3.1492499999999999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Nakuru!G10</f>
        <v>3.1492499999999999</v>
      </c>
      <c r="D24" s="623"/>
      <c r="E24" s="602">
        <f>C24</f>
        <v>3.1492499999999999</v>
      </c>
      <c r="F24" s="624"/>
      <c r="G24" s="602">
        <f>E24</f>
        <v>3.1492499999999999</v>
      </c>
      <c r="H24" s="573"/>
    </row>
    <row r="25" spans="1:8">
      <c r="A25" s="605"/>
      <c r="B25" s="622" t="s">
        <v>465</v>
      </c>
      <c r="C25" s="602">
        <f>Nakuru!D11/1.16</f>
        <v>0</v>
      </c>
      <c r="D25" s="623"/>
      <c r="E25" s="602">
        <f>Nakuru!E11/1.14</f>
        <v>0</v>
      </c>
      <c r="F25" s="624"/>
      <c r="G25" s="602">
        <f>Nakuru!F11/1.14</f>
        <v>0</v>
      </c>
      <c r="H25" s="573"/>
    </row>
    <row r="26" spans="1:8">
      <c r="A26" s="605"/>
      <c r="B26" s="622" t="s">
        <v>334</v>
      </c>
      <c r="C26" s="602">
        <f>Nakuru!D13</f>
        <v>6.5748689048399672E-2</v>
      </c>
      <c r="D26" s="623"/>
      <c r="E26" s="602">
        <f>Nakuru!E13</f>
        <v>6.703309257014424E-2</v>
      </c>
      <c r="F26" s="624"/>
      <c r="G26" s="602">
        <f>Nakuru!F13</f>
        <v>6.5837941347209814E-2</v>
      </c>
      <c r="H26" s="573"/>
    </row>
    <row r="27" spans="1:8">
      <c r="A27" s="605"/>
      <c r="B27" s="622" t="s">
        <v>332</v>
      </c>
      <c r="C27" s="602">
        <f>Nakuru!D15</f>
        <v>0</v>
      </c>
      <c r="D27" s="623"/>
      <c r="E27" s="602">
        <f>Nakuru!E15</f>
        <v>0</v>
      </c>
      <c r="F27" s="624"/>
      <c r="G27" s="602">
        <f>Nakuru!F15</f>
        <v>0</v>
      </c>
      <c r="H27" s="573"/>
    </row>
    <row r="28" spans="1:8">
      <c r="A28" s="605" t="s">
        <v>404</v>
      </c>
      <c r="B28" s="620" t="s">
        <v>427</v>
      </c>
      <c r="C28" s="618">
        <f>Nakuru!D17</f>
        <v>3.54</v>
      </c>
      <c r="D28" s="625"/>
      <c r="E28" s="626">
        <f>Nakuru!E17</f>
        <v>3.51</v>
      </c>
      <c r="F28" s="625"/>
      <c r="G28" s="618">
        <f>Nakuru!F17</f>
        <v>3.51</v>
      </c>
      <c r="H28" s="573"/>
    </row>
    <row r="29" spans="1:8">
      <c r="A29" s="605"/>
      <c r="B29" s="620" t="s">
        <v>440</v>
      </c>
      <c r="C29" s="618">
        <f>C$9+C$20+C$22+C$23+C$28</f>
        <v>147.54130984899359</v>
      </c>
      <c r="D29" s="625"/>
      <c r="E29" s="626">
        <f>E$9+E$20+E$22+E$23+E$28</f>
        <v>150.27650861649786</v>
      </c>
      <c r="F29" s="625"/>
      <c r="G29" s="618">
        <f>G$9+G$20+G$22+G$23+G$28</f>
        <v>147.68768082930481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</v>
      </c>
      <c r="E30" s="628"/>
      <c r="F30" s="627" t="str">
        <f>CONCATENATE("+ ",ROUND((E$29*0.08),2))</f>
        <v>+ 12.02</v>
      </c>
      <c r="G30" s="606"/>
      <c r="H30" s="627" t="str">
        <f>CONCATENATE("+ ",ROUND((G$29*0.08),2))</f>
        <v>+ 11.82</v>
      </c>
    </row>
    <row r="31" spans="1:8">
      <c r="A31" s="605"/>
      <c r="B31" s="620" t="s">
        <v>436</v>
      </c>
      <c r="C31" s="606">
        <f>C$9+C$20+C$21+C$28</f>
        <v>147.54130984899359</v>
      </c>
      <c r="D31" s="629"/>
      <c r="E31" s="628">
        <f>E$9+E$20+E$21+E$28</f>
        <v>150.27650861649786</v>
      </c>
      <c r="F31" s="629"/>
      <c r="G31" s="606">
        <f>G$9+G$20+G$21+G$28</f>
        <v>147.68768082930481</v>
      </c>
      <c r="H31" s="629"/>
    </row>
    <row r="32" spans="1:8" ht="15" thickBot="1">
      <c r="A32" s="605"/>
      <c r="B32" s="630" t="s">
        <v>448</v>
      </c>
      <c r="C32" s="631" t="str">
        <f>D30</f>
        <v>+ 11.8</v>
      </c>
      <c r="D32" s="632"/>
      <c r="E32" s="631" t="str">
        <f>F30</f>
        <v>+ 12.02</v>
      </c>
      <c r="F32" s="632"/>
      <c r="G32" s="631" t="str">
        <f>H30</f>
        <v>+ 11.82</v>
      </c>
      <c r="H32" s="632"/>
    </row>
    <row r="33" spans="1:8" ht="15" thickBot="1">
      <c r="A33" s="605"/>
      <c r="B33" s="633" t="s">
        <v>529</v>
      </c>
      <c r="C33" s="634">
        <f>C31+C32</f>
        <v>159.3413098489936</v>
      </c>
      <c r="D33" s="634">
        <f>D8+D10+D30</f>
        <v>4.4657298952329842</v>
      </c>
      <c r="E33" s="635">
        <f>E31+E32</f>
        <v>162.29650861649787</v>
      </c>
      <c r="F33" s="634">
        <f>F8+F10+F30</f>
        <v>3.687255147942162</v>
      </c>
      <c r="G33" s="634">
        <f>G31+G32</f>
        <v>159.5076808293048</v>
      </c>
      <c r="H33" s="636">
        <f>H8+H10+H30</f>
        <v>3.2693295242285849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159.3413098489936</v>
      </c>
      <c r="D37" s="573"/>
      <c r="E37" s="236">
        <f>E33</f>
        <v>162.29650861649787</v>
      </c>
      <c r="F37" s="573"/>
      <c r="G37" s="236">
        <f>G33</f>
        <v>159.5076808293048</v>
      </c>
      <c r="H37" s="629"/>
    </row>
    <row r="38" spans="1:8">
      <c r="A38" s="605"/>
      <c r="B38" s="637" t="s">
        <v>425</v>
      </c>
      <c r="C38" s="638"/>
      <c r="D38" s="609">
        <f>-C32</f>
        <v>-11.8</v>
      </c>
      <c r="E38" s="639"/>
      <c r="F38" s="609">
        <f>-E32</f>
        <v>-12.02</v>
      </c>
      <c r="G38" s="638"/>
      <c r="H38" s="609">
        <f>-G32</f>
        <v>-11.82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Kabarnet!G23</f>
        <v>1.6645441179844582</v>
      </c>
      <c r="D40" s="943"/>
      <c r="E40" s="880">
        <f>C40</f>
        <v>1.6645441179844582</v>
      </c>
      <c r="F40" s="943"/>
      <c r="G40" s="613">
        <f>C40</f>
        <v>1.6645441179844582</v>
      </c>
      <c r="H40" s="943"/>
    </row>
    <row r="41" spans="1:8" s="392" customFormat="1">
      <c r="A41" s="605"/>
      <c r="B41" s="617" t="s">
        <v>446</v>
      </c>
      <c r="C41" s="618">
        <f>SUM(C40)</f>
        <v>1.6645441179844582</v>
      </c>
      <c r="D41" s="618"/>
      <c r="E41" s="626">
        <f>SUM(E40)</f>
        <v>1.6645441179844582</v>
      </c>
      <c r="F41" s="944"/>
      <c r="G41" s="618">
        <f>SUM(G40)</f>
        <v>1.6645441179844582</v>
      </c>
      <c r="H41" s="944"/>
    </row>
    <row r="42" spans="1:8">
      <c r="A42" s="605" t="s">
        <v>642</v>
      </c>
      <c r="B42" s="503" t="s">
        <v>426</v>
      </c>
      <c r="C42" s="236">
        <f>Nakuru!D21</f>
        <v>8.19</v>
      </c>
      <c r="D42" s="573"/>
      <c r="E42" s="236">
        <f>Nakuru!E21</f>
        <v>8.19</v>
      </c>
      <c r="F42" s="573"/>
      <c r="G42" s="236">
        <f>Nakuru!F21</f>
        <v>8.19</v>
      </c>
      <c r="H42" s="629"/>
    </row>
    <row r="43" spans="1:8">
      <c r="B43" s="620" t="s">
        <v>447</v>
      </c>
      <c r="C43" s="613">
        <f>C$37+C$42+C$41</f>
        <v>169.19585396697806</v>
      </c>
      <c r="D43" s="610"/>
      <c r="E43" s="613">
        <f>E$37+E$42+E$41</f>
        <v>172.15105273448233</v>
      </c>
      <c r="F43" s="610"/>
      <c r="G43" s="236">
        <f>G$37+G$42+G$41</f>
        <v>169.36222494728926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157.39585396697805</v>
      </c>
      <c r="D46" s="610"/>
      <c r="E46" s="641">
        <f>E$43-E44-E45+F$38</f>
        <v>160.13105273448232</v>
      </c>
      <c r="F46" s="610"/>
      <c r="G46" s="642">
        <f>G$43-G44-G45+H$38</f>
        <v>157.54222494728927</v>
      </c>
      <c r="H46" s="573"/>
    </row>
    <row r="47" spans="1:8">
      <c r="B47" s="503" t="s">
        <v>445</v>
      </c>
      <c r="C47" s="644"/>
      <c r="D47" s="696" t="str">
        <f>CONCATENATE("+ ",ROUND((C$46*0.08),2))</f>
        <v>+ 12.59</v>
      </c>
      <c r="E47" s="644"/>
      <c r="F47" s="627" t="str">
        <f>CONCATENATE("+ ",ROUND((E$46*0.08),2))</f>
        <v>+ 12.81</v>
      </c>
      <c r="G47" s="645"/>
      <c r="H47" s="627" t="str">
        <f>CONCATENATE("+ ",ROUND((G$46*0.08),2))</f>
        <v>+ 12.6</v>
      </c>
    </row>
    <row r="48" spans="1:8" ht="15" thickBot="1">
      <c r="B48" s="646" t="s">
        <v>449</v>
      </c>
      <c r="C48" s="697" t="str">
        <f>D47</f>
        <v>+ 12.59</v>
      </c>
      <c r="D48" s="632"/>
      <c r="E48" s="631" t="str">
        <f>F47</f>
        <v>+ 12.81</v>
      </c>
      <c r="F48" s="632"/>
      <c r="G48" s="631" t="str">
        <f>H47</f>
        <v>+ 12.6</v>
      </c>
      <c r="H48" s="632"/>
    </row>
    <row r="49" spans="1:9" s="392" customFormat="1" ht="15" thickBot="1">
      <c r="B49" s="647" t="s">
        <v>452</v>
      </c>
      <c r="C49" s="648">
        <f>C$46+C$48+C$44+C$45</f>
        <v>169.98585396697806</v>
      </c>
      <c r="D49" s="649">
        <f>D38+D47</f>
        <v>0.78999999999999915</v>
      </c>
      <c r="E49" s="648">
        <f>E$46+E$48+E$44+E$45</f>
        <v>172.94105273448233</v>
      </c>
      <c r="F49" s="649">
        <f>F38+F47</f>
        <v>0.79000000000000092</v>
      </c>
      <c r="G49" s="650">
        <f>G$46+G$48+G$44+G$45</f>
        <v>170.14222494728926</v>
      </c>
      <c r="H49" s="651">
        <f>H38+H47</f>
        <v>0.77999999999999936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 codeName="Sheet179">
    <tabColor rgb="FF00CC00"/>
  </sheetPr>
  <dimension ref="B2:K31"/>
  <sheetViews>
    <sheetView topLeftCell="A8" workbookViewId="0">
      <selection activeCell="G8" sqref="G8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190</v>
      </c>
      <c r="G2" s="160"/>
    </row>
    <row r="3" spans="2:11">
      <c r="C3" s="258" t="s">
        <v>27</v>
      </c>
      <c r="G3" s="160"/>
    </row>
    <row r="4" spans="2:11">
      <c r="C4" s="259" t="str">
        <f>Nairobi!C4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Nakuru!G8</f>
        <v>1.1599999999999999</v>
      </c>
      <c r="H8" s="262" t="str">
        <f>Nairobi!I7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Nakuru!D9</f>
        <v>3.6531299999999995</v>
      </c>
      <c r="E9" s="269">
        <f>Nakuru!E9</f>
        <v>3.6531299999999995</v>
      </c>
      <c r="F9" s="269">
        <f>Nakuru!F9</f>
        <v>3.6531299999999995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93"/>
      <c r="F10" s="274"/>
      <c r="G10" s="272">
        <f>Nakuru!G10</f>
        <v>3.1492499999999999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Nakuru!D11</f>
        <v>0</v>
      </c>
      <c r="E11" s="294">
        <f>$G$11*G12*$G$8</f>
        <v>0</v>
      </c>
      <c r="F11" s="269">
        <v>0</v>
      </c>
      <c r="G11" s="273">
        <f>'Bridging - Sept 2013'!E23*G14/1000</f>
        <v>5.8802477075952657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645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Nakuru!D17</f>
        <v>3.54</v>
      </c>
      <c r="E17" s="280">
        <f>Nakuru!E17</f>
        <v>3.51</v>
      </c>
      <c r="F17" s="280">
        <f>Nakuru!F17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148.14892664990484</v>
      </c>
      <c r="E19" s="282">
        <f>SUM(E7:E18)</f>
        <v>150.8725043143078</v>
      </c>
      <c r="F19" s="282">
        <f>SUM(F7:F18)</f>
        <v>148.31027082822538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Nakuru!D21</f>
        <v>8.19</v>
      </c>
      <c r="E21" s="168">
        <f>Nakuru!E21</f>
        <v>8.19</v>
      </c>
      <c r="F21" s="168">
        <f>Nakuru!F21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0.90153625452044572</v>
      </c>
      <c r="E23" s="283">
        <f t="shared" ref="E23:F23" si="0">$G$23*$G$8</f>
        <v>0.90153625452044572</v>
      </c>
      <c r="F23" s="283">
        <f t="shared" si="0"/>
        <v>0.90153625452044572</v>
      </c>
      <c r="G23" s="284">
        <f>'Delivery &gt;40km-Sept 2013'!E24*I23/1000</f>
        <v>0.77718642631072909</v>
      </c>
      <c r="H23" s="262" t="s">
        <v>128</v>
      </c>
      <c r="I23" s="908">
        <v>64.900000000000006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157.24046290442527</v>
      </c>
      <c r="E25" s="285">
        <f>E19+E21+E23</f>
        <v>159.96404056882824</v>
      </c>
      <c r="F25" s="285">
        <f>F19+F21+F23</f>
        <v>157.40180708274582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326666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326666" r:id="rId4"/>
      </mc:Fallback>
    </mc:AlternateContent>
  </oleObjects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 codeName="Sheet180">
    <tabColor rgb="FF0070C0"/>
  </sheetPr>
  <dimension ref="A2:M68"/>
  <sheetViews>
    <sheetView topLeftCell="A34" workbookViewId="0">
      <selection activeCell="E29" sqref="E29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3.2149986890483997</v>
      </c>
      <c r="D21" s="573"/>
      <c r="E21" s="618">
        <f>SUM(E$22:E$23)</f>
        <v>3.2162830925701442</v>
      </c>
      <c r="F21" s="621"/>
      <c r="G21" s="618">
        <f>SUM(G$22:G$23)</f>
        <v>3.2150879413472095</v>
      </c>
      <c r="H21" s="573"/>
    </row>
    <row r="22" spans="1:8">
      <c r="A22" s="605"/>
      <c r="B22" s="614" t="s">
        <v>455</v>
      </c>
      <c r="C22" s="613">
        <f>SUM(C$24:C$25)</f>
        <v>3.1492499999999999</v>
      </c>
      <c r="D22" s="573"/>
      <c r="E22" s="613">
        <f>SUM(E$24:E$25)</f>
        <v>3.1492499999999999</v>
      </c>
      <c r="F22" s="621"/>
      <c r="G22" s="613">
        <f>SUM(G$24:G$25)</f>
        <v>3.1492499999999999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Nakuru!G10</f>
        <v>3.1492499999999999</v>
      </c>
      <c r="D24" s="623"/>
      <c r="E24" s="602">
        <f>C24</f>
        <v>3.1492499999999999</v>
      </c>
      <c r="F24" s="624"/>
      <c r="G24" s="602">
        <f>E24</f>
        <v>3.1492499999999999</v>
      </c>
      <c r="H24" s="573"/>
    </row>
    <row r="25" spans="1:8">
      <c r="A25" s="605"/>
      <c r="B25" s="622" t="s">
        <v>465</v>
      </c>
      <c r="C25" s="602">
        <f>Nakuru!D11/1.16</f>
        <v>0</v>
      </c>
      <c r="D25" s="623"/>
      <c r="E25" s="602">
        <f>Nakuru!E11/1.14</f>
        <v>0</v>
      </c>
      <c r="F25" s="624"/>
      <c r="G25" s="602">
        <f>Nakuru!F11/1.14</f>
        <v>0</v>
      </c>
      <c r="H25" s="573"/>
    </row>
    <row r="26" spans="1:8">
      <c r="A26" s="605"/>
      <c r="B26" s="622" t="s">
        <v>334</v>
      </c>
      <c r="C26" s="602">
        <f>Nakuru!D13</f>
        <v>6.5748689048399672E-2</v>
      </c>
      <c r="D26" s="623"/>
      <c r="E26" s="602">
        <f>Nakuru!E13</f>
        <v>6.703309257014424E-2</v>
      </c>
      <c r="F26" s="624"/>
      <c r="G26" s="602">
        <f>Nakuru!F13</f>
        <v>6.5837941347209814E-2</v>
      </c>
      <c r="H26" s="573"/>
    </row>
    <row r="27" spans="1:8">
      <c r="A27" s="605"/>
      <c r="B27" s="622" t="s">
        <v>332</v>
      </c>
      <c r="C27" s="602">
        <f>Nakuru!D15</f>
        <v>0</v>
      </c>
      <c r="D27" s="623"/>
      <c r="E27" s="602">
        <f>Nakuru!E15</f>
        <v>0</v>
      </c>
      <c r="F27" s="624"/>
      <c r="G27" s="602">
        <f>Nakuru!F15</f>
        <v>0</v>
      </c>
      <c r="H27" s="573"/>
    </row>
    <row r="28" spans="1:8">
      <c r="A28" s="605" t="s">
        <v>404</v>
      </c>
      <c r="B28" s="620" t="s">
        <v>427</v>
      </c>
      <c r="C28" s="618">
        <f>Nakuru!D17</f>
        <v>3.54</v>
      </c>
      <c r="D28" s="625"/>
      <c r="E28" s="626">
        <f>Nakuru!E17</f>
        <v>3.51</v>
      </c>
      <c r="F28" s="625"/>
      <c r="G28" s="618">
        <f>Nakuru!F17</f>
        <v>3.51</v>
      </c>
      <c r="H28" s="573"/>
    </row>
    <row r="29" spans="1:8">
      <c r="A29" s="605"/>
      <c r="B29" s="620" t="s">
        <v>440</v>
      </c>
      <c r="C29" s="618">
        <f>C$9+C$20+C$22+C$23+C$28</f>
        <v>147.54130984899359</v>
      </c>
      <c r="D29" s="625"/>
      <c r="E29" s="626">
        <f>E$9+E$20+E$22+E$23+E$28</f>
        <v>150.27650861649786</v>
      </c>
      <c r="F29" s="625"/>
      <c r="G29" s="618">
        <f>G$9+G$20+G$22+G$23+G$28</f>
        <v>147.68768082930481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</v>
      </c>
      <c r="E30" s="628"/>
      <c r="F30" s="627" t="str">
        <f>CONCATENATE("+ ",ROUND((E$29*0.08),2))</f>
        <v>+ 12.02</v>
      </c>
      <c r="G30" s="606"/>
      <c r="H30" s="627" t="str">
        <f>CONCATENATE("+ ",ROUND((G$29*0.08),2))</f>
        <v>+ 11.82</v>
      </c>
    </row>
    <row r="31" spans="1:8">
      <c r="A31" s="605"/>
      <c r="B31" s="620" t="s">
        <v>436</v>
      </c>
      <c r="C31" s="606">
        <f>C$9+C$20+C$21+C$28</f>
        <v>147.54130984899359</v>
      </c>
      <c r="D31" s="629"/>
      <c r="E31" s="628">
        <f>E$9+E$20+E$21+E$28</f>
        <v>150.27650861649786</v>
      </c>
      <c r="F31" s="629"/>
      <c r="G31" s="606">
        <f>G$9+G$20+G$21+G$28</f>
        <v>147.68768082930481</v>
      </c>
      <c r="H31" s="629"/>
    </row>
    <row r="32" spans="1:8" ht="15" thickBot="1">
      <c r="A32" s="605"/>
      <c r="B32" s="630" t="s">
        <v>448</v>
      </c>
      <c r="C32" s="631" t="str">
        <f>D30</f>
        <v>+ 11.8</v>
      </c>
      <c r="D32" s="632"/>
      <c r="E32" s="631" t="str">
        <f>F30</f>
        <v>+ 12.02</v>
      </c>
      <c r="F32" s="632"/>
      <c r="G32" s="631" t="str">
        <f>H30</f>
        <v>+ 11.82</v>
      </c>
      <c r="H32" s="632"/>
    </row>
    <row r="33" spans="1:8" ht="15" thickBot="1">
      <c r="A33" s="605"/>
      <c r="B33" s="633" t="s">
        <v>529</v>
      </c>
      <c r="C33" s="634">
        <f>C31+C32</f>
        <v>159.3413098489936</v>
      </c>
      <c r="D33" s="634">
        <f>D8+D10+D30</f>
        <v>4.4657298952329842</v>
      </c>
      <c r="E33" s="635">
        <f>E31+E32</f>
        <v>162.29650861649787</v>
      </c>
      <c r="F33" s="634">
        <f>F8+F10+F30</f>
        <v>3.687255147942162</v>
      </c>
      <c r="G33" s="634">
        <f>G31+G32</f>
        <v>159.5076808293048</v>
      </c>
      <c r="H33" s="636">
        <f>H8+H10+H30</f>
        <v>3.2693295242285849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159.3413098489936</v>
      </c>
      <c r="D37" s="573"/>
      <c r="E37" s="236">
        <f>E33</f>
        <v>162.29650861649787</v>
      </c>
      <c r="F37" s="573"/>
      <c r="G37" s="236">
        <f>G33</f>
        <v>159.5076808293048</v>
      </c>
      <c r="H37" s="629"/>
    </row>
    <row r="38" spans="1:8">
      <c r="A38" s="605"/>
      <c r="B38" s="637" t="s">
        <v>425</v>
      </c>
      <c r="C38" s="638"/>
      <c r="D38" s="609">
        <f>-C32</f>
        <v>-11.8</v>
      </c>
      <c r="E38" s="639"/>
      <c r="F38" s="609">
        <f>-E32</f>
        <v>-12.02</v>
      </c>
      <c r="G38" s="638"/>
      <c r="H38" s="609">
        <f>-G32</f>
        <v>-11.82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Londiani!G23</f>
        <v>0.77718642631072909</v>
      </c>
      <c r="D40" s="943"/>
      <c r="E40" s="880">
        <f>C40</f>
        <v>0.77718642631072909</v>
      </c>
      <c r="F40" s="943"/>
      <c r="G40" s="613">
        <f>C40</f>
        <v>0.77718642631072909</v>
      </c>
      <c r="H40" s="943"/>
    </row>
    <row r="41" spans="1:8" s="392" customFormat="1">
      <c r="A41" s="605"/>
      <c r="B41" s="617" t="s">
        <v>446</v>
      </c>
      <c r="C41" s="618">
        <f>SUM(C40)</f>
        <v>0.77718642631072909</v>
      </c>
      <c r="D41" s="618"/>
      <c r="E41" s="626">
        <f>SUM(E40)</f>
        <v>0.77718642631072909</v>
      </c>
      <c r="F41" s="944"/>
      <c r="G41" s="618">
        <f>SUM(G40)</f>
        <v>0.77718642631072909</v>
      </c>
      <c r="H41" s="944"/>
    </row>
    <row r="42" spans="1:8">
      <c r="A42" s="605" t="s">
        <v>642</v>
      </c>
      <c r="B42" s="503" t="s">
        <v>426</v>
      </c>
      <c r="C42" s="236">
        <f>Nakuru!D21</f>
        <v>8.19</v>
      </c>
      <c r="D42" s="573"/>
      <c r="E42" s="236">
        <f>Nakuru!E21</f>
        <v>8.19</v>
      </c>
      <c r="F42" s="573"/>
      <c r="G42" s="236">
        <f>Nakuru!F21</f>
        <v>8.19</v>
      </c>
      <c r="H42" s="629"/>
    </row>
    <row r="43" spans="1:8">
      <c r="B43" s="620" t="s">
        <v>447</v>
      </c>
      <c r="C43" s="613">
        <f>C$37+C$42+C$41</f>
        <v>168.30849627530432</v>
      </c>
      <c r="D43" s="610"/>
      <c r="E43" s="613">
        <f>E$37+E$42+E$41</f>
        <v>171.26369504280859</v>
      </c>
      <c r="F43" s="610"/>
      <c r="G43" s="236">
        <f>G$37+G$42+G$41</f>
        <v>168.47486725561552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156.50849627530431</v>
      </c>
      <c r="D46" s="610"/>
      <c r="E46" s="641">
        <f>E$43-E44-E45+F$38</f>
        <v>159.24369504280858</v>
      </c>
      <c r="F46" s="610"/>
      <c r="G46" s="642">
        <f>G$43-G44-G45+H$38</f>
        <v>156.65486725561553</v>
      </c>
      <c r="H46" s="573"/>
    </row>
    <row r="47" spans="1:8">
      <c r="B47" s="503" t="s">
        <v>445</v>
      </c>
      <c r="C47" s="644"/>
      <c r="D47" s="696" t="str">
        <f>CONCATENATE("+ ",ROUND((C$46*0.08),2))</f>
        <v>+ 12.52</v>
      </c>
      <c r="E47" s="644"/>
      <c r="F47" s="627" t="str">
        <f>CONCATENATE("+ ",ROUND((E$46*0.08),2))</f>
        <v>+ 12.74</v>
      </c>
      <c r="G47" s="645"/>
      <c r="H47" s="627" t="str">
        <f>CONCATENATE("+ ",ROUND((G$46*0.08),2))</f>
        <v>+ 12.53</v>
      </c>
    </row>
    <row r="48" spans="1:8" ht="15" thickBot="1">
      <c r="B48" s="646" t="s">
        <v>449</v>
      </c>
      <c r="C48" s="697" t="str">
        <f>D47</f>
        <v>+ 12.52</v>
      </c>
      <c r="D48" s="632"/>
      <c r="E48" s="631" t="str">
        <f>F47</f>
        <v>+ 12.74</v>
      </c>
      <c r="F48" s="632"/>
      <c r="G48" s="631" t="str">
        <f>H47</f>
        <v>+ 12.53</v>
      </c>
      <c r="H48" s="632"/>
    </row>
    <row r="49" spans="1:9" s="392" customFormat="1" ht="15" thickBot="1">
      <c r="B49" s="647" t="s">
        <v>452</v>
      </c>
      <c r="C49" s="648">
        <f>C$46+C$48+C$44+C$45</f>
        <v>169.02849627530432</v>
      </c>
      <c r="D49" s="649">
        <f>D38+D47</f>
        <v>0.71999999999999886</v>
      </c>
      <c r="E49" s="648">
        <f>E$46+E$48+E$44+E$45</f>
        <v>171.98369504280859</v>
      </c>
      <c r="F49" s="649">
        <f>F38+F47</f>
        <v>0.72000000000000064</v>
      </c>
      <c r="G49" s="650">
        <f>G$46+G$48+G$44+G$45</f>
        <v>169.18486725561553</v>
      </c>
      <c r="H49" s="651">
        <f>H38+H47</f>
        <v>0.70999999999999908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 codeName="Sheet181">
    <tabColor rgb="FF00CC00"/>
  </sheetPr>
  <dimension ref="B2:K31"/>
  <sheetViews>
    <sheetView topLeftCell="B8" workbookViewId="0">
      <selection activeCell="G8" sqref="G8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189</v>
      </c>
      <c r="G2" s="160"/>
    </row>
    <row r="3" spans="2:11">
      <c r="C3" s="258" t="s">
        <v>27</v>
      </c>
      <c r="G3" s="160"/>
    </row>
    <row r="4" spans="2:11">
      <c r="C4" s="259" t="str">
        <f>Nairobi!C4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Nakuru!G8</f>
        <v>1.1599999999999999</v>
      </c>
      <c r="H8" s="262" t="str">
        <f>Nairobi!I7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Nakuru!D9</f>
        <v>3.6531299999999995</v>
      </c>
      <c r="E9" s="269">
        <f>Nakuru!E9</f>
        <v>3.6531299999999995</v>
      </c>
      <c r="F9" s="269">
        <f>Nakuru!F9</f>
        <v>3.6531299999999995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93"/>
      <c r="F10" s="274"/>
      <c r="G10" s="272">
        <f>Nakuru!G10</f>
        <v>3.1492499999999999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Nakuru!D11</f>
        <v>0</v>
      </c>
      <c r="E11" s="294">
        <f>$G$11*G12*$G$8</f>
        <v>0</v>
      </c>
      <c r="F11" s="269">
        <v>0</v>
      </c>
      <c r="G11" s="273">
        <f>'Bridging - Sept 2013'!E23*G14/1000</f>
        <v>5.8802477075952657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645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Nakuru!D17</f>
        <v>3.54</v>
      </c>
      <c r="E17" s="280">
        <f>Nakuru!E17</f>
        <v>3.51</v>
      </c>
      <c r="F17" s="280">
        <f>Nakuru!F17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148.14892664990484</v>
      </c>
      <c r="E19" s="282">
        <f>SUM(E7:E18)</f>
        <v>150.8725043143078</v>
      </c>
      <c r="F19" s="282">
        <f>SUM(F7:F18)</f>
        <v>148.31027082822538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Nakuru!D21</f>
        <v>8.19</v>
      </c>
      <c r="E21" s="168">
        <f>Nakuru!E21</f>
        <v>8.19</v>
      </c>
      <c r="F21" s="168">
        <f>Nakuru!F21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1.4030071141227274</v>
      </c>
      <c r="E23" s="283">
        <f t="shared" ref="E23:F23" si="0">$G$23*$G$8</f>
        <v>1.4030071141227274</v>
      </c>
      <c r="F23" s="283">
        <f t="shared" si="0"/>
        <v>1.4030071141227274</v>
      </c>
      <c r="G23" s="284">
        <f>'Delivery &gt;40km-Sept 2013'!E24*I23/1000</f>
        <v>1.2094888914851099</v>
      </c>
      <c r="H23" s="262" t="s">
        <v>128</v>
      </c>
      <c r="I23" s="259">
        <v>101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157.74193376402755</v>
      </c>
      <c r="E25" s="285">
        <f>E19+E21+E23</f>
        <v>160.46551142843052</v>
      </c>
      <c r="F25" s="285">
        <f>F19+F21+F23</f>
        <v>157.9032779423481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324618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324618" r:id="rId4"/>
      </mc:Fallback>
    </mc:AlternateContent>
  </oleObjects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 codeName="Sheet182">
    <tabColor rgb="FF0070C0"/>
  </sheetPr>
  <dimension ref="A2:M68"/>
  <sheetViews>
    <sheetView topLeftCell="A34" workbookViewId="0">
      <selection activeCell="D25" sqref="D25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3.2149986890483997</v>
      </c>
      <c r="D21" s="573"/>
      <c r="E21" s="618">
        <f>SUM(E$22:E$23)</f>
        <v>3.2162830925701442</v>
      </c>
      <c r="F21" s="621"/>
      <c r="G21" s="618">
        <f>SUM(G$22:G$23)</f>
        <v>3.2150879413472095</v>
      </c>
      <c r="H21" s="573"/>
    </row>
    <row r="22" spans="1:8">
      <c r="A22" s="605"/>
      <c r="B22" s="614" t="s">
        <v>455</v>
      </c>
      <c r="C22" s="613">
        <f>SUM(C$24:C$25)</f>
        <v>3.1492499999999999</v>
      </c>
      <c r="D22" s="573"/>
      <c r="E22" s="613">
        <f>SUM(E$24:E$25)</f>
        <v>3.1492499999999999</v>
      </c>
      <c r="F22" s="621"/>
      <c r="G22" s="613">
        <f>SUM(G$24:G$25)</f>
        <v>3.1492499999999999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Nakuru!G10</f>
        <v>3.1492499999999999</v>
      </c>
      <c r="D24" s="623"/>
      <c r="E24" s="602">
        <f>C24</f>
        <v>3.1492499999999999</v>
      </c>
      <c r="F24" s="624"/>
      <c r="G24" s="602">
        <f>E24</f>
        <v>3.1492499999999999</v>
      </c>
      <c r="H24" s="573"/>
    </row>
    <row r="25" spans="1:8">
      <c r="A25" s="605"/>
      <c r="B25" s="622" t="s">
        <v>465</v>
      </c>
      <c r="C25" s="602">
        <f>Nakuru!D11/1.16</f>
        <v>0</v>
      </c>
      <c r="D25" s="623"/>
      <c r="E25" s="602">
        <f>Nakuru!E11/1.14</f>
        <v>0</v>
      </c>
      <c r="F25" s="624"/>
      <c r="G25" s="602">
        <f>Nakuru!F11/1.14</f>
        <v>0</v>
      </c>
      <c r="H25" s="573"/>
    </row>
    <row r="26" spans="1:8">
      <c r="A26" s="605"/>
      <c r="B26" s="622" t="s">
        <v>334</v>
      </c>
      <c r="C26" s="602">
        <f>Nakuru!D13</f>
        <v>6.5748689048399672E-2</v>
      </c>
      <c r="D26" s="623"/>
      <c r="E26" s="602">
        <f>Nakuru!E13</f>
        <v>6.703309257014424E-2</v>
      </c>
      <c r="F26" s="624"/>
      <c r="G26" s="602">
        <f>Nakuru!F13</f>
        <v>6.5837941347209814E-2</v>
      </c>
      <c r="H26" s="573"/>
    </row>
    <row r="27" spans="1:8">
      <c r="A27" s="605"/>
      <c r="B27" s="622" t="s">
        <v>332</v>
      </c>
      <c r="C27" s="602">
        <f>Nakuru!D15</f>
        <v>0</v>
      </c>
      <c r="D27" s="623"/>
      <c r="E27" s="602">
        <f>Nakuru!E15</f>
        <v>0</v>
      </c>
      <c r="F27" s="624"/>
      <c r="G27" s="602">
        <f>Nakuru!F15</f>
        <v>0</v>
      </c>
      <c r="H27" s="573"/>
    </row>
    <row r="28" spans="1:8">
      <c r="A28" s="605" t="s">
        <v>404</v>
      </c>
      <c r="B28" s="620" t="s">
        <v>427</v>
      </c>
      <c r="C28" s="618">
        <f>Nakuru!D17</f>
        <v>3.54</v>
      </c>
      <c r="D28" s="625"/>
      <c r="E28" s="626">
        <f>Nakuru!E17</f>
        <v>3.51</v>
      </c>
      <c r="F28" s="625"/>
      <c r="G28" s="618">
        <f>Nakuru!F17</f>
        <v>3.51</v>
      </c>
      <c r="H28" s="573"/>
    </row>
    <row r="29" spans="1:8">
      <c r="A29" s="605"/>
      <c r="B29" s="620" t="s">
        <v>440</v>
      </c>
      <c r="C29" s="618">
        <f>C$9+C$20+C$22+C$23+C$28</f>
        <v>147.54130984899359</v>
      </c>
      <c r="D29" s="625"/>
      <c r="E29" s="626">
        <f>E$9+E$20+E$22+E$23+E$28</f>
        <v>150.27650861649786</v>
      </c>
      <c r="F29" s="625"/>
      <c r="G29" s="618">
        <f>G$9+G$20+G$22+G$23+G$28</f>
        <v>147.68768082930481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</v>
      </c>
      <c r="E30" s="628"/>
      <c r="F30" s="627" t="str">
        <f>CONCATENATE("+ ",ROUND((E$29*0.08),2))</f>
        <v>+ 12.02</v>
      </c>
      <c r="G30" s="606"/>
      <c r="H30" s="627" t="str">
        <f>CONCATENATE("+ ",ROUND((G$29*0.08),2))</f>
        <v>+ 11.82</v>
      </c>
    </row>
    <row r="31" spans="1:8">
      <c r="A31" s="605"/>
      <c r="B31" s="620" t="s">
        <v>436</v>
      </c>
      <c r="C31" s="606">
        <f>C$9+C$20+C$21+C$28</f>
        <v>147.54130984899359</v>
      </c>
      <c r="D31" s="629"/>
      <c r="E31" s="628">
        <f>E$9+E$20+E$21+E$28</f>
        <v>150.27650861649786</v>
      </c>
      <c r="F31" s="629"/>
      <c r="G31" s="606">
        <f>G$9+G$20+G$21+G$28</f>
        <v>147.68768082930481</v>
      </c>
      <c r="H31" s="629"/>
    </row>
    <row r="32" spans="1:8" ht="15" thickBot="1">
      <c r="A32" s="605"/>
      <c r="B32" s="630" t="s">
        <v>448</v>
      </c>
      <c r="C32" s="631" t="str">
        <f>D30</f>
        <v>+ 11.8</v>
      </c>
      <c r="D32" s="632"/>
      <c r="E32" s="631" t="str">
        <f>F30</f>
        <v>+ 12.02</v>
      </c>
      <c r="F32" s="632"/>
      <c r="G32" s="631" t="str">
        <f>H30</f>
        <v>+ 11.82</v>
      </c>
      <c r="H32" s="632"/>
    </row>
    <row r="33" spans="1:8" ht="15" thickBot="1">
      <c r="A33" s="605"/>
      <c r="B33" s="633" t="s">
        <v>529</v>
      </c>
      <c r="C33" s="634">
        <f>C31+C32</f>
        <v>159.3413098489936</v>
      </c>
      <c r="D33" s="634">
        <f>D8+D10+D30</f>
        <v>4.4657298952329842</v>
      </c>
      <c r="E33" s="635">
        <f>E31+E32</f>
        <v>162.29650861649787</v>
      </c>
      <c r="F33" s="634">
        <f>F8+F10+F30</f>
        <v>3.687255147942162</v>
      </c>
      <c r="G33" s="634">
        <f>G31+G32</f>
        <v>159.5076808293048</v>
      </c>
      <c r="H33" s="636">
        <f>H8+H10+H30</f>
        <v>3.2693295242285849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159.3413098489936</v>
      </c>
      <c r="D37" s="573"/>
      <c r="E37" s="236">
        <f>E33</f>
        <v>162.29650861649787</v>
      </c>
      <c r="F37" s="573"/>
      <c r="G37" s="236">
        <f>G33</f>
        <v>159.5076808293048</v>
      </c>
      <c r="H37" s="629"/>
    </row>
    <row r="38" spans="1:8">
      <c r="A38" s="605"/>
      <c r="B38" s="637" t="s">
        <v>425</v>
      </c>
      <c r="C38" s="638"/>
      <c r="D38" s="609">
        <f>-C32</f>
        <v>-11.8</v>
      </c>
      <c r="E38" s="639"/>
      <c r="F38" s="609">
        <f>-E32</f>
        <v>-12.02</v>
      </c>
      <c r="G38" s="638"/>
      <c r="H38" s="609">
        <f>-G32</f>
        <v>-11.82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Marigat!G23</f>
        <v>1.2094888914851099</v>
      </c>
      <c r="D40" s="943"/>
      <c r="E40" s="880">
        <f>C40</f>
        <v>1.2094888914851099</v>
      </c>
      <c r="F40" s="943"/>
      <c r="G40" s="613">
        <f>C40</f>
        <v>1.2094888914851099</v>
      </c>
      <c r="H40" s="943"/>
    </row>
    <row r="41" spans="1:8" s="392" customFormat="1">
      <c r="A41" s="605"/>
      <c r="B41" s="617" t="s">
        <v>446</v>
      </c>
      <c r="C41" s="618">
        <f>SUM(C40)</f>
        <v>1.2094888914851099</v>
      </c>
      <c r="D41" s="618"/>
      <c r="E41" s="626">
        <f>SUM(E40)</f>
        <v>1.2094888914851099</v>
      </c>
      <c r="F41" s="944"/>
      <c r="G41" s="618">
        <f>SUM(G40)</f>
        <v>1.2094888914851099</v>
      </c>
      <c r="H41" s="944"/>
    </row>
    <row r="42" spans="1:8">
      <c r="A42" s="605" t="s">
        <v>642</v>
      </c>
      <c r="B42" s="503" t="s">
        <v>426</v>
      </c>
      <c r="C42" s="236">
        <f>Nakuru!D21</f>
        <v>8.19</v>
      </c>
      <c r="D42" s="573"/>
      <c r="E42" s="236">
        <f>Nakuru!E21</f>
        <v>8.19</v>
      </c>
      <c r="F42" s="573"/>
      <c r="G42" s="236">
        <f>Nakuru!F21</f>
        <v>8.19</v>
      </c>
      <c r="H42" s="629"/>
    </row>
    <row r="43" spans="1:8">
      <c r="B43" s="620" t="s">
        <v>447</v>
      </c>
      <c r="C43" s="613">
        <f>C$37+C$42+C$41</f>
        <v>168.74079874047871</v>
      </c>
      <c r="D43" s="610"/>
      <c r="E43" s="613">
        <f>E$37+E$42+E$41</f>
        <v>171.69599750798298</v>
      </c>
      <c r="F43" s="610"/>
      <c r="G43" s="236">
        <f>G$37+G$42+G$41</f>
        <v>168.90716972078991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156.9407987404787</v>
      </c>
      <c r="D46" s="610"/>
      <c r="E46" s="641">
        <f>E$43-E44-E45+F$38</f>
        <v>159.67599750798297</v>
      </c>
      <c r="F46" s="610"/>
      <c r="G46" s="642">
        <f>G$43-G44-G45+H$38</f>
        <v>157.08716972078992</v>
      </c>
      <c r="H46" s="573"/>
    </row>
    <row r="47" spans="1:8">
      <c r="B47" s="503" t="s">
        <v>445</v>
      </c>
      <c r="C47" s="644"/>
      <c r="D47" s="696" t="str">
        <f>CONCATENATE("+ ",ROUND((C$46*0.08),2))</f>
        <v>+ 12.56</v>
      </c>
      <c r="E47" s="644"/>
      <c r="F47" s="627" t="str">
        <f>CONCATENATE("+ ",ROUND((E$46*0.08),2))</f>
        <v>+ 12.77</v>
      </c>
      <c r="G47" s="645"/>
      <c r="H47" s="627" t="str">
        <f>CONCATENATE("+ ",ROUND((G$46*0.08),2))</f>
        <v>+ 12.57</v>
      </c>
    </row>
    <row r="48" spans="1:8" ht="15" thickBot="1">
      <c r="B48" s="646" t="s">
        <v>449</v>
      </c>
      <c r="C48" s="697" t="str">
        <f>D47</f>
        <v>+ 12.56</v>
      </c>
      <c r="D48" s="632"/>
      <c r="E48" s="631" t="str">
        <f>F47</f>
        <v>+ 12.77</v>
      </c>
      <c r="F48" s="632"/>
      <c r="G48" s="631" t="str">
        <f>H47</f>
        <v>+ 12.57</v>
      </c>
      <c r="H48" s="632"/>
    </row>
    <row r="49" spans="1:9" s="392" customFormat="1" ht="15" thickBot="1">
      <c r="B49" s="647" t="s">
        <v>452</v>
      </c>
      <c r="C49" s="648">
        <f>C$46+C$48+C$44+C$45</f>
        <v>169.5007987404787</v>
      </c>
      <c r="D49" s="649">
        <f>D38+D47</f>
        <v>0.75999999999999979</v>
      </c>
      <c r="E49" s="648">
        <f>E$46+E$48+E$44+E$45</f>
        <v>172.44599750798298</v>
      </c>
      <c r="F49" s="649">
        <f>F38+F47</f>
        <v>0.75</v>
      </c>
      <c r="G49" s="650">
        <f>G$46+G$48+G$44+G$45</f>
        <v>169.65716972078991</v>
      </c>
      <c r="H49" s="651">
        <f>H38+H47</f>
        <v>0.75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 codeName="Sheet183">
    <tabColor rgb="FF00CC00"/>
  </sheetPr>
  <dimension ref="B2:K31"/>
  <sheetViews>
    <sheetView workbookViewId="0">
      <selection activeCell="G8" sqref="G8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121</v>
      </c>
      <c r="G2" s="160"/>
    </row>
    <row r="3" spans="2:11">
      <c r="C3" s="258" t="s">
        <v>27</v>
      </c>
      <c r="G3" s="160"/>
    </row>
    <row r="4" spans="2:11">
      <c r="C4" s="259" t="str">
        <f>Nairobi!C4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Nakuru!G8</f>
        <v>1.1599999999999999</v>
      </c>
      <c r="H8" s="262" t="str">
        <f>Nairobi!I7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Nakuru!D9</f>
        <v>3.6531299999999995</v>
      </c>
      <c r="E9" s="269">
        <f>Nakuru!E9</f>
        <v>3.6531299999999995</v>
      </c>
      <c r="F9" s="269">
        <f>Nakuru!F9</f>
        <v>3.6531299999999995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93"/>
      <c r="F10" s="274"/>
      <c r="G10" s="272">
        <f>Nakuru!G10</f>
        <v>3.1492499999999999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Nakuru!D11</f>
        <v>0</v>
      </c>
      <c r="E11" s="294">
        <f>$G$11*G12*$G$8</f>
        <v>0</v>
      </c>
      <c r="F11" s="269">
        <v>0</v>
      </c>
      <c r="G11" s="273">
        <f>'Bridging - Sept 2013'!E23*G14/1000</f>
        <v>5.8802477075952657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645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Nakuru!D17</f>
        <v>3.54</v>
      </c>
      <c r="E17" s="280">
        <f>Nakuru!E17</f>
        <v>3.51</v>
      </c>
      <c r="F17" s="280">
        <f>Nakuru!F17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148.14892664990484</v>
      </c>
      <c r="E19" s="282">
        <f>SUM(E7:E18)</f>
        <v>150.8725043143078</v>
      </c>
      <c r="F19" s="282">
        <f>SUM(F7:F18)</f>
        <v>148.31027082822538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Nakuru!D21</f>
        <v>8.19</v>
      </c>
      <c r="E21" s="168">
        <f>Nakuru!E21</f>
        <v>8.19</v>
      </c>
      <c r="F21" s="168">
        <f>Nakuru!F21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3.0977285787066156</v>
      </c>
      <c r="E23" s="283">
        <f t="shared" ref="E23:F23" si="0">$G$23*$G$8</f>
        <v>3.0977285787066156</v>
      </c>
      <c r="F23" s="283">
        <f t="shared" si="0"/>
        <v>3.0977285787066156</v>
      </c>
      <c r="G23" s="284">
        <f>'Delivery &gt;40km-Sept 2013'!E24*I23/1000</f>
        <v>2.6704556712988068</v>
      </c>
      <c r="H23" s="262" t="s">
        <v>128</v>
      </c>
      <c r="I23" s="259">
        <v>223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159.43665522861144</v>
      </c>
      <c r="E25" s="285">
        <f>E19+E21+E23</f>
        <v>162.16023289301441</v>
      </c>
      <c r="F25" s="285">
        <f>F19+F21+F23</f>
        <v>159.59799940693199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0362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100362" r:id="rId4"/>
      </mc:Fallback>
    </mc:AlternateContent>
  </oleObjects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 codeName="Sheet184">
    <tabColor rgb="FF0070C0"/>
  </sheetPr>
  <dimension ref="A2:M68"/>
  <sheetViews>
    <sheetView topLeftCell="A19" workbookViewId="0">
      <selection activeCell="A19" sqref="A1:XFD1048576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3.2149986890483997</v>
      </c>
      <c r="D21" s="573"/>
      <c r="E21" s="618">
        <f>SUM(E$22:E$23)</f>
        <v>3.2162830925701442</v>
      </c>
      <c r="F21" s="621"/>
      <c r="G21" s="618">
        <f>SUM(G$22:G$23)</f>
        <v>3.2150879413472095</v>
      </c>
      <c r="H21" s="573"/>
    </row>
    <row r="22" spans="1:8">
      <c r="A22" s="605"/>
      <c r="B22" s="614" t="s">
        <v>455</v>
      </c>
      <c r="C22" s="613">
        <f>SUM(C$24:C$25)</f>
        <v>3.1492499999999999</v>
      </c>
      <c r="D22" s="573"/>
      <c r="E22" s="613">
        <f>SUM(E$24:E$25)</f>
        <v>3.1492499999999999</v>
      </c>
      <c r="F22" s="621"/>
      <c r="G22" s="613">
        <f>SUM(G$24:G$25)</f>
        <v>3.1492499999999999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Nakuru!G10</f>
        <v>3.1492499999999999</v>
      </c>
      <c r="D24" s="623"/>
      <c r="E24" s="602">
        <f>C24</f>
        <v>3.1492499999999999</v>
      </c>
      <c r="F24" s="624"/>
      <c r="G24" s="602">
        <f>E24</f>
        <v>3.1492499999999999</v>
      </c>
      <c r="H24" s="573"/>
    </row>
    <row r="25" spans="1:8">
      <c r="A25" s="605"/>
      <c r="B25" s="622" t="s">
        <v>465</v>
      </c>
      <c r="C25" s="602">
        <f>Nakuru!D11/1.16</f>
        <v>0</v>
      </c>
      <c r="D25" s="623"/>
      <c r="E25" s="602">
        <f>Nakuru!E11/1.14</f>
        <v>0</v>
      </c>
      <c r="F25" s="624"/>
      <c r="G25" s="602">
        <f>Nakuru!F11/1.14</f>
        <v>0</v>
      </c>
      <c r="H25" s="573"/>
    </row>
    <row r="26" spans="1:8">
      <c r="A26" s="605"/>
      <c r="B26" s="622" t="s">
        <v>334</v>
      </c>
      <c r="C26" s="602">
        <f>Nakuru!D13</f>
        <v>6.5748689048399672E-2</v>
      </c>
      <c r="D26" s="623"/>
      <c r="E26" s="602">
        <f>Nakuru!E13</f>
        <v>6.703309257014424E-2</v>
      </c>
      <c r="F26" s="624"/>
      <c r="G26" s="602">
        <f>Nakuru!F13</f>
        <v>6.5837941347209814E-2</v>
      </c>
      <c r="H26" s="573"/>
    </row>
    <row r="27" spans="1:8">
      <c r="A27" s="605"/>
      <c r="B27" s="622" t="s">
        <v>332</v>
      </c>
      <c r="C27" s="602">
        <f>Nakuru!D15</f>
        <v>0</v>
      </c>
      <c r="D27" s="623"/>
      <c r="E27" s="602">
        <f>Nakuru!E15</f>
        <v>0</v>
      </c>
      <c r="F27" s="624"/>
      <c r="G27" s="602">
        <f>Nakuru!F15</f>
        <v>0</v>
      </c>
      <c r="H27" s="573"/>
    </row>
    <row r="28" spans="1:8">
      <c r="A28" s="605" t="s">
        <v>404</v>
      </c>
      <c r="B28" s="620" t="s">
        <v>427</v>
      </c>
      <c r="C28" s="618">
        <f>Nakuru!D17</f>
        <v>3.54</v>
      </c>
      <c r="D28" s="625"/>
      <c r="E28" s="626">
        <f>Nakuru!E17</f>
        <v>3.51</v>
      </c>
      <c r="F28" s="625"/>
      <c r="G28" s="618">
        <f>Nakuru!F17</f>
        <v>3.51</v>
      </c>
      <c r="H28" s="573"/>
    </row>
    <row r="29" spans="1:8">
      <c r="A29" s="605"/>
      <c r="B29" s="620" t="s">
        <v>440</v>
      </c>
      <c r="C29" s="618">
        <f>C$9+C$20+C$22+C$23+C$28</f>
        <v>147.54130984899359</v>
      </c>
      <c r="D29" s="625"/>
      <c r="E29" s="626">
        <f>E$9+E$20+E$22+E$23+E$28</f>
        <v>150.27650861649786</v>
      </c>
      <c r="F29" s="625"/>
      <c r="G29" s="618">
        <f>G$9+G$20+G$22+G$23+G$28</f>
        <v>147.68768082930481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</v>
      </c>
      <c r="E30" s="628"/>
      <c r="F30" s="627" t="str">
        <f>CONCATENATE("+ ",ROUND((E$29*0.08),2))</f>
        <v>+ 12.02</v>
      </c>
      <c r="G30" s="606"/>
      <c r="H30" s="627" t="str">
        <f>CONCATENATE("+ ",ROUND((G$29*0.08),2))</f>
        <v>+ 11.82</v>
      </c>
    </row>
    <row r="31" spans="1:8">
      <c r="A31" s="605"/>
      <c r="B31" s="620" t="s">
        <v>436</v>
      </c>
      <c r="C31" s="606">
        <f>C$9+C$20+C$21+C$28</f>
        <v>147.54130984899359</v>
      </c>
      <c r="D31" s="629"/>
      <c r="E31" s="628">
        <f>E$9+E$20+E$21+E$28</f>
        <v>150.27650861649786</v>
      </c>
      <c r="F31" s="629"/>
      <c r="G31" s="606">
        <f>G$9+G$20+G$21+G$28</f>
        <v>147.68768082930481</v>
      </c>
      <c r="H31" s="629"/>
    </row>
    <row r="32" spans="1:8" ht="15" thickBot="1">
      <c r="A32" s="605"/>
      <c r="B32" s="630" t="s">
        <v>448</v>
      </c>
      <c r="C32" s="631" t="str">
        <f>D30</f>
        <v>+ 11.8</v>
      </c>
      <c r="D32" s="632"/>
      <c r="E32" s="631" t="str">
        <f>F30</f>
        <v>+ 12.02</v>
      </c>
      <c r="F32" s="632"/>
      <c r="G32" s="631" t="str">
        <f>H30</f>
        <v>+ 11.82</v>
      </c>
      <c r="H32" s="632"/>
    </row>
    <row r="33" spans="1:8" ht="15" thickBot="1">
      <c r="A33" s="605"/>
      <c r="B33" s="633" t="s">
        <v>529</v>
      </c>
      <c r="C33" s="634">
        <f>C31+C32</f>
        <v>159.3413098489936</v>
      </c>
      <c r="D33" s="634">
        <f>D8+D10+D30</f>
        <v>4.4657298952329842</v>
      </c>
      <c r="E33" s="635">
        <f>E31+E32</f>
        <v>162.29650861649787</v>
      </c>
      <c r="F33" s="634">
        <f>F8+F10+F30</f>
        <v>3.687255147942162</v>
      </c>
      <c r="G33" s="634">
        <f>G31+G32</f>
        <v>159.5076808293048</v>
      </c>
      <c r="H33" s="636">
        <f>H8+H10+H30</f>
        <v>3.2693295242285849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159.3413098489936</v>
      </c>
      <c r="D37" s="573"/>
      <c r="E37" s="236">
        <f>E33</f>
        <v>162.29650861649787</v>
      </c>
      <c r="F37" s="573"/>
      <c r="G37" s="236">
        <f>G33</f>
        <v>159.5076808293048</v>
      </c>
      <c r="H37" s="629"/>
    </row>
    <row r="38" spans="1:8">
      <c r="A38" s="605"/>
      <c r="B38" s="637" t="s">
        <v>425</v>
      </c>
      <c r="C38" s="638"/>
      <c r="D38" s="609">
        <f>-C32</f>
        <v>-11.8</v>
      </c>
      <c r="E38" s="639"/>
      <c r="F38" s="609">
        <f>-E32</f>
        <v>-12.02</v>
      </c>
      <c r="G38" s="638"/>
      <c r="H38" s="609">
        <f>-G32</f>
        <v>-11.82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Maralal!G23</f>
        <v>2.6704556712988068</v>
      </c>
      <c r="D40" s="943"/>
      <c r="E40" s="880">
        <f>C40</f>
        <v>2.6704556712988068</v>
      </c>
      <c r="F40" s="943"/>
      <c r="G40" s="613">
        <f>C40</f>
        <v>2.6704556712988068</v>
      </c>
      <c r="H40" s="943"/>
    </row>
    <row r="41" spans="1:8" s="392" customFormat="1">
      <c r="A41" s="605"/>
      <c r="B41" s="617" t="s">
        <v>446</v>
      </c>
      <c r="C41" s="618">
        <f>SUM(C40)</f>
        <v>2.6704556712988068</v>
      </c>
      <c r="D41" s="618"/>
      <c r="E41" s="626">
        <f>SUM(E40)</f>
        <v>2.6704556712988068</v>
      </c>
      <c r="F41" s="944"/>
      <c r="G41" s="618">
        <f>SUM(G40)</f>
        <v>2.6704556712988068</v>
      </c>
      <c r="H41" s="944"/>
    </row>
    <row r="42" spans="1:8">
      <c r="A42" s="605" t="s">
        <v>642</v>
      </c>
      <c r="B42" s="503" t="s">
        <v>426</v>
      </c>
      <c r="C42" s="236">
        <f>Nakuru!D21</f>
        <v>8.19</v>
      </c>
      <c r="D42" s="573"/>
      <c r="E42" s="236">
        <f>Nakuru!E21</f>
        <v>8.19</v>
      </c>
      <c r="F42" s="573"/>
      <c r="G42" s="236">
        <f>Nakuru!F21</f>
        <v>8.19</v>
      </c>
      <c r="H42" s="629"/>
    </row>
    <row r="43" spans="1:8">
      <c r="B43" s="620" t="s">
        <v>447</v>
      </c>
      <c r="C43" s="613">
        <f>C$37+C$42+C$41</f>
        <v>170.20176552029241</v>
      </c>
      <c r="D43" s="610"/>
      <c r="E43" s="613">
        <f>E$37+E$42+E$41</f>
        <v>173.15696428779668</v>
      </c>
      <c r="F43" s="610"/>
      <c r="G43" s="236">
        <f>G$37+G$42+G$41</f>
        <v>170.36813650060361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158.4017655202924</v>
      </c>
      <c r="D46" s="610"/>
      <c r="E46" s="641">
        <f>E$43-E44-E45+F$38</f>
        <v>161.13696428779667</v>
      </c>
      <c r="F46" s="610"/>
      <c r="G46" s="642">
        <f>G$43-G44-G45+H$38</f>
        <v>158.54813650060362</v>
      </c>
      <c r="H46" s="573"/>
    </row>
    <row r="47" spans="1:8">
      <c r="B47" s="503" t="s">
        <v>445</v>
      </c>
      <c r="C47" s="644"/>
      <c r="D47" s="696" t="str">
        <f>CONCATENATE("+ ",ROUND((C$46*0.08),2))</f>
        <v>+ 12.67</v>
      </c>
      <c r="E47" s="644"/>
      <c r="F47" s="627" t="str">
        <f>CONCATENATE("+ ",ROUND((E$46*0.08),2))</f>
        <v>+ 12.89</v>
      </c>
      <c r="G47" s="645"/>
      <c r="H47" s="627" t="str">
        <f>CONCATENATE("+ ",ROUND((G$46*0.08),2))</f>
        <v>+ 12.68</v>
      </c>
    </row>
    <row r="48" spans="1:8" ht="15" thickBot="1">
      <c r="B48" s="646" t="s">
        <v>449</v>
      </c>
      <c r="C48" s="697" t="str">
        <f>D47</f>
        <v>+ 12.67</v>
      </c>
      <c r="D48" s="632"/>
      <c r="E48" s="631" t="str">
        <f>F47</f>
        <v>+ 12.89</v>
      </c>
      <c r="F48" s="632"/>
      <c r="G48" s="631" t="str">
        <f>H47</f>
        <v>+ 12.68</v>
      </c>
      <c r="H48" s="632"/>
    </row>
    <row r="49" spans="1:9" s="392" customFormat="1" ht="15" thickBot="1">
      <c r="B49" s="647" t="s">
        <v>452</v>
      </c>
      <c r="C49" s="648">
        <f>C$46+C$48+C$44+C$45</f>
        <v>171.07176552029239</v>
      </c>
      <c r="D49" s="649">
        <f>D38+D47</f>
        <v>0.86999999999999922</v>
      </c>
      <c r="E49" s="648">
        <f>E$46+E$48+E$44+E$45</f>
        <v>174.02696428779666</v>
      </c>
      <c r="F49" s="649">
        <f>F38+F47</f>
        <v>0.87000000000000099</v>
      </c>
      <c r="G49" s="650">
        <f>G$46+G$48+G$44+G$45</f>
        <v>171.22813650060363</v>
      </c>
      <c r="H49" s="651">
        <f>H38+H47</f>
        <v>0.85999999999999943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 codeName="Sheet185"/>
  <dimension ref="B2:K31"/>
  <sheetViews>
    <sheetView topLeftCell="A4" workbookViewId="0">
      <selection activeCell="G21" sqref="G21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758</v>
      </c>
      <c r="G2" s="160"/>
    </row>
    <row r="3" spans="2:11">
      <c r="C3" s="258" t="s">
        <v>27</v>
      </c>
      <c r="G3" s="160"/>
    </row>
    <row r="4" spans="2:11">
      <c r="C4" s="259" t="str">
        <f>Nairobi!C4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Nakuru!G8</f>
        <v>1.1599999999999999</v>
      </c>
      <c r="H8" s="262" t="str">
        <f>Nairobi!I7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Nakuru!D9</f>
        <v>3.6531299999999995</v>
      </c>
      <c r="E9" s="269">
        <f>Nakuru!E9</f>
        <v>3.6531299999999995</v>
      </c>
      <c r="F9" s="269">
        <f>Nakuru!F9</f>
        <v>3.6531299999999995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93"/>
      <c r="F10" s="274"/>
      <c r="G10" s="272">
        <f>Nakuru!G10</f>
        <v>3.1492499999999999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Nakuru!D11</f>
        <v>0</v>
      </c>
      <c r="E11" s="294">
        <f>$G$11*G12*$G$8</f>
        <v>0</v>
      </c>
      <c r="F11" s="269">
        <v>0</v>
      </c>
      <c r="G11" s="273">
        <f>'Bridging - Sept 2013'!E23*G14/1000</f>
        <v>5.8802477075952657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645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Nakuru!D17</f>
        <v>3.54</v>
      </c>
      <c r="E17" s="280">
        <f>Nakuru!E17</f>
        <v>3.51</v>
      </c>
      <c r="F17" s="280">
        <f>Nakuru!F17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148.14892664990484</v>
      </c>
      <c r="E19" s="282">
        <f>SUM(E7:E18)</f>
        <v>150.8725043143078</v>
      </c>
      <c r="F19" s="282">
        <f>SUM(F7:F18)</f>
        <v>148.31027082822538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Nakuru!D21</f>
        <v>8.19</v>
      </c>
      <c r="E21" s="168">
        <f>Nakuru!E21</f>
        <v>8.19</v>
      </c>
      <c r="F21" s="168">
        <f>Nakuru!F21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4.000653949181638</v>
      </c>
      <c r="E23" s="283">
        <f t="shared" ref="E23:F23" si="0">$G$23*$G$8</f>
        <v>4.000653949181638</v>
      </c>
      <c r="F23" s="283">
        <f t="shared" si="0"/>
        <v>4.000653949181638</v>
      </c>
      <c r="G23" s="284">
        <f>'Delivery &gt;40km-Sept 2013'!E24*I23/1000</f>
        <v>3.4488396113634816</v>
      </c>
      <c r="H23" s="262" t="s">
        <v>128</v>
      </c>
      <c r="I23" s="259">
        <v>288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160.33958059908647</v>
      </c>
      <c r="E25" s="285">
        <f>E19+E21+E23</f>
        <v>163.06315826348944</v>
      </c>
      <c r="F25" s="285">
        <f>F19+F21+F23</f>
        <v>160.50092477740702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 codeName="Sheet186"/>
  <dimension ref="A2:M68"/>
  <sheetViews>
    <sheetView topLeftCell="A24" workbookViewId="0">
      <selection activeCell="C27" sqref="C27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3.2149986890483997</v>
      </c>
      <c r="D21" s="573"/>
      <c r="E21" s="618">
        <f>SUM(E$22:E$23)</f>
        <v>3.2162830925701442</v>
      </c>
      <c r="F21" s="621"/>
      <c r="G21" s="618">
        <f>SUM(G$22:G$23)</f>
        <v>3.2150879413472095</v>
      </c>
      <c r="H21" s="573"/>
    </row>
    <row r="22" spans="1:8">
      <c r="A22" s="605"/>
      <c r="B22" s="614" t="s">
        <v>455</v>
      </c>
      <c r="C22" s="613">
        <f>SUM(C$24:C$25)</f>
        <v>3.1492499999999999</v>
      </c>
      <c r="D22" s="573"/>
      <c r="E22" s="613">
        <f>SUM(E$24:E$25)</f>
        <v>3.1492499999999999</v>
      </c>
      <c r="F22" s="621"/>
      <c r="G22" s="613">
        <f>SUM(G$24:G$25)</f>
        <v>3.1492499999999999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Nakuru!G10</f>
        <v>3.1492499999999999</v>
      </c>
      <c r="D24" s="623"/>
      <c r="E24" s="602">
        <f>C24</f>
        <v>3.1492499999999999</v>
      </c>
      <c r="F24" s="624"/>
      <c r="G24" s="602">
        <f>E24</f>
        <v>3.1492499999999999</v>
      </c>
      <c r="H24" s="573"/>
    </row>
    <row r="25" spans="1:8">
      <c r="A25" s="605"/>
      <c r="B25" s="622" t="s">
        <v>465</v>
      </c>
      <c r="C25" s="602">
        <f>Nakuru!D11/1.16</f>
        <v>0</v>
      </c>
      <c r="D25" s="623"/>
      <c r="E25" s="602">
        <f>Nakuru!E11/1.16</f>
        <v>0</v>
      </c>
      <c r="F25" s="624"/>
      <c r="G25" s="602">
        <f>Nakuru!F11/1.16</f>
        <v>0</v>
      </c>
      <c r="H25" s="573"/>
    </row>
    <row r="26" spans="1:8">
      <c r="A26" s="605"/>
      <c r="B26" s="622" t="s">
        <v>334</v>
      </c>
      <c r="C26" s="602">
        <f>Nakuru!D13</f>
        <v>6.5748689048399672E-2</v>
      </c>
      <c r="D26" s="623"/>
      <c r="E26" s="602">
        <f>Nakuru!E13</f>
        <v>6.703309257014424E-2</v>
      </c>
      <c r="F26" s="624"/>
      <c r="G26" s="602">
        <f>Nakuru!F13</f>
        <v>6.5837941347209814E-2</v>
      </c>
      <c r="H26" s="573"/>
    </row>
    <row r="27" spans="1:8">
      <c r="A27" s="605"/>
      <c r="B27" s="622" t="s">
        <v>332</v>
      </c>
      <c r="C27" s="602">
        <f>Nakuru!D15</f>
        <v>0</v>
      </c>
      <c r="D27" s="623"/>
      <c r="E27" s="602">
        <f>Nakuru!E15</f>
        <v>0</v>
      </c>
      <c r="F27" s="624"/>
      <c r="G27" s="602">
        <f>Nakuru!F15</f>
        <v>0</v>
      </c>
      <c r="H27" s="573"/>
    </row>
    <row r="28" spans="1:8">
      <c r="A28" s="605" t="s">
        <v>404</v>
      </c>
      <c r="B28" s="620" t="s">
        <v>427</v>
      </c>
      <c r="C28" s="618">
        <f>Nakuru!D17</f>
        <v>3.54</v>
      </c>
      <c r="D28" s="625"/>
      <c r="E28" s="626">
        <f>Nakuru!E17</f>
        <v>3.51</v>
      </c>
      <c r="F28" s="625"/>
      <c r="G28" s="618">
        <f>Nakuru!F17</f>
        <v>3.51</v>
      </c>
      <c r="H28" s="573"/>
    </row>
    <row r="29" spans="1:8">
      <c r="A29" s="605"/>
      <c r="B29" s="620" t="s">
        <v>440</v>
      </c>
      <c r="C29" s="618">
        <f>C$9+C$20+C$22+C$23+C$28</f>
        <v>147.54130984899359</v>
      </c>
      <c r="D29" s="625"/>
      <c r="E29" s="626">
        <f>E$9+E$20+E$22+E$23+E$28</f>
        <v>150.27650861649786</v>
      </c>
      <c r="F29" s="625"/>
      <c r="G29" s="618">
        <f>G$9+G$20+G$22+G$23+G$28</f>
        <v>147.68768082930481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</v>
      </c>
      <c r="E30" s="628"/>
      <c r="F30" s="627" t="str">
        <f>CONCATENATE("+ ",ROUND((E$29*0.08),2))</f>
        <v>+ 12.02</v>
      </c>
      <c r="G30" s="606"/>
      <c r="H30" s="627" t="str">
        <f>CONCATENATE("+ ",ROUND((G$29*0.08),2))</f>
        <v>+ 11.82</v>
      </c>
    </row>
    <row r="31" spans="1:8">
      <c r="A31" s="605"/>
      <c r="B31" s="620" t="s">
        <v>436</v>
      </c>
      <c r="C31" s="606">
        <f>C$9+C$20+C$21+C$28</f>
        <v>147.54130984899359</v>
      </c>
      <c r="D31" s="629"/>
      <c r="E31" s="628">
        <f>E$9+E$20+E$21+E$28</f>
        <v>150.27650861649786</v>
      </c>
      <c r="F31" s="629"/>
      <c r="G31" s="606">
        <f>G$9+G$20+G$21+G$28</f>
        <v>147.68768082930481</v>
      </c>
      <c r="H31" s="629"/>
    </row>
    <row r="32" spans="1:8" ht="15" thickBot="1">
      <c r="A32" s="605"/>
      <c r="B32" s="630" t="s">
        <v>448</v>
      </c>
      <c r="C32" s="631" t="str">
        <f>D30</f>
        <v>+ 11.8</v>
      </c>
      <c r="D32" s="632"/>
      <c r="E32" s="631" t="str">
        <f>F30</f>
        <v>+ 12.02</v>
      </c>
      <c r="F32" s="632"/>
      <c r="G32" s="631" t="str">
        <f>H30</f>
        <v>+ 11.82</v>
      </c>
      <c r="H32" s="632"/>
    </row>
    <row r="33" spans="1:8" ht="15" thickBot="1">
      <c r="A33" s="605"/>
      <c r="B33" s="633" t="s">
        <v>529</v>
      </c>
      <c r="C33" s="634">
        <f>C31+C32</f>
        <v>159.3413098489936</v>
      </c>
      <c r="D33" s="634">
        <f>D8+D10+D30</f>
        <v>4.4657298952329842</v>
      </c>
      <c r="E33" s="635">
        <f>E31+E32</f>
        <v>162.29650861649787</v>
      </c>
      <c r="F33" s="634">
        <f>F8+F10+F30</f>
        <v>3.687255147942162</v>
      </c>
      <c r="G33" s="634">
        <f>G31+G32</f>
        <v>159.5076808293048</v>
      </c>
      <c r="H33" s="636">
        <f>H8+H10+H30</f>
        <v>3.2693295242285849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159.3413098489936</v>
      </c>
      <c r="D37" s="573"/>
      <c r="E37" s="236">
        <f>E33</f>
        <v>162.29650861649787</v>
      </c>
      <c r="F37" s="573"/>
      <c r="G37" s="236">
        <f>G33</f>
        <v>159.5076808293048</v>
      </c>
      <c r="H37" s="629"/>
    </row>
    <row r="38" spans="1:8">
      <c r="A38" s="605"/>
      <c r="B38" s="637" t="s">
        <v>425</v>
      </c>
      <c r="C38" s="638"/>
      <c r="D38" s="609">
        <f>-C32</f>
        <v>-11.8</v>
      </c>
      <c r="E38" s="639"/>
      <c r="F38" s="609">
        <f>-E32</f>
        <v>-12.02</v>
      </c>
      <c r="G38" s="638"/>
      <c r="H38" s="609">
        <f>-G32</f>
        <v>-11.82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Wamba!G23</f>
        <v>3.4488396113634816</v>
      </c>
      <c r="D40" s="943"/>
      <c r="E40" s="880">
        <f>C40</f>
        <v>3.4488396113634816</v>
      </c>
      <c r="F40" s="943"/>
      <c r="G40" s="613">
        <f>C40</f>
        <v>3.4488396113634816</v>
      </c>
      <c r="H40" s="943"/>
    </row>
    <row r="41" spans="1:8" s="392" customFormat="1">
      <c r="A41" s="605"/>
      <c r="B41" s="617" t="s">
        <v>446</v>
      </c>
      <c r="C41" s="618">
        <f>SUM(C40)</f>
        <v>3.4488396113634816</v>
      </c>
      <c r="D41" s="618"/>
      <c r="E41" s="626">
        <f>SUM(E40)</f>
        <v>3.4488396113634816</v>
      </c>
      <c r="F41" s="944"/>
      <c r="G41" s="618">
        <f>SUM(G40)</f>
        <v>3.4488396113634816</v>
      </c>
      <c r="H41" s="944"/>
    </row>
    <row r="42" spans="1:8">
      <c r="A42" s="605" t="s">
        <v>642</v>
      </c>
      <c r="B42" s="503" t="s">
        <v>426</v>
      </c>
      <c r="C42" s="236">
        <f>Nakuru!D21</f>
        <v>8.19</v>
      </c>
      <c r="D42" s="573"/>
      <c r="E42" s="236">
        <f>Nakuru!E21</f>
        <v>8.19</v>
      </c>
      <c r="F42" s="573"/>
      <c r="G42" s="236">
        <f>Nakuru!F21</f>
        <v>8.19</v>
      </c>
      <c r="H42" s="629"/>
    </row>
    <row r="43" spans="1:8">
      <c r="B43" s="620" t="s">
        <v>447</v>
      </c>
      <c r="C43" s="613">
        <f>C$37+C$42+C$41</f>
        <v>170.98014946035707</v>
      </c>
      <c r="D43" s="610"/>
      <c r="E43" s="613">
        <f>E$37+E$42+E$41</f>
        <v>173.93534822786134</v>
      </c>
      <c r="F43" s="610"/>
      <c r="G43" s="236">
        <f>G$37+G$42+G$41</f>
        <v>171.14652044066827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159.18014946035706</v>
      </c>
      <c r="D46" s="610"/>
      <c r="E46" s="641">
        <f>E$43-E44-E45+F$38</f>
        <v>161.91534822786133</v>
      </c>
      <c r="F46" s="610"/>
      <c r="G46" s="642">
        <f>G$43-G44-G45+H$38</f>
        <v>159.32652044066828</v>
      </c>
      <c r="H46" s="573"/>
    </row>
    <row r="47" spans="1:8">
      <c r="B47" s="503" t="s">
        <v>445</v>
      </c>
      <c r="C47" s="644"/>
      <c r="D47" s="696" t="str">
        <f>CONCATENATE("+ ",ROUND((C$46*0.08),2))</f>
        <v>+ 12.73</v>
      </c>
      <c r="E47" s="644"/>
      <c r="F47" s="627" t="str">
        <f>CONCATENATE("+ ",ROUND((E$46*0.08),2))</f>
        <v>+ 12.95</v>
      </c>
      <c r="G47" s="645"/>
      <c r="H47" s="627" t="str">
        <f>CONCATENATE("+ ",ROUND((G$46*0.08),2))</f>
        <v>+ 12.75</v>
      </c>
    </row>
    <row r="48" spans="1:8" ht="15" thickBot="1">
      <c r="B48" s="646" t="s">
        <v>449</v>
      </c>
      <c r="C48" s="697" t="str">
        <f>D47</f>
        <v>+ 12.73</v>
      </c>
      <c r="D48" s="632"/>
      <c r="E48" s="631" t="str">
        <f>F47</f>
        <v>+ 12.95</v>
      </c>
      <c r="F48" s="632"/>
      <c r="G48" s="631" t="str">
        <f>H47</f>
        <v>+ 12.75</v>
      </c>
      <c r="H48" s="632"/>
    </row>
    <row r="49" spans="1:9" s="392" customFormat="1" ht="15" thickBot="1">
      <c r="B49" s="647" t="s">
        <v>452</v>
      </c>
      <c r="C49" s="648">
        <f>C$46+C$48+C$44+C$45</f>
        <v>171.91014946035705</v>
      </c>
      <c r="D49" s="649">
        <f>D38+D47</f>
        <v>0.92999999999999972</v>
      </c>
      <c r="E49" s="648">
        <f>E$46+E$48+E$44+E$45</f>
        <v>174.86534822786132</v>
      </c>
      <c r="F49" s="649">
        <f>F38+F47</f>
        <v>0.92999999999999972</v>
      </c>
      <c r="G49" s="650">
        <f>G$46+G$48+G$44+G$45</f>
        <v>172.07652044066828</v>
      </c>
      <c r="H49" s="651">
        <f>H38+H47</f>
        <v>0.92999999999999972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 codeName="Sheet187"/>
  <dimension ref="B2:K31"/>
  <sheetViews>
    <sheetView topLeftCell="A14" workbookViewId="0">
      <selection activeCell="F22" sqref="F22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772</v>
      </c>
      <c r="G2" s="160"/>
    </row>
    <row r="3" spans="2:11">
      <c r="C3" s="258" t="s">
        <v>27</v>
      </c>
      <c r="G3" s="160"/>
    </row>
    <row r="4" spans="2:11">
      <c r="C4" s="259" t="str">
        <f>Mombasa!C4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Nairobi!G8</f>
        <v>1.1599999999999999</v>
      </c>
      <c r="H8" s="262" t="str">
        <f>Mombasa!H8</f>
        <v>16% VAT Inclusive</v>
      </c>
      <c r="I8" s="262"/>
      <c r="J8" s="262"/>
      <c r="K8" s="262"/>
    </row>
    <row r="9" spans="2:11" ht="15" thickBot="1">
      <c r="C9" s="263" t="s">
        <v>20</v>
      </c>
      <c r="D9" s="269">
        <f>Nakuru!D9</f>
        <v>3.6531299999999995</v>
      </c>
      <c r="E9" s="269">
        <f>Nakuru!E9</f>
        <v>3.6531299999999995</v>
      </c>
      <c r="F9" s="269">
        <f>Nakuru!F9</f>
        <v>3.6531299999999995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Nakuru!G10</f>
        <v>3.1492499999999999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Nairobi!D11</f>
        <v>0</v>
      </c>
      <c r="E11" s="195">
        <f>$G$11*G12*$G$8</f>
        <v>0</v>
      </c>
      <c r="F11" s="269">
        <v>0</v>
      </c>
      <c r="G11" s="273">
        <f>'Bridging - Sept 2013'!E23*G14/1000</f>
        <v>5.8802477075952657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645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0.70445023980428223</v>
      </c>
      <c r="E15" s="195">
        <f>G16*E7</f>
        <v>0.43092702366521302</v>
      </c>
      <c r="F15" s="195">
        <f>G16*F7</f>
        <v>0.42324390866063455</v>
      </c>
      <c r="G15" s="278">
        <v>5.0000000000000001E-3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3.0000000000000001E-3</v>
      </c>
      <c r="H16" s="262"/>
      <c r="I16" s="262"/>
      <c r="J16" s="262"/>
      <c r="K16" s="262"/>
    </row>
    <row r="17" spans="3:11">
      <c r="C17" s="263" t="s">
        <v>20</v>
      </c>
      <c r="D17" s="280">
        <f>Nakuru!D17</f>
        <v>3.54</v>
      </c>
      <c r="E17" s="280">
        <f>Nakuru!E17</f>
        <v>3.51</v>
      </c>
      <c r="F17" s="280">
        <f>Nakuru!F17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148.85337688970912</v>
      </c>
      <c r="E19" s="282">
        <f>SUM(E7:E18)</f>
        <v>151.30343133797302</v>
      </c>
      <c r="F19" s="282">
        <f>SUM(F7:F18)</f>
        <v>148.73351473688601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Nakuru!D21</f>
        <v>8.19</v>
      </c>
      <c r="E21" s="168">
        <f>Nakuru!E21</f>
        <v>8.19</v>
      </c>
      <c r="F21" s="168">
        <f>Nakuru!F21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1.4738520278061522</v>
      </c>
      <c r="E23" s="283">
        <f t="shared" ref="E23:F23" si="0">$G$23*$G$8</f>
        <v>1.4738520278061522</v>
      </c>
      <c r="F23" s="283">
        <f t="shared" si="0"/>
        <v>1.4738520278061522</v>
      </c>
      <c r="G23" s="284">
        <f>'Delivery &gt;40km-Sept 2013'!E24*I23/1000</f>
        <v>1.2705620929363381</v>
      </c>
      <c r="H23" s="262" t="s">
        <v>127</v>
      </c>
      <c r="I23" s="259">
        <v>106.1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158.51722891751527</v>
      </c>
      <c r="E25" s="285">
        <f>E19+E21+E23</f>
        <v>160.96728336577917</v>
      </c>
      <c r="F25" s="285">
        <f>F19+F21+F23</f>
        <v>158.39736676469215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  <c r="G27" s="210"/>
    </row>
    <row r="28" spans="3:11">
      <c r="D28" s="694"/>
      <c r="E28" s="694"/>
      <c r="F28" s="694"/>
      <c r="G28" s="210"/>
    </row>
    <row r="29" spans="3:11">
      <c r="D29" s="694"/>
      <c r="E29" s="694"/>
      <c r="F29" s="694"/>
    </row>
    <row r="30" spans="3:11">
      <c r="H30" s="210"/>
    </row>
    <row r="31" spans="3:11">
      <c r="E31" s="210"/>
    </row>
  </sheetData>
  <pageMargins left="0.7" right="0.7" top="0.75" bottom="0.75" header="0.3" footer="0.3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sheetPr codeName="Sheet188"/>
  <dimension ref="A2:M68"/>
  <sheetViews>
    <sheetView topLeftCell="A3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3.2149986890483997</v>
      </c>
      <c r="D21" s="573"/>
      <c r="E21" s="618">
        <f>SUM(E$22:E$23)</f>
        <v>3.2162830925701442</v>
      </c>
      <c r="F21" s="621"/>
      <c r="G21" s="618">
        <f>SUM(G$22:G$23)</f>
        <v>3.2150879413472095</v>
      </c>
      <c r="H21" s="573"/>
    </row>
    <row r="22" spans="1:8">
      <c r="A22" s="605"/>
      <c r="B22" s="614" t="s">
        <v>455</v>
      </c>
      <c r="C22" s="613">
        <f>SUM(C$24:C$25)</f>
        <v>3.1492499999999999</v>
      </c>
      <c r="D22" s="573"/>
      <c r="E22" s="613">
        <f>SUM(E$24:E$25)</f>
        <v>3.1492499999999999</v>
      </c>
      <c r="F22" s="621"/>
      <c r="G22" s="613">
        <f>SUM(G$24:G$25)</f>
        <v>3.1492499999999999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Nakuru!G10</f>
        <v>3.1492499999999999</v>
      </c>
      <c r="D24" s="623"/>
      <c r="E24" s="602">
        <f>C24</f>
        <v>3.1492499999999999</v>
      </c>
      <c r="F24" s="624"/>
      <c r="G24" s="602">
        <f>E24</f>
        <v>3.1492499999999999</v>
      </c>
      <c r="H24" s="573"/>
    </row>
    <row r="25" spans="1:8">
      <c r="A25" s="605"/>
      <c r="B25" s="622" t="s">
        <v>465</v>
      </c>
      <c r="C25" s="602">
        <f>Nakuru!D11/1.16</f>
        <v>0</v>
      </c>
      <c r="D25" s="623"/>
      <c r="E25" s="602">
        <f>Nakuru!E11/1.16</f>
        <v>0</v>
      </c>
      <c r="F25" s="624"/>
      <c r="G25" s="602">
        <f>Nakuru!F11/1.16</f>
        <v>0</v>
      </c>
      <c r="H25" s="573"/>
    </row>
    <row r="26" spans="1:8">
      <c r="A26" s="605"/>
      <c r="B26" s="622" t="s">
        <v>334</v>
      </c>
      <c r="C26" s="602">
        <f>Nakuru!D13</f>
        <v>6.5748689048399672E-2</v>
      </c>
      <c r="D26" s="623"/>
      <c r="E26" s="602">
        <f>Nakuru!E13</f>
        <v>6.703309257014424E-2</v>
      </c>
      <c r="F26" s="624"/>
      <c r="G26" s="602">
        <f>Nakuru!F13</f>
        <v>6.5837941347209814E-2</v>
      </c>
      <c r="H26" s="573"/>
    </row>
    <row r="27" spans="1:8">
      <c r="A27" s="605"/>
      <c r="B27" s="622" t="s">
        <v>332</v>
      </c>
      <c r="C27" s="602">
        <f>Nakuru!D15</f>
        <v>0</v>
      </c>
      <c r="D27" s="623"/>
      <c r="E27" s="602">
        <f>Nakuru!E15</f>
        <v>0</v>
      </c>
      <c r="F27" s="624"/>
      <c r="G27" s="602">
        <f>Nakuru!F15</f>
        <v>0</v>
      </c>
      <c r="H27" s="573"/>
    </row>
    <row r="28" spans="1:8">
      <c r="A28" s="605" t="s">
        <v>404</v>
      </c>
      <c r="B28" s="620" t="s">
        <v>427</v>
      </c>
      <c r="C28" s="618">
        <f>Nakuru!D17</f>
        <v>3.54</v>
      </c>
      <c r="D28" s="625"/>
      <c r="E28" s="626">
        <f>Nakuru!E17</f>
        <v>3.51</v>
      </c>
      <c r="F28" s="625"/>
      <c r="G28" s="618">
        <f>Nakuru!F17</f>
        <v>3.51</v>
      </c>
      <c r="H28" s="573"/>
    </row>
    <row r="29" spans="1:8">
      <c r="A29" s="605"/>
      <c r="B29" s="620" t="s">
        <v>440</v>
      </c>
      <c r="C29" s="618">
        <f>C$9+C$20+C$22+C$23+C$28</f>
        <v>147.54130984899359</v>
      </c>
      <c r="D29" s="625"/>
      <c r="E29" s="626">
        <f>E$9+E$20+E$22+E$23+E$28</f>
        <v>150.27650861649786</v>
      </c>
      <c r="F29" s="625"/>
      <c r="G29" s="618">
        <f>G$9+G$20+G$22+G$23+G$28</f>
        <v>147.68768082930481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</v>
      </c>
      <c r="E30" s="628"/>
      <c r="F30" s="627" t="str">
        <f>CONCATENATE("+ ",ROUND((E$29*0.08),2))</f>
        <v>+ 12.02</v>
      </c>
      <c r="G30" s="606"/>
      <c r="H30" s="627" t="str">
        <f>CONCATENATE("+ ",ROUND((G$29*0.08),2))</f>
        <v>+ 11.82</v>
      </c>
    </row>
    <row r="31" spans="1:8">
      <c r="A31" s="605"/>
      <c r="B31" s="620" t="s">
        <v>436</v>
      </c>
      <c r="C31" s="606">
        <f>C$9+C$20+C$21+C$28</f>
        <v>147.54130984899359</v>
      </c>
      <c r="D31" s="629"/>
      <c r="E31" s="628">
        <f>E$9+E$20+E$21+E$28</f>
        <v>150.27650861649786</v>
      </c>
      <c r="F31" s="629"/>
      <c r="G31" s="606">
        <f>G$9+G$20+G$21+G$28</f>
        <v>147.68768082930481</v>
      </c>
      <c r="H31" s="629"/>
    </row>
    <row r="32" spans="1:8" ht="15" thickBot="1">
      <c r="A32" s="605"/>
      <c r="B32" s="630" t="s">
        <v>448</v>
      </c>
      <c r="C32" s="631" t="str">
        <f>D30</f>
        <v>+ 11.8</v>
      </c>
      <c r="D32" s="632"/>
      <c r="E32" s="631" t="str">
        <f>F30</f>
        <v>+ 12.02</v>
      </c>
      <c r="F32" s="632"/>
      <c r="G32" s="631" t="str">
        <f>H30</f>
        <v>+ 11.82</v>
      </c>
      <c r="H32" s="632"/>
    </row>
    <row r="33" spans="1:8" ht="15" thickBot="1">
      <c r="A33" s="605"/>
      <c r="B33" s="633" t="s">
        <v>529</v>
      </c>
      <c r="C33" s="634">
        <f>C31+C32</f>
        <v>159.3413098489936</v>
      </c>
      <c r="D33" s="634">
        <f>D8+D10+D30</f>
        <v>4.4657298952329842</v>
      </c>
      <c r="E33" s="635">
        <f>E31+E32</f>
        <v>162.29650861649787</v>
      </c>
      <c r="F33" s="634">
        <f>F8+F10+F30</f>
        <v>3.687255147942162</v>
      </c>
      <c r="G33" s="634">
        <f>G31+G32</f>
        <v>159.5076808293048</v>
      </c>
      <c r="H33" s="636">
        <f>H8+H10+H30</f>
        <v>3.2693295242285849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159.3413098489936</v>
      </c>
      <c r="D37" s="573"/>
      <c r="E37" s="236">
        <f>E33</f>
        <v>162.29650861649787</v>
      </c>
      <c r="F37" s="573"/>
      <c r="G37" s="236">
        <f>G33</f>
        <v>159.5076808293048</v>
      </c>
      <c r="H37" s="629"/>
    </row>
    <row r="38" spans="1:8">
      <c r="A38" s="605"/>
      <c r="B38" s="637" t="s">
        <v>425</v>
      </c>
      <c r="C38" s="638"/>
      <c r="D38" s="609">
        <f>-C32</f>
        <v>-11.8</v>
      </c>
      <c r="E38" s="639"/>
      <c r="F38" s="609">
        <f>-E32</f>
        <v>-12.02</v>
      </c>
      <c r="G38" s="638"/>
      <c r="H38" s="609">
        <f>-G32</f>
        <v>-11.82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Rumuruti!G23</f>
        <v>1.2705620929363381</v>
      </c>
      <c r="D40" s="943"/>
      <c r="E40" s="880">
        <f>C40</f>
        <v>1.2705620929363381</v>
      </c>
      <c r="F40" s="943"/>
      <c r="G40" s="613">
        <f>C40</f>
        <v>1.2705620929363381</v>
      </c>
      <c r="H40" s="943"/>
    </row>
    <row r="41" spans="1:8" s="392" customFormat="1">
      <c r="A41" s="605"/>
      <c r="B41" s="617" t="s">
        <v>446</v>
      </c>
      <c r="C41" s="618">
        <f>SUM(C40)</f>
        <v>1.2705620929363381</v>
      </c>
      <c r="D41" s="618"/>
      <c r="E41" s="626">
        <f>SUM(E40)</f>
        <v>1.2705620929363381</v>
      </c>
      <c r="F41" s="944"/>
      <c r="G41" s="618">
        <f>SUM(G40)</f>
        <v>1.2705620929363381</v>
      </c>
      <c r="H41" s="944"/>
    </row>
    <row r="42" spans="1:8">
      <c r="A42" s="605" t="s">
        <v>642</v>
      </c>
      <c r="B42" s="503" t="s">
        <v>426</v>
      </c>
      <c r="C42" s="618">
        <f>Nakuru!D21</f>
        <v>8.19</v>
      </c>
      <c r="D42" s="625"/>
      <c r="E42" s="626">
        <f>Nakuru!E21</f>
        <v>8.19</v>
      </c>
      <c r="F42" s="625"/>
      <c r="G42" s="618">
        <f>Nakuru!F21</f>
        <v>8.19</v>
      </c>
      <c r="H42" s="629"/>
    </row>
    <row r="43" spans="1:8">
      <c r="B43" s="620" t="s">
        <v>447</v>
      </c>
      <c r="C43" s="613">
        <f>C$37+C$42+C$41</f>
        <v>168.80187194192993</v>
      </c>
      <c r="D43" s="610"/>
      <c r="E43" s="613">
        <f>E$37+E$42+E$41</f>
        <v>171.7570707094342</v>
      </c>
      <c r="F43" s="610"/>
      <c r="G43" s="236">
        <f>G$37+G$42+G$41</f>
        <v>168.96824292224113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157.00187194192992</v>
      </c>
      <c r="D46" s="610"/>
      <c r="E46" s="641">
        <f>E$43-E44-E45+F$38</f>
        <v>159.73707070943419</v>
      </c>
      <c r="F46" s="610"/>
      <c r="G46" s="642">
        <f>G$43-G44-G45+H$38</f>
        <v>157.14824292224114</v>
      </c>
      <c r="H46" s="573"/>
    </row>
    <row r="47" spans="1:8">
      <c r="B47" s="503" t="s">
        <v>445</v>
      </c>
      <c r="C47" s="644"/>
      <c r="D47" s="696" t="str">
        <f>CONCATENATE("+ ",ROUND((C$46*0.08),2))</f>
        <v>+ 12.56</v>
      </c>
      <c r="E47" s="644"/>
      <c r="F47" s="627" t="str">
        <f>CONCATENATE("+ ",ROUND((E$46*0.08),2))</f>
        <v>+ 12.78</v>
      </c>
      <c r="G47" s="645"/>
      <c r="H47" s="627" t="str">
        <f>CONCATENATE("+ ",ROUND((G$46*0.08),2))</f>
        <v>+ 12.57</v>
      </c>
    </row>
    <row r="48" spans="1:8" ht="15" thickBot="1">
      <c r="B48" s="646" t="s">
        <v>449</v>
      </c>
      <c r="C48" s="697" t="str">
        <f>D47</f>
        <v>+ 12.56</v>
      </c>
      <c r="D48" s="632"/>
      <c r="E48" s="631" t="str">
        <f>F47</f>
        <v>+ 12.78</v>
      </c>
      <c r="F48" s="632"/>
      <c r="G48" s="631" t="str">
        <f>H47</f>
        <v>+ 12.57</v>
      </c>
      <c r="H48" s="632"/>
    </row>
    <row r="49" spans="1:9" s="392" customFormat="1" ht="15" thickBot="1">
      <c r="B49" s="647" t="s">
        <v>452</v>
      </c>
      <c r="C49" s="648">
        <f>C$46+C$48+C$44+C$45</f>
        <v>169.56187194192992</v>
      </c>
      <c r="D49" s="649">
        <f>D38+D47</f>
        <v>0.75999999999999979</v>
      </c>
      <c r="E49" s="648">
        <f>E$46+E$48+E$44+E$45</f>
        <v>172.51707070943419</v>
      </c>
      <c r="F49" s="649">
        <f>F38+F47</f>
        <v>0.75999999999999979</v>
      </c>
      <c r="G49" s="650">
        <f>G$46+G$48+G$44+G$45</f>
        <v>169.71824292224113</v>
      </c>
      <c r="H49" s="651">
        <f>H38+H47</f>
        <v>0.75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 codeName="Sheet189">
    <tabColor rgb="FFFF0000"/>
  </sheetPr>
  <dimension ref="B2:L33"/>
  <sheetViews>
    <sheetView topLeftCell="A25" workbookViewId="0">
      <selection activeCell="C36" sqref="C36:E37"/>
    </sheetView>
  </sheetViews>
  <sheetFormatPr defaultColWidth="9.1796875" defaultRowHeight="14.5"/>
  <cols>
    <col min="1" max="1" width="9.1796875" style="159"/>
    <col min="2" max="2" width="28.26953125" style="159" bestFit="1" customWidth="1"/>
    <col min="3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10.7265625" style="159" customWidth="1"/>
    <col min="9" max="9" width="56" style="159" bestFit="1" customWidth="1"/>
    <col min="10" max="16384" width="9.1796875" style="159"/>
  </cols>
  <sheetData>
    <row r="2" spans="2:12">
      <c r="C2" s="258" t="s">
        <v>62</v>
      </c>
      <c r="G2" s="160"/>
      <c r="H2" s="160"/>
    </row>
    <row r="3" spans="2:12">
      <c r="C3" s="258" t="s">
        <v>27</v>
      </c>
      <c r="E3" s="215"/>
      <c r="F3" s="215"/>
      <c r="G3" s="160"/>
      <c r="H3" s="160"/>
    </row>
    <row r="4" spans="2:12">
      <c r="C4" s="259" t="str">
        <f>Nakuru!C4</f>
        <v>March 15 - April 14, 2023</v>
      </c>
      <c r="D4" s="258"/>
      <c r="E4" s="160"/>
      <c r="F4" s="160"/>
      <c r="G4" s="260"/>
      <c r="H4" s="260"/>
    </row>
    <row r="5" spans="2:12" ht="15" thickBot="1">
      <c r="C5" s="160"/>
      <c r="D5" s="160"/>
      <c r="E5" s="160"/>
      <c r="F5" s="160"/>
      <c r="G5" s="261">
        <f>4.6/1.14</f>
        <v>4.0350877192982457</v>
      </c>
      <c r="H5" s="913">
        <f>D9/1.16</f>
        <v>3.8013699999999995</v>
      </c>
      <c r="I5" s="262"/>
      <c r="J5" s="262"/>
      <c r="K5" s="262"/>
      <c r="L5" s="262"/>
    </row>
    <row r="6" spans="2:12" ht="15" thickBot="1">
      <c r="C6" s="695"/>
      <c r="D6" s="169" t="s">
        <v>0</v>
      </c>
      <c r="E6" s="169" t="s">
        <v>1</v>
      </c>
      <c r="F6" s="169" t="s">
        <v>3</v>
      </c>
      <c r="G6" s="291">
        <v>1</v>
      </c>
      <c r="H6" s="852"/>
      <c r="I6" s="289" t="s">
        <v>167</v>
      </c>
      <c r="J6" s="262"/>
      <c r="K6" s="262"/>
      <c r="L6" s="262"/>
    </row>
    <row r="7" spans="2:12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160"/>
      <c r="I7" s="262" t="s">
        <v>26</v>
      </c>
      <c r="J7" s="262"/>
      <c r="K7" s="262"/>
      <c r="L7" s="262"/>
    </row>
    <row r="8" spans="2:12" ht="15" thickBot="1">
      <c r="C8" s="263"/>
      <c r="D8" s="263"/>
      <c r="E8" s="263"/>
      <c r="F8" s="263"/>
      <c r="G8" s="268">
        <v>1.1599999999999999</v>
      </c>
      <c r="H8" s="268"/>
      <c r="I8" s="262" t="str">
        <f>Nakuru!I8</f>
        <v>Weighted average cost (KPRL + KOSF)</v>
      </c>
      <c r="J8" s="262"/>
      <c r="K8" s="262"/>
      <c r="L8" s="262"/>
    </row>
    <row r="9" spans="2:12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853"/>
      <c r="I9" s="289" t="s">
        <v>166</v>
      </c>
      <c r="J9" s="262"/>
      <c r="K9" s="262"/>
      <c r="L9" s="262"/>
    </row>
    <row r="10" spans="2:12" ht="15" thickBot="1">
      <c r="C10" s="263"/>
      <c r="D10" s="290"/>
      <c r="E10" s="274"/>
      <c r="F10" s="274"/>
      <c r="G10" s="292">
        <v>3.8013699999999999</v>
      </c>
      <c r="H10" s="856"/>
      <c r="I10" s="262" t="s">
        <v>30</v>
      </c>
      <c r="J10" s="262"/>
      <c r="K10" s="262"/>
      <c r="L10" s="262"/>
    </row>
    <row r="11" spans="2:12" ht="15" thickBot="1">
      <c r="C11" s="227" t="s">
        <v>20</v>
      </c>
      <c r="D11" s="269">
        <f>$G$11*$G$12*$G$8</f>
        <v>0</v>
      </c>
      <c r="E11" s="269">
        <f>$G$11*$G$12*$G$8</f>
        <v>0</v>
      </c>
      <c r="F11" s="269">
        <v>0</v>
      </c>
      <c r="G11" s="273">
        <f>'Bridging - Sept 2013'!E23*G14/1000</f>
        <v>7.2750971638155377</v>
      </c>
      <c r="H11" s="297"/>
      <c r="I11" s="262" t="s">
        <v>272</v>
      </c>
      <c r="J11" s="262"/>
      <c r="K11" s="262"/>
      <c r="L11" s="262"/>
    </row>
    <row r="12" spans="2:12">
      <c r="C12" s="263"/>
      <c r="D12" s="274"/>
      <c r="E12" s="274"/>
      <c r="F12" s="274"/>
      <c r="G12" s="665">
        <f>1-G9</f>
        <v>0</v>
      </c>
      <c r="H12" s="665"/>
      <c r="I12" s="275" t="s">
        <v>168</v>
      </c>
      <c r="J12" s="262"/>
      <c r="K12" s="262"/>
      <c r="L12" s="262"/>
    </row>
    <row r="13" spans="2:12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78"/>
      <c r="I13" s="262" t="s">
        <v>25</v>
      </c>
      <c r="J13" s="262"/>
      <c r="K13" s="262"/>
      <c r="L13" s="262"/>
    </row>
    <row r="14" spans="2:12" ht="15" thickBot="1">
      <c r="C14" s="263"/>
      <c r="D14" s="274"/>
      <c r="E14" s="274"/>
      <c r="F14" s="274"/>
      <c r="G14" s="279">
        <v>798</v>
      </c>
      <c r="H14" s="279">
        <v>796</v>
      </c>
      <c r="I14" s="262" t="s">
        <v>35</v>
      </c>
      <c r="J14" s="262"/>
      <c r="K14" s="262"/>
      <c r="L14" s="262"/>
    </row>
    <row r="15" spans="2:12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78"/>
      <c r="I15" s="262" t="s">
        <v>29</v>
      </c>
      <c r="J15" s="262"/>
      <c r="K15" s="262"/>
      <c r="L15" s="262"/>
    </row>
    <row r="16" spans="2:12">
      <c r="C16" s="263"/>
      <c r="D16" s="263"/>
      <c r="E16" s="263"/>
      <c r="F16" s="263"/>
      <c r="G16" s="278">
        <v>0</v>
      </c>
      <c r="H16" s="278"/>
      <c r="I16" s="262"/>
      <c r="J16" s="262"/>
      <c r="K16" s="262"/>
      <c r="L16" s="262"/>
    </row>
    <row r="17" spans="2:12">
      <c r="C17" s="263" t="s">
        <v>20</v>
      </c>
      <c r="D17" s="280">
        <f>3.05+0.49</f>
        <v>3.54</v>
      </c>
      <c r="E17" s="280">
        <f>3.05+0.46</f>
        <v>3.51</v>
      </c>
      <c r="F17" s="280">
        <f>3.05+0.46</f>
        <v>3.51</v>
      </c>
      <c r="G17" s="281"/>
      <c r="H17" s="281"/>
      <c r="I17" s="262" t="s">
        <v>24</v>
      </c>
      <c r="J17" s="262"/>
      <c r="K17" s="262"/>
      <c r="L17" s="262"/>
    </row>
    <row r="18" spans="2:12">
      <c r="C18" s="263"/>
      <c r="D18" s="263"/>
      <c r="E18" s="263"/>
      <c r="F18" s="263"/>
      <c r="G18" s="160"/>
      <c r="H18" s="160"/>
      <c r="I18" s="262"/>
      <c r="J18" s="262"/>
      <c r="K18" s="262"/>
      <c r="L18" s="262"/>
    </row>
    <row r="19" spans="2:12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160"/>
      <c r="I19" s="262" t="s">
        <v>23</v>
      </c>
      <c r="J19" s="262"/>
      <c r="K19" s="262"/>
      <c r="L19" s="262"/>
    </row>
    <row r="20" spans="2:12">
      <c r="C20" s="263"/>
      <c r="D20" s="263"/>
      <c r="E20" s="263"/>
      <c r="F20" s="263"/>
      <c r="G20" s="160"/>
      <c r="H20" s="160"/>
      <c r="I20" s="262"/>
      <c r="J20" s="262"/>
      <c r="K20" s="262"/>
      <c r="L20" s="262"/>
    </row>
    <row r="21" spans="2:12">
      <c r="C21" s="263" t="s">
        <v>20</v>
      </c>
      <c r="D21" s="168">
        <f>8.19</f>
        <v>8.19</v>
      </c>
      <c r="E21" s="168">
        <f>8.19</f>
        <v>8.19</v>
      </c>
      <c r="F21" s="168">
        <f>8.19</f>
        <v>8.19</v>
      </c>
      <c r="G21" s="160"/>
      <c r="H21" s="160"/>
      <c r="I21" s="262" t="s">
        <v>22</v>
      </c>
      <c r="J21" s="262"/>
      <c r="K21" s="262"/>
      <c r="L21" s="262"/>
    </row>
    <row r="22" spans="2:12" ht="15" thickBot="1">
      <c r="C22" s="263"/>
      <c r="D22" s="168"/>
      <c r="E22" s="168"/>
      <c r="F22" s="168"/>
      <c r="G22" s="160"/>
      <c r="H22" s="160"/>
      <c r="I22" s="262"/>
      <c r="J22" s="262"/>
      <c r="K22" s="262"/>
      <c r="L22" s="262"/>
    </row>
    <row r="23" spans="2:12" ht="15" thickBot="1">
      <c r="C23" s="263" t="s">
        <v>20</v>
      </c>
      <c r="D23" s="283">
        <f>$G$23*$G$8</f>
        <v>0.62360663649487535</v>
      </c>
      <c r="E23" s="283">
        <f t="shared" ref="E23:F23" si="0">$G$23*$G$8</f>
        <v>0.62360663649487535</v>
      </c>
      <c r="F23" s="283">
        <f t="shared" si="0"/>
        <v>0.62360663649487535</v>
      </c>
      <c r="G23" s="284">
        <f>Nakuru!G23</f>
        <v>0.53759192801282363</v>
      </c>
      <c r="H23" s="855"/>
      <c r="I23" s="262" t="s">
        <v>21</v>
      </c>
      <c r="J23" s="262"/>
      <c r="K23" s="262"/>
      <c r="L23" s="262"/>
    </row>
    <row r="24" spans="2:12">
      <c r="C24" s="263"/>
      <c r="D24" s="263"/>
      <c r="E24" s="263"/>
      <c r="F24" s="263"/>
      <c r="G24" s="160"/>
      <c r="H24" s="160"/>
      <c r="I24" s="262"/>
      <c r="J24" s="262"/>
      <c r="K24" s="262"/>
      <c r="L24" s="262"/>
    </row>
    <row r="25" spans="2:12">
      <c r="C25" s="263" t="s">
        <v>20</v>
      </c>
      <c r="D25" s="285">
        <f>D19+D21+D23</f>
        <v>157.71899248639971</v>
      </c>
      <c r="E25" s="285">
        <f>E19+E21+E23</f>
        <v>160.44257015080268</v>
      </c>
      <c r="F25" s="285">
        <f>F19+F21+F23</f>
        <v>157.88033666472026</v>
      </c>
      <c r="G25" s="160"/>
      <c r="H25" s="160"/>
      <c r="I25" s="262" t="s">
        <v>19</v>
      </c>
      <c r="J25" s="262"/>
      <c r="K25" s="262"/>
      <c r="L25" s="262"/>
    </row>
    <row r="26" spans="2:12" ht="15" thickBot="1">
      <c r="C26" s="160"/>
      <c r="D26" s="286"/>
      <c r="E26" s="160"/>
      <c r="F26" s="160"/>
      <c r="G26" s="160"/>
      <c r="H26" s="160"/>
    </row>
    <row r="27" spans="2:12" ht="15" thickBot="1">
      <c r="B27" s="678" t="str">
        <f>Mombasa!B28</f>
        <v>February 15 - March 14 2023</v>
      </c>
      <c r="C27" s="691" t="str">
        <f>C25</f>
        <v>Kshs/lt</v>
      </c>
      <c r="D27" s="285">
        <v>154.23410607511968</v>
      </c>
      <c r="E27" s="285">
        <v>160.7847439456983</v>
      </c>
      <c r="F27" s="285">
        <v>154.10815464420301</v>
      </c>
    </row>
    <row r="28" spans="2:12" ht="8.25" customHeight="1" thickBot="1">
      <c r="B28" s="392"/>
      <c r="C28" s="392"/>
      <c r="D28" s="675"/>
      <c r="E28" s="676"/>
      <c r="F28" s="677"/>
    </row>
    <row r="29" spans="2:12" ht="15" thickBot="1">
      <c r="B29" s="682" t="s">
        <v>44</v>
      </c>
      <c r="C29" s="692" t="str">
        <f>C27</f>
        <v>Kshs/lt</v>
      </c>
      <c r="D29" s="683">
        <f>D25-D27</f>
        <v>3.48488641128003</v>
      </c>
      <c r="E29" s="684">
        <f>E25-E27</f>
        <v>-0.34217379489561495</v>
      </c>
      <c r="F29" s="693">
        <f>F25-F27</f>
        <v>3.7721820205172492</v>
      </c>
    </row>
    <row r="30" spans="2:12" ht="8.25" customHeight="1" thickBot="1">
      <c r="B30" s="392"/>
      <c r="C30" s="392"/>
      <c r="D30" s="685"/>
      <c r="E30" s="686"/>
      <c r="F30" s="687"/>
    </row>
    <row r="31" spans="2:12" ht="15" thickBot="1">
      <c r="B31" s="682" t="s">
        <v>44</v>
      </c>
      <c r="C31" s="692" t="s">
        <v>159</v>
      </c>
      <c r="D31" s="688">
        <f>D29/D27*100</f>
        <v>2.2594784642397556</v>
      </c>
      <c r="E31" s="689">
        <f>E29/E27*100</f>
        <v>-0.21281483957904429</v>
      </c>
      <c r="F31" s="690">
        <f>F29/F27*100</f>
        <v>2.4477497827589132</v>
      </c>
    </row>
    <row r="33" spans="3:6">
      <c r="C33" s="695"/>
      <c r="D33" s="169" t="s">
        <v>0</v>
      </c>
      <c r="E33" s="169" t="s">
        <v>1</v>
      </c>
      <c r="F33" s="169" t="s">
        <v>3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20490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20490" r:id="rId4"/>
      </mc:Fallback>
    </mc:AlternateContent>
  </oleObjects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 codeName="Sheet190">
    <tabColor rgb="FF0070C0"/>
  </sheetPr>
  <dimension ref="A2:M61"/>
  <sheetViews>
    <sheetView topLeftCell="A48" workbookViewId="0">
      <selection activeCell="E58" sqref="E58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Eldoret!G23</f>
        <v>0.53759192801282363</v>
      </c>
      <c r="D40" s="943"/>
      <c r="E40" s="880">
        <f>C40</f>
        <v>0.53759192801282363</v>
      </c>
      <c r="F40" s="943"/>
      <c r="G40" s="613">
        <f>C40</f>
        <v>0.53759192801282363</v>
      </c>
      <c r="H40" s="943"/>
    </row>
    <row r="41" spans="1:8" s="392" customFormat="1">
      <c r="A41" s="605"/>
      <c r="B41" s="617" t="s">
        <v>446</v>
      </c>
      <c r="C41" s="618">
        <f>SUM(C40)</f>
        <v>0.53759192801282363</v>
      </c>
      <c r="D41" s="618"/>
      <c r="E41" s="626">
        <f>SUM(E40)</f>
        <v>0.53759192801282363</v>
      </c>
      <c r="F41" s="944"/>
      <c r="G41" s="618">
        <f>SUM(G40)</f>
        <v>0.53759192801282363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168.7810217770064</v>
      </c>
      <c r="D43" s="610"/>
      <c r="E43" s="613">
        <f>E$37+E$42+E$41</f>
        <v>171.72622054451068</v>
      </c>
      <c r="F43" s="610"/>
      <c r="G43" s="236">
        <f>G$37+G$42+G$41</f>
        <v>168.93739275731764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156.92102177700639</v>
      </c>
      <c r="D46" s="610"/>
      <c r="E46" s="641">
        <f>E$43-E44-E45+F$38</f>
        <v>159.65622054451069</v>
      </c>
      <c r="F46" s="610"/>
      <c r="G46" s="642">
        <f>G$43-G44-G45+H$38</f>
        <v>157.06739275731763</v>
      </c>
      <c r="H46" s="573"/>
    </row>
    <row r="47" spans="1:8">
      <c r="B47" s="503" t="s">
        <v>445</v>
      </c>
      <c r="C47" s="644"/>
      <c r="D47" s="696" t="str">
        <f>CONCATENATE("+ ",ROUND((C$46*0.08),2))</f>
        <v>+ 12.55</v>
      </c>
      <c r="E47" s="644"/>
      <c r="F47" s="627" t="str">
        <f>CONCATENATE("+ ",ROUND((E$46*0.08),2))</f>
        <v>+ 12.77</v>
      </c>
      <c r="G47" s="645"/>
      <c r="H47" s="627" t="str">
        <f>CONCATENATE("+ ",ROUND((G$46*0.08),2))</f>
        <v>+ 12.57</v>
      </c>
    </row>
    <row r="48" spans="1:8" ht="15" thickBot="1">
      <c r="B48" s="646" t="s">
        <v>449</v>
      </c>
      <c r="C48" s="697" t="str">
        <f>D47</f>
        <v>+ 12.55</v>
      </c>
      <c r="D48" s="632"/>
      <c r="E48" s="631" t="str">
        <f>F47</f>
        <v>+ 12.77</v>
      </c>
      <c r="F48" s="632"/>
      <c r="G48" s="631" t="str">
        <f>H47</f>
        <v>+ 12.57</v>
      </c>
      <c r="H48" s="632"/>
    </row>
    <row r="49" spans="2:9" s="392" customFormat="1" ht="15" thickBot="1">
      <c r="B49" s="647" t="s">
        <v>452</v>
      </c>
      <c r="C49" s="648">
        <f>C$46+C$48+C$44+C$45</f>
        <v>169.4710217770064</v>
      </c>
      <c r="D49" s="649">
        <f>D38+D47</f>
        <v>0.69000000000000128</v>
      </c>
      <c r="E49" s="648">
        <f>E$46+E$48+E$44+E$45</f>
        <v>172.4262205445107</v>
      </c>
      <c r="F49" s="649">
        <f>F38+F47</f>
        <v>0.69999999999999929</v>
      </c>
      <c r="G49" s="650">
        <f>G$46+G$48+G$44+G$45</f>
        <v>169.63739275731763</v>
      </c>
      <c r="H49" s="651">
        <f>H38+H47</f>
        <v>0.70000000000000107</v>
      </c>
    </row>
    <row r="50" spans="2:9" s="392" customFormat="1">
      <c r="B50" s="652"/>
      <c r="C50" s="653"/>
      <c r="D50" s="652"/>
      <c r="E50" s="653"/>
      <c r="F50" s="652"/>
      <c r="G50" s="653"/>
      <c r="H50" s="653"/>
    </row>
    <row r="51" spans="2:9">
      <c r="C51" s="888"/>
      <c r="D51" s="888"/>
      <c r="E51" s="888"/>
    </row>
    <row r="52" spans="2:9" ht="15" thickBot="1">
      <c r="G52" s="162"/>
      <c r="H52" s="162"/>
      <c r="I52" s="162"/>
    </row>
    <row r="53" spans="2:9" ht="15" thickBot="1">
      <c r="C53" s="668" t="s">
        <v>0</v>
      </c>
      <c r="D53" s="669" t="s">
        <v>1</v>
      </c>
      <c r="E53" s="670" t="s">
        <v>155</v>
      </c>
    </row>
    <row r="54" spans="2:9" ht="15" thickBot="1">
      <c r="B54" s="671" t="str">
        <f>Eldoret!C4</f>
        <v>March 15 - April 14, 2023</v>
      </c>
      <c r="C54" s="672">
        <f>C49</f>
        <v>169.4710217770064</v>
      </c>
      <c r="D54" s="673">
        <f>E49</f>
        <v>172.4262205445107</v>
      </c>
      <c r="E54" s="674">
        <f>G49</f>
        <v>169.63739275731763</v>
      </c>
    </row>
    <row r="55" spans="2:9" ht="15" thickBot="1">
      <c r="C55" s="675"/>
      <c r="D55" s="676"/>
      <c r="E55" s="677"/>
    </row>
    <row r="56" spans="2:9" ht="15" thickBot="1">
      <c r="B56" s="678" t="str">
        <f>Eldoret!B27</f>
        <v>February 15 - March 14 2023</v>
      </c>
      <c r="C56" s="679">
        <v>165.70085150805716</v>
      </c>
      <c r="D56" s="679">
        <v>172.80244587829804</v>
      </c>
      <c r="E56" s="679">
        <v>165.56373905939199</v>
      </c>
    </row>
    <row r="57" spans="2:9" ht="15" thickBot="1">
      <c r="B57" s="392"/>
      <c r="C57" s="675"/>
      <c r="D57" s="676"/>
      <c r="E57" s="677"/>
    </row>
    <row r="58" spans="2:9" ht="15" thickBot="1">
      <c r="B58" s="682" t="s">
        <v>474</v>
      </c>
      <c r="C58" s="683">
        <f>C54-C56</f>
        <v>3.7701702689492436</v>
      </c>
      <c r="D58" s="683">
        <f>D54-D56</f>
        <v>-0.37622533378734602</v>
      </c>
      <c r="E58" s="684">
        <f>E54-E56</f>
        <v>4.0736536979256357</v>
      </c>
    </row>
    <row r="59" spans="2:9" ht="15" thickBot="1">
      <c r="B59" s="392"/>
      <c r="C59" s="685"/>
      <c r="D59" s="686"/>
      <c r="E59" s="687"/>
    </row>
    <row r="60" spans="2:9" ht="15" thickBot="1">
      <c r="B60" s="682" t="s">
        <v>475</v>
      </c>
      <c r="C60" s="1034">
        <f>C58/C56</f>
        <v>2.2752872025922691E-2</v>
      </c>
      <c r="D60" s="1034">
        <f t="shared" ref="D60:E60" si="0">D58/D56</f>
        <v>-2.1771991239771882E-3</v>
      </c>
      <c r="E60" s="1034">
        <f t="shared" si="0"/>
        <v>2.460474570741792E-2</v>
      </c>
    </row>
    <row r="61" spans="2:9">
      <c r="B61" s="953"/>
      <c r="C61" s="954"/>
      <c r="D61" s="954"/>
      <c r="E61" s="954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sheetPr codeName="Sheet191">
    <tabColor rgb="FF00CC00"/>
  </sheetPr>
  <dimension ref="B2:K31"/>
  <sheetViews>
    <sheetView topLeftCell="A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565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Nakuru!D21</f>
        <v>8.19</v>
      </c>
      <c r="E21" s="168">
        <f>Nakuru!E21</f>
        <v>8.19</v>
      </c>
      <c r="F21" s="168">
        <f>Nakuru!F21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0.62360663649487535</v>
      </c>
      <c r="E23" s="283">
        <f t="shared" ref="E23:F23" si="0">$G$23*$G$8</f>
        <v>0.62360663649487535</v>
      </c>
      <c r="F23" s="283">
        <f t="shared" si="0"/>
        <v>0.62360663649487535</v>
      </c>
      <c r="G23" s="284">
        <f>'Delivery =&lt;40km-Sept 2013'!E24</f>
        <v>0.53759192801282363</v>
      </c>
      <c r="H23" s="262" t="s">
        <v>21</v>
      </c>
      <c r="I23" s="259">
        <v>17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157.71899248639971</v>
      </c>
      <c r="E25" s="285">
        <f>E19+E21+E23</f>
        <v>160.44257015080268</v>
      </c>
      <c r="F25" s="285">
        <f>F19+F21+F23</f>
        <v>157.88033666472026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 codeName="Sheet192">
    <tabColor rgb="FF0000FF"/>
  </sheetPr>
  <dimension ref="A2:M68"/>
  <sheetViews>
    <sheetView topLeftCell="A19" workbookViewId="0">
      <selection activeCell="E47" sqref="E47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Kiplombe!G23</f>
        <v>0.53759192801282363</v>
      </c>
      <c r="D40" s="943"/>
      <c r="E40" s="880">
        <f>C40</f>
        <v>0.53759192801282363</v>
      </c>
      <c r="F40" s="943"/>
      <c r="G40" s="613">
        <f>C40</f>
        <v>0.53759192801282363</v>
      </c>
      <c r="H40" s="943"/>
    </row>
    <row r="41" spans="1:8" s="392" customFormat="1">
      <c r="A41" s="605"/>
      <c r="B41" s="617" t="s">
        <v>446</v>
      </c>
      <c r="C41" s="618">
        <f>SUM(C40)</f>
        <v>0.53759192801282363</v>
      </c>
      <c r="D41" s="618"/>
      <c r="E41" s="626">
        <f>SUM(E40)</f>
        <v>0.53759192801282363</v>
      </c>
      <c r="F41" s="944"/>
      <c r="G41" s="618">
        <f>SUM(G40)</f>
        <v>0.53759192801282363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168.7810217770064</v>
      </c>
      <c r="D43" s="610"/>
      <c r="E43" s="613">
        <f>E$37+E$42+E$41</f>
        <v>171.72622054451068</v>
      </c>
      <c r="F43" s="610"/>
      <c r="G43" s="236">
        <f>G$37+G$42+G$41</f>
        <v>168.93739275731764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156.92102177700639</v>
      </c>
      <c r="D46" s="610"/>
      <c r="E46" s="641">
        <f>E$43-E44-E45+F$38</f>
        <v>159.65622054451069</v>
      </c>
      <c r="F46" s="610"/>
      <c r="G46" s="642">
        <f>G$43-G44-G45+H$38</f>
        <v>157.06739275731763</v>
      </c>
      <c r="H46" s="573"/>
    </row>
    <row r="47" spans="1:8">
      <c r="B47" s="503" t="s">
        <v>445</v>
      </c>
      <c r="C47" s="644"/>
      <c r="D47" s="696" t="str">
        <f>CONCATENATE("+ ",ROUND((C$46*0.08),2))</f>
        <v>+ 12.55</v>
      </c>
      <c r="E47" s="644"/>
      <c r="F47" s="627" t="str">
        <f>CONCATENATE("+ ",ROUND((E$46*0.08),2))</f>
        <v>+ 12.77</v>
      </c>
      <c r="G47" s="645"/>
      <c r="H47" s="627" t="str">
        <f>CONCATENATE("+ ",ROUND((G$46*0.08),2))</f>
        <v>+ 12.57</v>
      </c>
    </row>
    <row r="48" spans="1:8" ht="15" thickBot="1">
      <c r="B48" s="646" t="s">
        <v>449</v>
      </c>
      <c r="C48" s="697" t="str">
        <f>D47</f>
        <v>+ 12.55</v>
      </c>
      <c r="D48" s="632"/>
      <c r="E48" s="631" t="str">
        <f>F47</f>
        <v>+ 12.77</v>
      </c>
      <c r="F48" s="632"/>
      <c r="G48" s="631" t="str">
        <f>H47</f>
        <v>+ 12.57</v>
      </c>
      <c r="H48" s="632"/>
    </row>
    <row r="49" spans="1:9" s="392" customFormat="1" ht="15" thickBot="1">
      <c r="B49" s="647" t="s">
        <v>452</v>
      </c>
      <c r="C49" s="648">
        <f>C$46+C$48+C$44+C$45</f>
        <v>169.4710217770064</v>
      </c>
      <c r="D49" s="649">
        <f>D38+D47</f>
        <v>0.69000000000000128</v>
      </c>
      <c r="E49" s="648">
        <f>E$46+E$48+E$44+E$45</f>
        <v>172.4262205445107</v>
      </c>
      <c r="F49" s="649">
        <f>F38+F47</f>
        <v>0.69999999999999929</v>
      </c>
      <c r="G49" s="650">
        <f>G$46+G$48+G$44+G$45</f>
        <v>169.63739275731763</v>
      </c>
      <c r="H49" s="651">
        <f>H38+H47</f>
        <v>0.70000000000000107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 codeName="Sheet193">
    <tabColor rgb="FF00CC00"/>
  </sheetPr>
  <dimension ref="B2:K31"/>
  <sheetViews>
    <sheetView topLeftCell="A7" workbookViewId="0">
      <selection activeCell="G9" sqref="G9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604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Nakuru!D21</f>
        <v>8.19</v>
      </c>
      <c r="E21" s="168">
        <f>Nakuru!E21</f>
        <v>8.19</v>
      </c>
      <c r="F21" s="168">
        <f>Nakuru!F21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0.62360663649487535</v>
      </c>
      <c r="E23" s="283">
        <f t="shared" ref="E23:F23" si="0">$G$23*$G$8</f>
        <v>0.62360663649487535</v>
      </c>
      <c r="F23" s="283">
        <f t="shared" si="0"/>
        <v>0.62360663649487535</v>
      </c>
      <c r="G23" s="284">
        <f>'Delivery =&lt;40km-Sept 2013'!E24</f>
        <v>0.53759192801282363</v>
      </c>
      <c r="H23" s="262" t="s">
        <v>21</v>
      </c>
      <c r="I23" s="259">
        <v>36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157.71899248639971</v>
      </c>
      <c r="E25" s="285">
        <f>E19+E21+E23</f>
        <v>160.44257015080268</v>
      </c>
      <c r="F25" s="285">
        <f>F19+F21+F23</f>
        <v>157.88033666472026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 codeName="Sheet194">
    <tabColor rgb="FF0000FF"/>
  </sheetPr>
  <dimension ref="A2:M68"/>
  <sheetViews>
    <sheetView topLeftCell="A31" workbookViewId="0">
      <selection activeCell="E22" sqref="E22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Iten!G23</f>
        <v>0.53759192801282363</v>
      </c>
      <c r="D40" s="943"/>
      <c r="E40" s="880">
        <f>C40</f>
        <v>0.53759192801282363</v>
      </c>
      <c r="F40" s="943"/>
      <c r="G40" s="613">
        <f>C40</f>
        <v>0.53759192801282363</v>
      </c>
      <c r="H40" s="943"/>
    </row>
    <row r="41" spans="1:8" s="392" customFormat="1">
      <c r="A41" s="605"/>
      <c r="B41" s="617" t="s">
        <v>446</v>
      </c>
      <c r="C41" s="618">
        <f>SUM(C40)</f>
        <v>0.53759192801282363</v>
      </c>
      <c r="D41" s="618"/>
      <c r="E41" s="626">
        <f>SUM(E40)</f>
        <v>0.53759192801282363</v>
      </c>
      <c r="F41" s="944"/>
      <c r="G41" s="618">
        <f>SUM(G40)</f>
        <v>0.53759192801282363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168.7810217770064</v>
      </c>
      <c r="D43" s="610"/>
      <c r="E43" s="613">
        <f>E$37+E$42+E$41</f>
        <v>171.72622054451068</v>
      </c>
      <c r="F43" s="610"/>
      <c r="G43" s="236">
        <f>G$37+G$42+G$41</f>
        <v>168.93739275731764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156.92102177700639</v>
      </c>
      <c r="D46" s="610"/>
      <c r="E46" s="641">
        <f>E$43-E44-E45+F$38</f>
        <v>159.65622054451069</v>
      </c>
      <c r="F46" s="610"/>
      <c r="G46" s="642">
        <f>G$43-G44-G45+H$38</f>
        <v>157.06739275731763</v>
      </c>
      <c r="H46" s="573"/>
    </row>
    <row r="47" spans="1:8">
      <c r="B47" s="503" t="s">
        <v>445</v>
      </c>
      <c r="C47" s="644"/>
      <c r="D47" s="696" t="str">
        <f>CONCATENATE("+ ",ROUND((C$46*0.08),2))</f>
        <v>+ 12.55</v>
      </c>
      <c r="E47" s="644"/>
      <c r="F47" s="627" t="str">
        <f>CONCATENATE("+ ",ROUND((E$46*0.08),2))</f>
        <v>+ 12.77</v>
      </c>
      <c r="G47" s="645"/>
      <c r="H47" s="627" t="str">
        <f>CONCATENATE("+ ",ROUND((G$46*0.08),2))</f>
        <v>+ 12.57</v>
      </c>
    </row>
    <row r="48" spans="1:8" ht="15" thickBot="1">
      <c r="B48" s="646" t="s">
        <v>449</v>
      </c>
      <c r="C48" s="697" t="str">
        <f>D47</f>
        <v>+ 12.55</v>
      </c>
      <c r="D48" s="632"/>
      <c r="E48" s="631" t="str">
        <f>F47</f>
        <v>+ 12.77</v>
      </c>
      <c r="F48" s="632"/>
      <c r="G48" s="631" t="str">
        <f>H47</f>
        <v>+ 12.57</v>
      </c>
      <c r="H48" s="632"/>
    </row>
    <row r="49" spans="1:9" s="392" customFormat="1" ht="15" thickBot="1">
      <c r="B49" s="647" t="s">
        <v>452</v>
      </c>
      <c r="C49" s="648">
        <f>C$46+C$48+C$44+C$45</f>
        <v>169.4710217770064</v>
      </c>
      <c r="D49" s="649">
        <f>D38+D47</f>
        <v>0.69000000000000128</v>
      </c>
      <c r="E49" s="648">
        <f>E$46+E$48+E$44+E$45</f>
        <v>172.4262205445107</v>
      </c>
      <c r="F49" s="649">
        <f>F38+F47</f>
        <v>0.69999999999999929</v>
      </c>
      <c r="G49" s="650">
        <f>G$46+G$48+G$44+G$45</f>
        <v>169.63739275731763</v>
      </c>
      <c r="H49" s="651">
        <f>H38+H47</f>
        <v>0.70000000000000107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 codeName="Sheet195">
    <tabColor rgb="FF00CC00"/>
  </sheetPr>
  <dimension ref="B2:K31"/>
  <sheetViews>
    <sheetView topLeftCell="A6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566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Nakuru!D21</f>
        <v>8.19</v>
      </c>
      <c r="E21" s="168">
        <f>Nakuru!E21</f>
        <v>8.19</v>
      </c>
      <c r="F21" s="168">
        <f>Nakuru!F21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0.62360663649487535</v>
      </c>
      <c r="E23" s="283">
        <f t="shared" ref="E23:F23" si="0">$G$23*$G$8</f>
        <v>0.62360663649487535</v>
      </c>
      <c r="F23" s="283">
        <f t="shared" si="0"/>
        <v>0.62360663649487535</v>
      </c>
      <c r="G23" s="284">
        <f>'Delivery =&lt;40km-Sept 2013'!E24</f>
        <v>0.53759192801282363</v>
      </c>
      <c r="H23" s="262" t="s">
        <v>21</v>
      </c>
      <c r="I23" s="259">
        <v>25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157.71899248639971</v>
      </c>
      <c r="E25" s="285">
        <f>E19+E21+E23</f>
        <v>160.44257015080268</v>
      </c>
      <c r="F25" s="285">
        <f>F19+F21+F23</f>
        <v>157.88033666472026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C29" s="159" t="e">
        <f>C$9+C$20+C$22+C$23+C$28</f>
        <v>#VALUE!</v>
      </c>
      <c r="D29" s="694"/>
      <c r="E29" s="694">
        <f>E$9+E$20+E$22+E$23+E$28</f>
        <v>5.0331958364948743</v>
      </c>
      <c r="F29" s="694"/>
      <c r="G29" s="1032">
        <f>G$9+G$20+G$22+G$23+G$28</f>
        <v>1.5375919280128236</v>
      </c>
    </row>
    <row r="31" spans="3:11">
      <c r="E31" s="210"/>
    </row>
  </sheetData>
  <pageMargins left="0.7" right="0.7" top="0.75" bottom="0.75" header="0.3" footer="0.3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 codeName="Sheet196">
    <tabColor rgb="FF0000FF"/>
  </sheetPr>
  <dimension ref="A2:M68"/>
  <sheetViews>
    <sheetView topLeftCell="A37" workbookViewId="0">
      <selection activeCell="D45" sqref="D45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Naiberi!G23</f>
        <v>0.53759192801282363</v>
      </c>
      <c r="D40" s="943"/>
      <c r="E40" s="880">
        <f>C40</f>
        <v>0.53759192801282363</v>
      </c>
      <c r="F40" s="943"/>
      <c r="G40" s="613">
        <f>C40</f>
        <v>0.53759192801282363</v>
      </c>
      <c r="H40" s="943"/>
    </row>
    <row r="41" spans="1:8" s="392" customFormat="1">
      <c r="A41" s="605"/>
      <c r="B41" s="617" t="s">
        <v>446</v>
      </c>
      <c r="C41" s="618">
        <f>SUM(C40)</f>
        <v>0.53759192801282363</v>
      </c>
      <c r="D41" s="618"/>
      <c r="E41" s="626">
        <f>SUM(E40)</f>
        <v>0.53759192801282363</v>
      </c>
      <c r="F41" s="944"/>
      <c r="G41" s="618">
        <f>SUM(G40)</f>
        <v>0.53759192801282363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168.7810217770064</v>
      </c>
      <c r="D43" s="610"/>
      <c r="E43" s="613">
        <f>E$37+E$42+E$41</f>
        <v>171.72622054451068</v>
      </c>
      <c r="F43" s="610"/>
      <c r="G43" s="236">
        <f>G$37+G$42+G$41</f>
        <v>168.93739275731764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156.92102177700639</v>
      </c>
      <c r="D46" s="610"/>
      <c r="E46" s="641">
        <f>E$43-E44-E45+F$38</f>
        <v>159.65622054451069</v>
      </c>
      <c r="F46" s="610"/>
      <c r="G46" s="642">
        <f>G$43-G44-G45+H$38</f>
        <v>157.06739275731763</v>
      </c>
      <c r="H46" s="573"/>
    </row>
    <row r="47" spans="1:8">
      <c r="B47" s="503" t="s">
        <v>445</v>
      </c>
      <c r="C47" s="644"/>
      <c r="D47" s="696" t="str">
        <f>CONCATENATE("+ ",ROUND((C$46*0.08),2))</f>
        <v>+ 12.55</v>
      </c>
      <c r="E47" s="644"/>
      <c r="F47" s="627" t="str">
        <f>CONCATENATE("+ ",ROUND((E$46*0.08),2))</f>
        <v>+ 12.77</v>
      </c>
      <c r="G47" s="645"/>
      <c r="H47" s="627" t="str">
        <f>CONCATENATE("+ ",ROUND((G$46*0.08),2))</f>
        <v>+ 12.57</v>
      </c>
    </row>
    <row r="48" spans="1:8" ht="15" thickBot="1">
      <c r="B48" s="646" t="s">
        <v>449</v>
      </c>
      <c r="C48" s="697" t="str">
        <f>D47</f>
        <v>+ 12.55</v>
      </c>
      <c r="D48" s="632"/>
      <c r="E48" s="631" t="str">
        <f>F47</f>
        <v>+ 12.77</v>
      </c>
      <c r="F48" s="632"/>
      <c r="G48" s="631" t="str">
        <f>H47</f>
        <v>+ 12.57</v>
      </c>
      <c r="H48" s="632"/>
    </row>
    <row r="49" spans="1:9" s="392" customFormat="1" ht="15" thickBot="1">
      <c r="B49" s="647" t="s">
        <v>452</v>
      </c>
      <c r="C49" s="648">
        <f>C$46+C$48+C$44+C$45</f>
        <v>169.4710217770064</v>
      </c>
      <c r="D49" s="649">
        <f>D38+D47</f>
        <v>0.69000000000000128</v>
      </c>
      <c r="E49" s="648">
        <f>E$46+E$48+E$44+E$45</f>
        <v>172.4262205445107</v>
      </c>
      <c r="F49" s="649">
        <f>F38+F47</f>
        <v>0.69999999999999929</v>
      </c>
      <c r="G49" s="650">
        <f>G$46+G$48+G$44+G$45</f>
        <v>169.63739275731763</v>
      </c>
      <c r="H49" s="651">
        <f>H38+H47</f>
        <v>0.70000000000000107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sheetPr codeName="Sheet197">
    <tabColor rgb="FF00CC00"/>
  </sheetPr>
  <dimension ref="B2:K31"/>
  <sheetViews>
    <sheetView topLeftCell="A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567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Nakuru!D21</f>
        <v>8.19</v>
      </c>
      <c r="E21" s="168">
        <f>Nakuru!E21</f>
        <v>8.19</v>
      </c>
      <c r="F21" s="168">
        <f>Nakuru!F21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0.62360663649487535</v>
      </c>
      <c r="E23" s="283">
        <f t="shared" ref="E23:F23" si="0">$G$23*$G$8</f>
        <v>0.62360663649487535</v>
      </c>
      <c r="F23" s="283">
        <f t="shared" si="0"/>
        <v>0.62360663649487535</v>
      </c>
      <c r="G23" s="284">
        <f>'Delivery =&lt;40km-Sept 2013'!E24</f>
        <v>0.53759192801282363</v>
      </c>
      <c r="H23" s="262" t="s">
        <v>21</v>
      </c>
      <c r="I23" s="259">
        <v>40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157.71899248639971</v>
      </c>
      <c r="E25" s="285">
        <f>E19+E21+E23</f>
        <v>160.44257015080268</v>
      </c>
      <c r="F25" s="285">
        <f>F19+F21+F23</f>
        <v>157.88033666472026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sheetPr codeName="Sheet198">
    <tabColor rgb="FF0000FF"/>
  </sheetPr>
  <dimension ref="A2:M68"/>
  <sheetViews>
    <sheetView topLeftCell="A19" workbookViewId="0">
      <selection activeCell="E50" sqref="E50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Kesses!G23</f>
        <v>0.53759192801282363</v>
      </c>
      <c r="D40" s="943"/>
      <c r="E40" s="880">
        <f>C40</f>
        <v>0.53759192801282363</v>
      </c>
      <c r="F40" s="943"/>
      <c r="G40" s="613">
        <f>C40</f>
        <v>0.53759192801282363</v>
      </c>
      <c r="H40" s="943"/>
    </row>
    <row r="41" spans="1:8" s="392" customFormat="1">
      <c r="A41" s="605"/>
      <c r="B41" s="617" t="s">
        <v>446</v>
      </c>
      <c r="C41" s="618">
        <f>SUM(C40)</f>
        <v>0.53759192801282363</v>
      </c>
      <c r="D41" s="618"/>
      <c r="E41" s="626">
        <f>SUM(E40)</f>
        <v>0.53759192801282363</v>
      </c>
      <c r="F41" s="944"/>
      <c r="G41" s="618">
        <f>SUM(G40)</f>
        <v>0.53759192801282363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168.7810217770064</v>
      </c>
      <c r="D43" s="610"/>
      <c r="E43" s="613">
        <f>E$37+E$42+E$41</f>
        <v>171.72622054451068</v>
      </c>
      <c r="F43" s="610"/>
      <c r="G43" s="236">
        <f>G$37+G$42+G$41</f>
        <v>168.93739275731764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156.92102177700639</v>
      </c>
      <c r="D46" s="610"/>
      <c r="E46" s="641">
        <f>E$43-E44-E45+F$38</f>
        <v>159.65622054451069</v>
      </c>
      <c r="F46" s="610"/>
      <c r="G46" s="642">
        <f>G$43-G44-G45+H$38</f>
        <v>157.06739275731763</v>
      </c>
      <c r="H46" s="573"/>
    </row>
    <row r="47" spans="1:8">
      <c r="B47" s="503" t="s">
        <v>445</v>
      </c>
      <c r="C47" s="644"/>
      <c r="D47" s="696" t="str">
        <f>CONCATENATE("+ ",ROUND((C$46*0.08),2))</f>
        <v>+ 12.55</v>
      </c>
      <c r="E47" s="644"/>
      <c r="F47" s="627" t="str">
        <f>CONCATENATE("+ ",ROUND((E$46*0.08),2))</f>
        <v>+ 12.77</v>
      </c>
      <c r="G47" s="645"/>
      <c r="H47" s="627" t="str">
        <f>CONCATENATE("+ ",ROUND((G$46*0.08),2))</f>
        <v>+ 12.57</v>
      </c>
    </row>
    <row r="48" spans="1:8" ht="15" thickBot="1">
      <c r="B48" s="646" t="s">
        <v>449</v>
      </c>
      <c r="C48" s="697" t="str">
        <f>D47</f>
        <v>+ 12.55</v>
      </c>
      <c r="D48" s="632"/>
      <c r="E48" s="631" t="str">
        <f>F47</f>
        <v>+ 12.77</v>
      </c>
      <c r="F48" s="632"/>
      <c r="G48" s="631" t="str">
        <f>H47</f>
        <v>+ 12.57</v>
      </c>
      <c r="H48" s="632"/>
    </row>
    <row r="49" spans="1:9" s="392" customFormat="1" ht="15" thickBot="1">
      <c r="B49" s="647" t="s">
        <v>452</v>
      </c>
      <c r="C49" s="648">
        <f>C$46+C$48+C$44+C$45</f>
        <v>169.4710217770064</v>
      </c>
      <c r="D49" s="649">
        <f>D38+D47</f>
        <v>0.69000000000000128</v>
      </c>
      <c r="E49" s="648">
        <f>E$46+E$48+E$44+E$45</f>
        <v>172.4262205445107</v>
      </c>
      <c r="F49" s="649">
        <f>F38+F47</f>
        <v>0.69999999999999929</v>
      </c>
      <c r="G49" s="650">
        <f>G$46+G$48+G$44+G$45</f>
        <v>169.63739275731763</v>
      </c>
      <c r="H49" s="651">
        <f>H38+H47</f>
        <v>0.70000000000000107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sheetPr codeName="Sheet199">
    <tabColor rgb="FF00CC00"/>
  </sheetPr>
  <dimension ref="B2:K31"/>
  <sheetViews>
    <sheetView topLeftCell="A5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94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Nakuru!D21</f>
        <v>8.19</v>
      </c>
      <c r="E21" s="168">
        <f>Nakuru!E21</f>
        <v>8.19</v>
      </c>
      <c r="F21" s="168">
        <f>Nakuru!F21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0.63899333910540057</v>
      </c>
      <c r="E23" s="283">
        <f t="shared" ref="E23:F23" si="0">$G$23*$G$8</f>
        <v>0.63899333910540057</v>
      </c>
      <c r="F23" s="283">
        <f t="shared" si="0"/>
        <v>0.63899333910540057</v>
      </c>
      <c r="G23" s="284">
        <f>'Delivery &gt;40km-Sept 2013'!E24*I23/1000</f>
        <v>0.55085632681500052</v>
      </c>
      <c r="H23" s="262" t="s">
        <v>129</v>
      </c>
      <c r="I23" s="259">
        <v>46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157.73437918901024</v>
      </c>
      <c r="E25" s="285">
        <f>E19+E21+E23</f>
        <v>160.45795685341321</v>
      </c>
      <c r="F25" s="285">
        <f>F19+F21+F23</f>
        <v>157.89572336733079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96266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96266" r:id="rId4"/>
      </mc:Fallback>
    </mc:AlternateContent>
  </oleObjects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sheetPr codeName="Sheet200">
    <tabColor rgb="FF0070C0"/>
  </sheetPr>
  <dimension ref="A2:M68"/>
  <sheetViews>
    <sheetView topLeftCell="A22" workbookViewId="0">
      <selection activeCell="D44" sqref="D44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Kapsabet!G23</f>
        <v>0.55085632681500052</v>
      </c>
      <c r="D40" s="943"/>
      <c r="E40" s="880">
        <f>C40</f>
        <v>0.55085632681500052</v>
      </c>
      <c r="F40" s="943"/>
      <c r="G40" s="613">
        <f>C40</f>
        <v>0.55085632681500052</v>
      </c>
      <c r="H40" s="943"/>
    </row>
    <row r="41" spans="1:8" s="392" customFormat="1">
      <c r="A41" s="605"/>
      <c r="B41" s="617" t="s">
        <v>446</v>
      </c>
      <c r="C41" s="618">
        <f>SUM(C40)</f>
        <v>0.55085632681500052</v>
      </c>
      <c r="D41" s="618"/>
      <c r="E41" s="626">
        <f>SUM(E40)</f>
        <v>0.55085632681500052</v>
      </c>
      <c r="F41" s="944"/>
      <c r="G41" s="618">
        <f>SUM(G40)</f>
        <v>0.55085632681500052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168.79428617580857</v>
      </c>
      <c r="D43" s="610"/>
      <c r="E43" s="613">
        <f>E$37+E$42+E$41</f>
        <v>171.73948494331285</v>
      </c>
      <c r="F43" s="610"/>
      <c r="G43" s="236">
        <f>G$37+G$42+G$41</f>
        <v>168.9506571561198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156.93428617580855</v>
      </c>
      <c r="D46" s="610"/>
      <c r="E46" s="641">
        <f>E$43-E44-E45+F$38</f>
        <v>159.66948494331285</v>
      </c>
      <c r="F46" s="610"/>
      <c r="G46" s="642">
        <f>G$43-G44-G45+H$38</f>
        <v>157.0806571561198</v>
      </c>
      <c r="H46" s="573"/>
    </row>
    <row r="47" spans="1:8">
      <c r="B47" s="503" t="s">
        <v>445</v>
      </c>
      <c r="C47" s="644"/>
      <c r="D47" s="696" t="str">
        <f>CONCATENATE("+ ",ROUND((C$46*0.08),2))</f>
        <v>+ 12.55</v>
      </c>
      <c r="E47" s="644"/>
      <c r="F47" s="627" t="str">
        <f>CONCATENATE("+ ",ROUND((E$46*0.08),2))</f>
        <v>+ 12.77</v>
      </c>
      <c r="G47" s="645"/>
      <c r="H47" s="627" t="str">
        <f>CONCATENATE("+ ",ROUND((G$46*0.08),2))</f>
        <v>+ 12.57</v>
      </c>
    </row>
    <row r="48" spans="1:8" ht="15" thickBot="1">
      <c r="B48" s="646" t="s">
        <v>449</v>
      </c>
      <c r="C48" s="697" t="str">
        <f>D47</f>
        <v>+ 12.55</v>
      </c>
      <c r="D48" s="632"/>
      <c r="E48" s="631" t="str">
        <f>F47</f>
        <v>+ 12.77</v>
      </c>
      <c r="F48" s="632"/>
      <c r="G48" s="631" t="str">
        <f>H47</f>
        <v>+ 12.57</v>
      </c>
      <c r="H48" s="632"/>
    </row>
    <row r="49" spans="1:9" s="392" customFormat="1" ht="15" thickBot="1">
      <c r="B49" s="647" t="s">
        <v>452</v>
      </c>
      <c r="C49" s="648">
        <f>C$46+C$48+C$44+C$45</f>
        <v>169.48428617580856</v>
      </c>
      <c r="D49" s="649">
        <f>D38+D47</f>
        <v>0.69000000000000128</v>
      </c>
      <c r="E49" s="648">
        <f>E$46+E$48+E$44+E$45</f>
        <v>172.43948494331286</v>
      </c>
      <c r="F49" s="649">
        <f>F38+F47</f>
        <v>0.69999999999999929</v>
      </c>
      <c r="G49" s="650">
        <f>G$46+G$48+G$44+G$45</f>
        <v>169.65065715611979</v>
      </c>
      <c r="H49" s="651">
        <f>H38+H47</f>
        <v>0.70000000000000107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sheetPr codeName="Sheet201">
    <tabColor rgb="FF00CC00"/>
  </sheetPr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87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1.0140546468411791</v>
      </c>
      <c r="E23" s="283">
        <f t="shared" ref="E23:F23" si="0">$G$23*$G$8</f>
        <v>1.0140546468411791</v>
      </c>
      <c r="F23" s="283">
        <f t="shared" si="0"/>
        <v>1.0140546468411791</v>
      </c>
      <c r="G23" s="284">
        <f>'Delivery &gt;40km-Sept 2013'!E24*I23/1000</f>
        <v>0.87418504038032685</v>
      </c>
      <c r="H23" s="262" t="s">
        <v>129</v>
      </c>
      <c r="I23" s="259">
        <v>73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158.109440496746</v>
      </c>
      <c r="E25" s="285">
        <f>E19+E21+E23</f>
        <v>160.83301816114897</v>
      </c>
      <c r="F25" s="285">
        <f>F19+F21+F23</f>
        <v>158.27078467506655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66570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66570" r:id="rId4"/>
      </mc:Fallback>
    </mc:AlternateContent>
  </oleObjects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sheetPr codeName="Sheet202">
    <tabColor rgb="FF0070C0"/>
  </sheetPr>
  <dimension ref="A2:M68"/>
  <sheetViews>
    <sheetView topLeftCell="A31" workbookViewId="0">
      <selection activeCell="E17" sqref="E17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Kitale!G23</f>
        <v>0.87418504038032685</v>
      </c>
      <c r="D40" s="943"/>
      <c r="E40" s="880">
        <f>C40</f>
        <v>0.87418504038032685</v>
      </c>
      <c r="F40" s="943"/>
      <c r="G40" s="613">
        <f>C40</f>
        <v>0.87418504038032685</v>
      </c>
      <c r="H40" s="943"/>
    </row>
    <row r="41" spans="1:8" s="392" customFormat="1">
      <c r="A41" s="605"/>
      <c r="B41" s="617" t="s">
        <v>446</v>
      </c>
      <c r="C41" s="618">
        <f>SUM(C40)</f>
        <v>0.87418504038032685</v>
      </c>
      <c r="D41" s="618"/>
      <c r="E41" s="626">
        <f>SUM(E40)</f>
        <v>0.87418504038032685</v>
      </c>
      <c r="F41" s="944"/>
      <c r="G41" s="618">
        <f>SUM(G40)</f>
        <v>0.87418504038032685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169.1176148893739</v>
      </c>
      <c r="D43" s="610"/>
      <c r="E43" s="613">
        <f>E$37+E$42+E$41</f>
        <v>172.06281365687818</v>
      </c>
      <c r="F43" s="610"/>
      <c r="G43" s="236">
        <f>G$37+G$42+G$41</f>
        <v>169.27398586968513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157.25761488937388</v>
      </c>
      <c r="D46" s="610"/>
      <c r="E46" s="641">
        <f>E$43-E44-E45+F$38</f>
        <v>159.99281365687818</v>
      </c>
      <c r="F46" s="610"/>
      <c r="G46" s="642">
        <f>G$43-G44-G45+H$38</f>
        <v>157.40398586968513</v>
      </c>
      <c r="H46" s="573"/>
    </row>
    <row r="47" spans="1:8">
      <c r="B47" s="503" t="s">
        <v>445</v>
      </c>
      <c r="C47" s="644"/>
      <c r="D47" s="696" t="str">
        <f>CONCATENATE("+ ",ROUND((C$46*0.08),2))</f>
        <v>+ 12.58</v>
      </c>
      <c r="E47" s="644"/>
      <c r="F47" s="627" t="str">
        <f>CONCATENATE("+ ",ROUND((E$46*0.08),2))</f>
        <v>+ 12.8</v>
      </c>
      <c r="G47" s="645"/>
      <c r="H47" s="627" t="str">
        <f>CONCATENATE("+ ",ROUND((G$46*0.08),2))</f>
        <v>+ 12.59</v>
      </c>
    </row>
    <row r="48" spans="1:8" ht="15" thickBot="1">
      <c r="B48" s="646" t="s">
        <v>449</v>
      </c>
      <c r="C48" s="697" t="str">
        <f>D47</f>
        <v>+ 12.58</v>
      </c>
      <c r="D48" s="632"/>
      <c r="E48" s="631" t="str">
        <f>F47</f>
        <v>+ 12.8</v>
      </c>
      <c r="F48" s="632"/>
      <c r="G48" s="631" t="str">
        <f>H47</f>
        <v>+ 12.59</v>
      </c>
      <c r="H48" s="632"/>
    </row>
    <row r="49" spans="1:9" s="392" customFormat="1" ht="15" thickBot="1">
      <c r="B49" s="647" t="s">
        <v>452</v>
      </c>
      <c r="C49" s="648">
        <f>C$46+C$48+C$44+C$45</f>
        <v>169.8376148893739</v>
      </c>
      <c r="D49" s="649">
        <f>D38+D47</f>
        <v>0.72000000000000064</v>
      </c>
      <c r="E49" s="648">
        <f>E$46+E$48+E$44+E$45</f>
        <v>172.7928136568782</v>
      </c>
      <c r="F49" s="649">
        <f>F38+F47</f>
        <v>0.73000000000000043</v>
      </c>
      <c r="G49" s="650">
        <f>G$46+G$48+G$44+G$45</f>
        <v>169.99398586968513</v>
      </c>
      <c r="H49" s="651">
        <f>H38+H47</f>
        <v>0.72000000000000064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sheetPr codeName="Sheet203">
    <tabColor rgb="FF00CC00"/>
  </sheetPr>
  <dimension ref="B2:K31"/>
  <sheetViews>
    <sheetView topLeftCell="B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139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1.6947214645838884</v>
      </c>
      <c r="E23" s="283">
        <f t="shared" ref="E23:F23" si="0">$G$23*$G$8</f>
        <v>1.6947214645838884</v>
      </c>
      <c r="F23" s="283">
        <f t="shared" si="0"/>
        <v>1.6947214645838884</v>
      </c>
      <c r="G23" s="284">
        <f>'Delivery &gt;40km-Sept 2013'!E24*I23/1000</f>
        <v>1.4609667798136969</v>
      </c>
      <c r="H23" s="262" t="s">
        <v>129</v>
      </c>
      <c r="I23" s="259">
        <v>122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158.79010731448872</v>
      </c>
      <c r="E25" s="285">
        <f>E19+E21+E23</f>
        <v>161.51368497889169</v>
      </c>
      <c r="F25" s="285">
        <f>F19+F21+F23</f>
        <v>158.95145149280927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48490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148490" r:id="rId4"/>
      </mc:Fallback>
    </mc:AlternateContent>
  </oleObjects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sheetPr codeName="Sheet204">
    <tabColor rgb="FF0070C0"/>
  </sheetPr>
  <dimension ref="A2:M68"/>
  <sheetViews>
    <sheetView topLeftCell="A31" workbookViewId="0">
      <selection activeCell="F43" sqref="F43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Kapenguria!G23</f>
        <v>1.4609667798136969</v>
      </c>
      <c r="D40" s="943"/>
      <c r="E40" s="880">
        <f>C40</f>
        <v>1.4609667798136969</v>
      </c>
      <c r="F40" s="943"/>
      <c r="G40" s="613">
        <f>C40</f>
        <v>1.4609667798136969</v>
      </c>
      <c r="H40" s="943"/>
    </row>
    <row r="41" spans="1:8" s="392" customFormat="1">
      <c r="A41" s="605"/>
      <c r="B41" s="617" t="s">
        <v>446</v>
      </c>
      <c r="C41" s="618">
        <f>SUM(C40)</f>
        <v>1.4609667798136969</v>
      </c>
      <c r="D41" s="618"/>
      <c r="E41" s="626">
        <f>SUM(E40)</f>
        <v>1.4609667798136969</v>
      </c>
      <c r="F41" s="944"/>
      <c r="G41" s="618">
        <f>SUM(G40)</f>
        <v>1.4609667798136969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169.70439662880727</v>
      </c>
      <c r="D43" s="610"/>
      <c r="E43" s="613">
        <f>E$37+E$42+E$41</f>
        <v>172.64959539631155</v>
      </c>
      <c r="F43" s="610"/>
      <c r="G43" s="236">
        <f>G$37+G$42+G$41</f>
        <v>169.86076760911851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157.84439662880726</v>
      </c>
      <c r="D46" s="610"/>
      <c r="E46" s="641">
        <f>E$43-E44-E45+F$38</f>
        <v>160.57959539631156</v>
      </c>
      <c r="F46" s="610"/>
      <c r="G46" s="642">
        <f>G$43-G44-G45+H$38</f>
        <v>157.99076760911851</v>
      </c>
      <c r="H46" s="573"/>
    </row>
    <row r="47" spans="1:8">
      <c r="B47" s="503" t="s">
        <v>445</v>
      </c>
      <c r="C47" s="644"/>
      <c r="D47" s="696" t="str">
        <f>CONCATENATE("+ ",ROUND((C$46*0.08),2))</f>
        <v>+ 12.63</v>
      </c>
      <c r="E47" s="644"/>
      <c r="F47" s="627" t="str">
        <f>CONCATENATE("+ ",ROUND((E$46*0.08),2))</f>
        <v>+ 12.85</v>
      </c>
      <c r="G47" s="645"/>
      <c r="H47" s="627" t="str">
        <f>CONCATENATE("+ ",ROUND((G$46*0.08),2))</f>
        <v>+ 12.64</v>
      </c>
    </row>
    <row r="48" spans="1:8" ht="15" thickBot="1">
      <c r="B48" s="646" t="s">
        <v>449</v>
      </c>
      <c r="C48" s="697" t="str">
        <f>D47</f>
        <v>+ 12.63</v>
      </c>
      <c r="D48" s="632"/>
      <c r="E48" s="631" t="str">
        <f>F47</f>
        <v>+ 12.85</v>
      </c>
      <c r="F48" s="632"/>
      <c r="G48" s="631" t="str">
        <f>H47</f>
        <v>+ 12.64</v>
      </c>
      <c r="H48" s="632"/>
    </row>
    <row r="49" spans="1:9" s="392" customFormat="1" ht="15" thickBot="1">
      <c r="B49" s="647" t="s">
        <v>452</v>
      </c>
      <c r="C49" s="648">
        <f>C$46+C$48+C$44+C$45</f>
        <v>170.47439662880726</v>
      </c>
      <c r="D49" s="649">
        <f>D38+D47</f>
        <v>0.77000000000000135</v>
      </c>
      <c r="E49" s="648">
        <f>E$46+E$48+E$44+E$45</f>
        <v>173.42959539631156</v>
      </c>
      <c r="F49" s="649">
        <f>F38+F47</f>
        <v>0.77999999999999936</v>
      </c>
      <c r="G49" s="650">
        <f>G$46+G$48+G$44+G$45</f>
        <v>170.63076760911849</v>
      </c>
      <c r="H49" s="651">
        <f>H38+H47</f>
        <v>0.77000000000000135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sheetPr codeName="Sheet205">
    <tabColor rgb="FF00CC00"/>
  </sheetPr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72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1.4446805927600361</v>
      </c>
      <c r="E23" s="283">
        <f t="shared" ref="E23:F23" si="0">$G$23*$G$8</f>
        <v>1.4446805927600361</v>
      </c>
      <c r="F23" s="283">
        <f t="shared" si="0"/>
        <v>1.4446805927600361</v>
      </c>
      <c r="G23" s="284">
        <f>'Delivery &gt;40km-Sept 2013'!E24*I23/1000</f>
        <v>1.2454143041034795</v>
      </c>
      <c r="H23" s="262" t="s">
        <v>129</v>
      </c>
      <c r="I23" s="259">
        <v>104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158.54006644266485</v>
      </c>
      <c r="E25" s="285">
        <f>E19+E21+E23</f>
        <v>161.26364410706782</v>
      </c>
      <c r="F25" s="285">
        <f>F19+F21+F23</f>
        <v>158.7014106209854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46090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46090" r:id="rId4"/>
      </mc:Fallback>
    </mc:AlternateContent>
  </oleObjects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 codeName="Sheet206">
    <tabColor rgb="FF0070C0"/>
  </sheetPr>
  <dimension ref="A2:M68"/>
  <sheetViews>
    <sheetView topLeftCell="A34" workbookViewId="0">
      <selection activeCell="E59" sqref="E59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Bungoma!G23</f>
        <v>1.2454143041034795</v>
      </c>
      <c r="D40" s="943"/>
      <c r="E40" s="880">
        <f>C40</f>
        <v>1.2454143041034795</v>
      </c>
      <c r="F40" s="943"/>
      <c r="G40" s="613">
        <f>C40</f>
        <v>1.2454143041034795</v>
      </c>
      <c r="H40" s="943"/>
    </row>
    <row r="41" spans="1:8" s="392" customFormat="1">
      <c r="A41" s="605"/>
      <c r="B41" s="617" t="s">
        <v>446</v>
      </c>
      <c r="C41" s="618">
        <f>SUM(C40)</f>
        <v>1.2454143041034795</v>
      </c>
      <c r="D41" s="618"/>
      <c r="E41" s="626">
        <f>SUM(E40)</f>
        <v>1.2454143041034795</v>
      </c>
      <c r="F41" s="944"/>
      <c r="G41" s="618">
        <f>SUM(G40)</f>
        <v>1.2454143041034795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169.48884415309706</v>
      </c>
      <c r="D43" s="610"/>
      <c r="E43" s="613">
        <f>E$37+E$42+E$41</f>
        <v>172.43404292060134</v>
      </c>
      <c r="F43" s="610"/>
      <c r="G43" s="236">
        <f>G$37+G$42+G$41</f>
        <v>169.6452151334083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157.62884415309708</v>
      </c>
      <c r="D46" s="610"/>
      <c r="E46" s="641">
        <f>E$43-E44-E45+F$38</f>
        <v>160.36404292060135</v>
      </c>
      <c r="F46" s="610"/>
      <c r="G46" s="642">
        <f>G$43-G44-G45+H$38</f>
        <v>157.7752151334083</v>
      </c>
      <c r="H46" s="573"/>
    </row>
    <row r="47" spans="1:8">
      <c r="B47" s="503" t="s">
        <v>445</v>
      </c>
      <c r="C47" s="644"/>
      <c r="D47" s="696" t="str">
        <f>CONCATENATE("+ ",ROUND((C$46*0.08),2))</f>
        <v>+ 12.61</v>
      </c>
      <c r="E47" s="644"/>
      <c r="F47" s="627" t="str">
        <f>CONCATENATE("+ ",ROUND((E$46*0.08),2))</f>
        <v>+ 12.83</v>
      </c>
      <c r="G47" s="645"/>
      <c r="H47" s="627" t="str">
        <f>CONCATENATE("+ ",ROUND((G$46*0.08),2))</f>
        <v>+ 12.62</v>
      </c>
    </row>
    <row r="48" spans="1:8" ht="15" thickBot="1">
      <c r="B48" s="646" t="s">
        <v>449</v>
      </c>
      <c r="C48" s="697" t="str">
        <f>D47</f>
        <v>+ 12.61</v>
      </c>
      <c r="D48" s="632"/>
      <c r="E48" s="631" t="str">
        <f>F47</f>
        <v>+ 12.83</v>
      </c>
      <c r="F48" s="632"/>
      <c r="G48" s="631" t="str">
        <f>H47</f>
        <v>+ 12.62</v>
      </c>
      <c r="H48" s="632"/>
    </row>
    <row r="49" spans="1:9" s="392" customFormat="1" ht="15" thickBot="1">
      <c r="B49" s="647" t="s">
        <v>452</v>
      </c>
      <c r="C49" s="648">
        <f>C$46+C$48+C$44+C$45</f>
        <v>170.23884415309709</v>
      </c>
      <c r="D49" s="649">
        <f>D38+D47</f>
        <v>0.75</v>
      </c>
      <c r="E49" s="648">
        <f>E$46+E$48+E$44+E$45</f>
        <v>173.19404292060136</v>
      </c>
      <c r="F49" s="649">
        <f>F38+F47</f>
        <v>0.75999999999999979</v>
      </c>
      <c r="G49" s="650">
        <f>G$46+G$48+G$44+G$45</f>
        <v>170.3952151334083</v>
      </c>
      <c r="H49" s="651">
        <f>H38+H47</f>
        <v>0.75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sheetPr codeName="Sheet207">
    <tabColor rgb="FF00CC00"/>
  </sheetPr>
  <dimension ref="B2:K31"/>
  <sheetViews>
    <sheetView topLeftCell="A14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72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0.63899333910540057</v>
      </c>
      <c r="E23" s="283">
        <f t="shared" ref="E23:F23" si="0">$G$23*$G$8</f>
        <v>0.63899333910540057</v>
      </c>
      <c r="F23" s="283">
        <f t="shared" si="0"/>
        <v>0.63899333910540057</v>
      </c>
      <c r="G23" s="284">
        <f>'Delivery &gt;40km-Sept 2013'!E24*I23/1000</f>
        <v>0.55085632681500052</v>
      </c>
      <c r="H23" s="262" t="s">
        <v>129</v>
      </c>
      <c r="I23" s="259">
        <v>46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157.73437918901024</v>
      </c>
      <c r="E25" s="285">
        <f>E19+E21+E23</f>
        <v>160.45795685341321</v>
      </c>
      <c r="F25" s="285">
        <f>F19+F21+F23</f>
        <v>157.89572336733079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sheetPr codeName="Sheet208">
    <tabColor rgb="FF0000FF"/>
  </sheetPr>
  <dimension ref="A2:M68"/>
  <sheetViews>
    <sheetView topLeftCell="A22" workbookViewId="0">
      <selection activeCell="E61" sqref="E6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Moiben!G23</f>
        <v>0.55085632681500052</v>
      </c>
      <c r="D40" s="943"/>
      <c r="E40" s="880">
        <f>C40</f>
        <v>0.55085632681500052</v>
      </c>
      <c r="F40" s="943"/>
      <c r="G40" s="613">
        <f>C40</f>
        <v>0.55085632681500052</v>
      </c>
      <c r="H40" s="943"/>
    </row>
    <row r="41" spans="1:8" s="392" customFormat="1">
      <c r="A41" s="605"/>
      <c r="B41" s="617" t="s">
        <v>446</v>
      </c>
      <c r="C41" s="618">
        <f>SUM(C40)</f>
        <v>0.55085632681500052</v>
      </c>
      <c r="D41" s="618"/>
      <c r="E41" s="626">
        <f>SUM(E40)</f>
        <v>0.55085632681500052</v>
      </c>
      <c r="F41" s="944"/>
      <c r="G41" s="618">
        <f>SUM(G40)</f>
        <v>0.55085632681500052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168.79428617580857</v>
      </c>
      <c r="D43" s="610"/>
      <c r="E43" s="613">
        <f>E$37+E$42+E$41</f>
        <v>171.73948494331285</v>
      </c>
      <c r="F43" s="610"/>
      <c r="G43" s="236">
        <f>G$37+G$42+G$41</f>
        <v>168.9506571561198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156.93428617580855</v>
      </c>
      <c r="D46" s="610"/>
      <c r="E46" s="641">
        <f>E$43-E44-E45+F$38</f>
        <v>159.66948494331285</v>
      </c>
      <c r="F46" s="610"/>
      <c r="G46" s="642">
        <f>G$43-G44-G45+H$38</f>
        <v>157.0806571561198</v>
      </c>
      <c r="H46" s="573"/>
    </row>
    <row r="47" spans="1:8">
      <c r="B47" s="503" t="s">
        <v>445</v>
      </c>
      <c r="C47" s="644"/>
      <c r="D47" s="696" t="str">
        <f>CONCATENATE("+ ",ROUND((C$46*0.08),2))</f>
        <v>+ 12.55</v>
      </c>
      <c r="E47" s="644"/>
      <c r="F47" s="627" t="str">
        <f>CONCATENATE("+ ",ROUND((E$46*0.08),2))</f>
        <v>+ 12.77</v>
      </c>
      <c r="G47" s="645"/>
      <c r="H47" s="627" t="str">
        <f>CONCATENATE("+ ",ROUND((G$46*0.08),2))</f>
        <v>+ 12.57</v>
      </c>
    </row>
    <row r="48" spans="1:8" ht="15" thickBot="1">
      <c r="B48" s="646" t="s">
        <v>449</v>
      </c>
      <c r="C48" s="697" t="str">
        <f>D47</f>
        <v>+ 12.55</v>
      </c>
      <c r="D48" s="632"/>
      <c r="E48" s="631" t="str">
        <f>F47</f>
        <v>+ 12.77</v>
      </c>
      <c r="F48" s="632"/>
      <c r="G48" s="631" t="str">
        <f>H47</f>
        <v>+ 12.57</v>
      </c>
      <c r="H48" s="632"/>
    </row>
    <row r="49" spans="1:9" s="392" customFormat="1" ht="15" thickBot="1">
      <c r="B49" s="647" t="s">
        <v>452</v>
      </c>
      <c r="C49" s="648">
        <f>C$46+C$48+C$44+C$45</f>
        <v>169.48428617580856</v>
      </c>
      <c r="D49" s="649">
        <f>D38+D47</f>
        <v>0.69000000000000128</v>
      </c>
      <c r="E49" s="648">
        <f>E$46+E$48+E$44+E$45</f>
        <v>172.43948494331286</v>
      </c>
      <c r="F49" s="649">
        <f>F38+F47</f>
        <v>0.69999999999999929</v>
      </c>
      <c r="G49" s="650">
        <f>G$46+G$48+G$44+G$45</f>
        <v>169.65065715611979</v>
      </c>
      <c r="H49" s="651">
        <f>H38+H47</f>
        <v>0.70000000000000107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sheetPr codeName="Sheet209">
    <tabColor rgb="FF00CC00"/>
  </sheetPr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72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0.61121102001386129</v>
      </c>
      <c r="E23" s="283">
        <f t="shared" ref="E23:F23" si="0">$G$23*$G$8</f>
        <v>0.61121102001386129</v>
      </c>
      <c r="F23" s="283">
        <f t="shared" si="0"/>
        <v>0.61121102001386129</v>
      </c>
      <c r="G23" s="284">
        <f>'Delivery &gt;40km-Sept 2013'!E24*I23/1000</f>
        <v>0.5269060517360874</v>
      </c>
      <c r="H23" s="262" t="s">
        <v>129</v>
      </c>
      <c r="I23" s="259">
        <v>44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157.70659686991868</v>
      </c>
      <c r="E25" s="285">
        <f>E19+E21+E23</f>
        <v>160.43017453432165</v>
      </c>
      <c r="F25" s="285">
        <f>F19+F21+F23</f>
        <v>157.86794104823923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sheetPr codeName="Sheet210">
    <tabColor rgb="FF0000FF"/>
  </sheetPr>
  <dimension ref="A2:M68"/>
  <sheetViews>
    <sheetView topLeftCell="A22" workbookViewId="0">
      <selection activeCell="E42" sqref="E42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Matunda!G23</f>
        <v>0.5269060517360874</v>
      </c>
      <c r="D40" s="943"/>
      <c r="E40" s="880">
        <f>C40</f>
        <v>0.5269060517360874</v>
      </c>
      <c r="F40" s="943"/>
      <c r="G40" s="613">
        <f>C40</f>
        <v>0.5269060517360874</v>
      </c>
      <c r="H40" s="943"/>
    </row>
    <row r="41" spans="1:8" s="392" customFormat="1">
      <c r="A41" s="605"/>
      <c r="B41" s="617" t="s">
        <v>446</v>
      </c>
      <c r="C41" s="618">
        <f>SUM(C40)</f>
        <v>0.5269060517360874</v>
      </c>
      <c r="D41" s="618"/>
      <c r="E41" s="626">
        <f>SUM(E40)</f>
        <v>0.5269060517360874</v>
      </c>
      <c r="F41" s="944"/>
      <c r="G41" s="618">
        <f>SUM(G40)</f>
        <v>0.5269060517360874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168.77033590072966</v>
      </c>
      <c r="D43" s="610"/>
      <c r="E43" s="613">
        <f>E$37+E$42+E$41</f>
        <v>171.71553466823394</v>
      </c>
      <c r="F43" s="610"/>
      <c r="G43" s="236">
        <f>G$37+G$42+G$41</f>
        <v>168.9267068810409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156.91033590072965</v>
      </c>
      <c r="D46" s="610"/>
      <c r="E46" s="641">
        <f>E$43-E44-E45+F$38</f>
        <v>159.64553466823395</v>
      </c>
      <c r="F46" s="610"/>
      <c r="G46" s="642">
        <f>G$43-G44-G45+H$38</f>
        <v>157.0567068810409</v>
      </c>
      <c r="H46" s="573"/>
    </row>
    <row r="47" spans="1:8">
      <c r="B47" s="503" t="s">
        <v>445</v>
      </c>
      <c r="C47" s="644"/>
      <c r="D47" s="696" t="str">
        <f>CONCATENATE("+ ",ROUND((C$46*0.08),2))</f>
        <v>+ 12.55</v>
      </c>
      <c r="E47" s="644"/>
      <c r="F47" s="627" t="str">
        <f>CONCATENATE("+ ",ROUND((E$46*0.08),2))</f>
        <v>+ 12.77</v>
      </c>
      <c r="G47" s="645"/>
      <c r="H47" s="627" t="str">
        <f>CONCATENATE("+ ",ROUND((G$46*0.08),2))</f>
        <v>+ 12.56</v>
      </c>
    </row>
    <row r="48" spans="1:8" ht="15" thickBot="1">
      <c r="B48" s="646" t="s">
        <v>449</v>
      </c>
      <c r="C48" s="697" t="str">
        <f>D47</f>
        <v>+ 12.55</v>
      </c>
      <c r="D48" s="632"/>
      <c r="E48" s="631" t="str">
        <f>F47</f>
        <v>+ 12.77</v>
      </c>
      <c r="F48" s="632"/>
      <c r="G48" s="631" t="str">
        <f>H47</f>
        <v>+ 12.56</v>
      </c>
      <c r="H48" s="632"/>
    </row>
    <row r="49" spans="1:9" s="392" customFormat="1" ht="15" thickBot="1">
      <c r="B49" s="647" t="s">
        <v>452</v>
      </c>
      <c r="C49" s="648">
        <f>C$46+C$48+C$44+C$45</f>
        <v>169.46033590072966</v>
      </c>
      <c r="D49" s="649">
        <f>D38+D47</f>
        <v>0.69000000000000128</v>
      </c>
      <c r="E49" s="648">
        <f>E$46+E$48+E$44+E$45</f>
        <v>172.41553466823396</v>
      </c>
      <c r="F49" s="649">
        <f>F38+F47</f>
        <v>0.69999999999999929</v>
      </c>
      <c r="G49" s="650">
        <f>G$46+G$48+G$44+G$45</f>
        <v>169.6167068810409</v>
      </c>
      <c r="H49" s="651">
        <f>H38+H47</f>
        <v>0.69000000000000128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sheetPr codeName="Sheet211">
    <tabColor rgb="FF00CC00"/>
  </sheetPr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72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0.56953754137655266</v>
      </c>
      <c r="E23" s="283">
        <f t="shared" ref="E23:F23" si="0">$G$23*$G$8</f>
        <v>0.56953754137655266</v>
      </c>
      <c r="F23" s="283">
        <f t="shared" si="0"/>
        <v>0.56953754137655266</v>
      </c>
      <c r="G23" s="284">
        <f>'Delivery &gt;40km-Sept 2013'!E24*I23/1000</f>
        <v>0.49098063911771783</v>
      </c>
      <c r="H23" s="262" t="s">
        <v>129</v>
      </c>
      <c r="I23" s="259">
        <v>41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157.66492339128138</v>
      </c>
      <c r="E25" s="285">
        <f>E19+E21+E23</f>
        <v>160.38850105568434</v>
      </c>
      <c r="F25" s="285">
        <f>F19+F21+F23</f>
        <v>157.82626756960192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sheetPr codeName="Sheet212">
    <tabColor rgb="FF0000FF"/>
  </sheetPr>
  <dimension ref="A2:M68"/>
  <sheetViews>
    <sheetView topLeftCell="A25" workbookViewId="0">
      <selection activeCell="D59" sqref="D59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'Burnt Forest'!G23</f>
        <v>0.49098063911771783</v>
      </c>
      <c r="D40" s="943"/>
      <c r="E40" s="880">
        <f>C40</f>
        <v>0.49098063911771783</v>
      </c>
      <c r="F40" s="943"/>
      <c r="G40" s="613">
        <f>C40</f>
        <v>0.49098063911771783</v>
      </c>
      <c r="H40" s="943"/>
    </row>
    <row r="41" spans="1:8" s="392" customFormat="1">
      <c r="A41" s="605"/>
      <c r="B41" s="617" t="s">
        <v>446</v>
      </c>
      <c r="C41" s="618">
        <f>SUM(C40)</f>
        <v>0.49098063911771783</v>
      </c>
      <c r="D41" s="618"/>
      <c r="E41" s="626">
        <f>SUM(E40)</f>
        <v>0.49098063911771783</v>
      </c>
      <c r="F41" s="944"/>
      <c r="G41" s="618">
        <f>SUM(G40)</f>
        <v>0.49098063911771783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168.73441048811128</v>
      </c>
      <c r="D43" s="610"/>
      <c r="E43" s="613">
        <f>E$37+E$42+E$41</f>
        <v>171.67960925561556</v>
      </c>
      <c r="F43" s="610"/>
      <c r="G43" s="236">
        <f>G$37+G$42+G$41</f>
        <v>168.89078146842252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156.87441048811127</v>
      </c>
      <c r="D46" s="610"/>
      <c r="E46" s="641">
        <f>E$43-E44-E45+F$38</f>
        <v>159.60960925561557</v>
      </c>
      <c r="F46" s="610"/>
      <c r="G46" s="642">
        <f>G$43-G44-G45+H$38</f>
        <v>157.02078146842251</v>
      </c>
      <c r="H46" s="573"/>
    </row>
    <row r="47" spans="1:8">
      <c r="B47" s="503" t="s">
        <v>445</v>
      </c>
      <c r="C47" s="644"/>
      <c r="D47" s="696" t="str">
        <f>CONCATENATE("+ ",ROUND((C$46*0.08),2))</f>
        <v>+ 12.55</v>
      </c>
      <c r="E47" s="644"/>
      <c r="F47" s="627" t="str">
        <f>CONCATENATE("+ ",ROUND((E$46*0.08),2))</f>
        <v>+ 12.77</v>
      </c>
      <c r="G47" s="645"/>
      <c r="H47" s="627" t="str">
        <f>CONCATENATE("+ ",ROUND((G$46*0.08),2))</f>
        <v>+ 12.56</v>
      </c>
    </row>
    <row r="48" spans="1:8" ht="15" thickBot="1">
      <c r="B48" s="646" t="s">
        <v>449</v>
      </c>
      <c r="C48" s="697" t="str">
        <f>D47</f>
        <v>+ 12.55</v>
      </c>
      <c r="D48" s="632"/>
      <c r="E48" s="631" t="str">
        <f>F47</f>
        <v>+ 12.77</v>
      </c>
      <c r="F48" s="632"/>
      <c r="G48" s="631" t="str">
        <f>H47</f>
        <v>+ 12.56</v>
      </c>
      <c r="H48" s="632"/>
    </row>
    <row r="49" spans="1:9" s="392" customFormat="1" ht="15" thickBot="1">
      <c r="B49" s="647" t="s">
        <v>452</v>
      </c>
      <c r="C49" s="648">
        <f>C$46+C$48+C$44+C$45</f>
        <v>169.42441048811128</v>
      </c>
      <c r="D49" s="649">
        <f>D38+D47</f>
        <v>0.69000000000000128</v>
      </c>
      <c r="E49" s="648">
        <f>E$46+E$48+E$44+E$45</f>
        <v>172.37960925561558</v>
      </c>
      <c r="F49" s="649">
        <f>F38+F47</f>
        <v>0.69999999999999929</v>
      </c>
      <c r="G49" s="650">
        <f>G$46+G$48+G$44+G$45</f>
        <v>169.58078146842251</v>
      </c>
      <c r="H49" s="651">
        <f>H38+H47</f>
        <v>0.69000000000000128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sheetPr codeName="Sheet213">
    <tabColor rgb="FF00CC00"/>
  </sheetPr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72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0.66677565819693962</v>
      </c>
      <c r="E23" s="283">
        <f t="shared" ref="E23:F23" si="0">$G$23*$G$8</f>
        <v>0.66677565819693962</v>
      </c>
      <c r="F23" s="283">
        <f t="shared" si="0"/>
        <v>0.66677565819693962</v>
      </c>
      <c r="G23" s="284">
        <f>'Delivery &gt;40km-Sept 2013'!E24*I23/1000</f>
        <v>0.57480660189391353</v>
      </c>
      <c r="H23" s="262" t="s">
        <v>129</v>
      </c>
      <c r="I23" s="259">
        <v>48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157.76216150810177</v>
      </c>
      <c r="E25" s="285">
        <f>E19+E21+E23</f>
        <v>160.48573917250474</v>
      </c>
      <c r="F25" s="285">
        <f>F19+F21+F23</f>
        <v>157.92350568642232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sheetPr codeName="Sheet214">
    <tabColor rgb="FF0000FF"/>
  </sheetPr>
  <dimension ref="A2:M68"/>
  <sheetViews>
    <sheetView topLeftCell="A22" workbookViewId="0">
      <selection activeCell="F60" sqref="F60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Tambach!G23</f>
        <v>0.57480660189391353</v>
      </c>
      <c r="D40" s="943"/>
      <c r="E40" s="880">
        <f>C40</f>
        <v>0.57480660189391353</v>
      </c>
      <c r="F40" s="943"/>
      <c r="G40" s="613">
        <f>C40</f>
        <v>0.57480660189391353</v>
      </c>
      <c r="H40" s="943"/>
    </row>
    <row r="41" spans="1:8" s="392" customFormat="1">
      <c r="A41" s="605"/>
      <c r="B41" s="617" t="s">
        <v>446</v>
      </c>
      <c r="C41" s="618">
        <f>SUM(C40)</f>
        <v>0.57480660189391353</v>
      </c>
      <c r="D41" s="618"/>
      <c r="E41" s="626">
        <f>SUM(E40)</f>
        <v>0.57480660189391353</v>
      </c>
      <c r="F41" s="944"/>
      <c r="G41" s="618">
        <f>SUM(G40)</f>
        <v>0.57480660189391353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168.8182364508875</v>
      </c>
      <c r="D43" s="610"/>
      <c r="E43" s="613">
        <f>E$37+E$42+E$41</f>
        <v>171.76343521839178</v>
      </c>
      <c r="F43" s="610"/>
      <c r="G43" s="236">
        <f>G$37+G$42+G$41</f>
        <v>168.97460743119873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156.95823645088751</v>
      </c>
      <c r="D46" s="610"/>
      <c r="E46" s="641">
        <f>E$43-E44-E45+F$38</f>
        <v>159.69343521839178</v>
      </c>
      <c r="F46" s="610"/>
      <c r="G46" s="642">
        <f>G$43-G44-G45+H$38</f>
        <v>157.10460743119873</v>
      </c>
      <c r="H46" s="573"/>
    </row>
    <row r="47" spans="1:8">
      <c r="B47" s="503" t="s">
        <v>445</v>
      </c>
      <c r="C47" s="644"/>
      <c r="D47" s="696" t="str">
        <f>CONCATENATE("+ ",ROUND((C$46*0.08),2))</f>
        <v>+ 12.56</v>
      </c>
      <c r="E47" s="644"/>
      <c r="F47" s="627" t="str">
        <f>CONCATENATE("+ ",ROUND((E$46*0.08),2))</f>
        <v>+ 12.78</v>
      </c>
      <c r="G47" s="645"/>
      <c r="H47" s="627" t="str">
        <f>CONCATENATE("+ ",ROUND((G$46*0.08),2))</f>
        <v>+ 12.57</v>
      </c>
    </row>
    <row r="48" spans="1:8" ht="15" thickBot="1">
      <c r="B48" s="646" t="s">
        <v>449</v>
      </c>
      <c r="C48" s="697" t="str">
        <f>D47</f>
        <v>+ 12.56</v>
      </c>
      <c r="D48" s="632"/>
      <c r="E48" s="631" t="str">
        <f>F47</f>
        <v>+ 12.78</v>
      </c>
      <c r="F48" s="632"/>
      <c r="G48" s="631" t="str">
        <f>H47</f>
        <v>+ 12.57</v>
      </c>
      <c r="H48" s="632"/>
    </row>
    <row r="49" spans="1:9" s="392" customFormat="1" ht="15" thickBot="1">
      <c r="B49" s="647" t="s">
        <v>452</v>
      </c>
      <c r="C49" s="648">
        <f>C$46+C$48+C$44+C$45</f>
        <v>169.51823645088751</v>
      </c>
      <c r="D49" s="649">
        <f>D38+D47</f>
        <v>0.70000000000000107</v>
      </c>
      <c r="E49" s="648">
        <f>E$46+E$48+E$44+E$45</f>
        <v>172.47343521839178</v>
      </c>
      <c r="F49" s="649">
        <f>F38+F47</f>
        <v>0.70999999999999908</v>
      </c>
      <c r="G49" s="650">
        <f>G$46+G$48+G$44+G$45</f>
        <v>169.67460743119872</v>
      </c>
      <c r="H49" s="651">
        <f>H38+H47</f>
        <v>0.70000000000000107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sheetPr codeName="Sheet215">
    <tabColor rgb="FF00CC00"/>
  </sheetPr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72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1.1668574018446445</v>
      </c>
      <c r="E23" s="283">
        <f t="shared" ref="E23:F23" si="0">$G$23*$G$8</f>
        <v>1.1668574018446445</v>
      </c>
      <c r="F23" s="283">
        <f t="shared" si="0"/>
        <v>1.1668574018446445</v>
      </c>
      <c r="G23" s="284">
        <f>'Delivery &gt;40km-Sept 2013'!E24*I23/1000</f>
        <v>1.0059115533143488</v>
      </c>
      <c r="H23" s="262" t="s">
        <v>129</v>
      </c>
      <c r="I23" s="259">
        <v>84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158.26224325174948</v>
      </c>
      <c r="E25" s="285">
        <f>E19+E21+E23</f>
        <v>160.98582091615245</v>
      </c>
      <c r="F25" s="285">
        <f>F19+F21+F23</f>
        <v>158.42358743007003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sheetPr codeName="Sheet216">
    <tabColor rgb="FF0000FF"/>
  </sheetPr>
  <dimension ref="A2:M68"/>
  <sheetViews>
    <sheetView topLeftCell="A22" workbookViewId="0">
      <selection activeCell="F44" sqref="F44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Kapsowar!G23</f>
        <v>1.0059115533143488</v>
      </c>
      <c r="D40" s="943"/>
      <c r="E40" s="880">
        <f>C40</f>
        <v>1.0059115533143488</v>
      </c>
      <c r="F40" s="943"/>
      <c r="G40" s="613">
        <f>C40</f>
        <v>1.0059115533143488</v>
      </c>
      <c r="H40" s="943"/>
    </row>
    <row r="41" spans="1:8" s="392" customFormat="1">
      <c r="A41" s="605"/>
      <c r="B41" s="617" t="s">
        <v>446</v>
      </c>
      <c r="C41" s="618">
        <f>SUM(C40)</f>
        <v>1.0059115533143488</v>
      </c>
      <c r="D41" s="618"/>
      <c r="E41" s="626">
        <f>SUM(E40)</f>
        <v>1.0059115533143488</v>
      </c>
      <c r="F41" s="944"/>
      <c r="G41" s="618">
        <f>SUM(G40)</f>
        <v>1.0059115533143488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169.24934140230792</v>
      </c>
      <c r="D43" s="610"/>
      <c r="E43" s="613">
        <f>E$37+E$42+E$41</f>
        <v>172.1945401698122</v>
      </c>
      <c r="F43" s="610"/>
      <c r="G43" s="236">
        <f>G$37+G$42+G$41</f>
        <v>169.40571238261916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157.38934140230793</v>
      </c>
      <c r="D46" s="610"/>
      <c r="E46" s="641">
        <f>E$43-E44-E45+F$38</f>
        <v>160.12454016981221</v>
      </c>
      <c r="F46" s="610"/>
      <c r="G46" s="642">
        <f>G$43-G44-G45+H$38</f>
        <v>157.53571238261915</v>
      </c>
      <c r="H46" s="573"/>
    </row>
    <row r="47" spans="1:8">
      <c r="B47" s="503" t="s">
        <v>445</v>
      </c>
      <c r="C47" s="644"/>
      <c r="D47" s="696" t="str">
        <f>CONCATENATE("+ ",ROUND((C$46*0.08),2))</f>
        <v>+ 12.59</v>
      </c>
      <c r="E47" s="644"/>
      <c r="F47" s="627" t="str">
        <f>CONCATENATE("+ ",ROUND((E$46*0.08),2))</f>
        <v>+ 12.81</v>
      </c>
      <c r="G47" s="645"/>
      <c r="H47" s="627" t="str">
        <f>CONCATENATE("+ ",ROUND((G$46*0.08),2))</f>
        <v>+ 12.6</v>
      </c>
    </row>
    <row r="48" spans="1:8" ht="15" thickBot="1">
      <c r="B48" s="646" t="s">
        <v>449</v>
      </c>
      <c r="C48" s="697" t="str">
        <f>D47</f>
        <v>+ 12.59</v>
      </c>
      <c r="D48" s="632"/>
      <c r="E48" s="631" t="str">
        <f>F47</f>
        <v>+ 12.81</v>
      </c>
      <c r="F48" s="632"/>
      <c r="G48" s="631" t="str">
        <f>H47</f>
        <v>+ 12.6</v>
      </c>
      <c r="H48" s="632"/>
    </row>
    <row r="49" spans="1:9" s="392" customFormat="1" ht="15" thickBot="1">
      <c r="B49" s="647" t="s">
        <v>452</v>
      </c>
      <c r="C49" s="648">
        <f>C$46+C$48+C$44+C$45</f>
        <v>169.97934140230794</v>
      </c>
      <c r="D49" s="649">
        <f>D38+D47</f>
        <v>0.73000000000000043</v>
      </c>
      <c r="E49" s="648">
        <f>E$46+E$48+E$44+E$45</f>
        <v>172.93454016981221</v>
      </c>
      <c r="F49" s="649">
        <f>F38+F47</f>
        <v>0.74000000000000021</v>
      </c>
      <c r="G49" s="650">
        <f>G$46+G$48+G$44+G$45</f>
        <v>170.13571238261915</v>
      </c>
      <c r="H49" s="651">
        <f>H38+H47</f>
        <v>0.73000000000000043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sheetPr codeName="Sheet217">
    <tabColor rgb="FF00CC00"/>
  </sheetPr>
  <dimension ref="B2:K31"/>
  <sheetViews>
    <sheetView topLeftCell="A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72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1.0418369659327182</v>
      </c>
      <c r="E23" s="283">
        <f t="shared" ref="E23:F23" si="0">$G$23*$G$8</f>
        <v>1.0418369659327182</v>
      </c>
      <c r="F23" s="283">
        <f t="shared" si="0"/>
        <v>1.0418369659327182</v>
      </c>
      <c r="G23" s="284">
        <f>'Delivery &gt;40km-Sept 2013'!E24*I23/1000</f>
        <v>0.89813531545923997</v>
      </c>
      <c r="H23" s="262" t="s">
        <v>129</v>
      </c>
      <c r="I23" s="259">
        <v>75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158.13722281583756</v>
      </c>
      <c r="E25" s="285">
        <f>E19+E21+E23</f>
        <v>160.86080048024053</v>
      </c>
      <c r="F25" s="285">
        <f>F19+F21+F23</f>
        <v>158.29856699415811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sheetPr codeName="Sheet218">
    <tabColor rgb="FF0000FF"/>
  </sheetPr>
  <dimension ref="A2:M68"/>
  <sheetViews>
    <sheetView topLeftCell="A19" workbookViewId="0">
      <selection activeCell="D59" sqref="D59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Chebara!G23</f>
        <v>0.89813531545923997</v>
      </c>
      <c r="D40" s="943"/>
      <c r="E40" s="880">
        <f>C40</f>
        <v>0.89813531545923997</v>
      </c>
      <c r="F40" s="943"/>
      <c r="G40" s="613">
        <f>C40</f>
        <v>0.89813531545923997</v>
      </c>
      <c r="H40" s="943"/>
    </row>
    <row r="41" spans="1:8" s="392" customFormat="1">
      <c r="A41" s="605"/>
      <c r="B41" s="617" t="s">
        <v>446</v>
      </c>
      <c r="C41" s="618">
        <f>SUM(C40)</f>
        <v>0.89813531545923997</v>
      </c>
      <c r="D41" s="618"/>
      <c r="E41" s="626">
        <f>SUM(E40)</f>
        <v>0.89813531545923997</v>
      </c>
      <c r="F41" s="944"/>
      <c r="G41" s="618">
        <f>SUM(G40)</f>
        <v>0.89813531545923997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169.1415651644528</v>
      </c>
      <c r="D43" s="610"/>
      <c r="E43" s="613">
        <f>E$37+E$42+E$41</f>
        <v>172.08676393195708</v>
      </c>
      <c r="F43" s="610"/>
      <c r="G43" s="236">
        <f>G$37+G$42+G$41</f>
        <v>169.29793614476404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157.28156516445279</v>
      </c>
      <c r="D46" s="610"/>
      <c r="E46" s="641">
        <f>E$43-E44-E45+F$38</f>
        <v>160.01676393195709</v>
      </c>
      <c r="F46" s="610"/>
      <c r="G46" s="642">
        <f>G$43-G44-G45+H$38</f>
        <v>157.42793614476403</v>
      </c>
      <c r="H46" s="573"/>
    </row>
    <row r="47" spans="1:8">
      <c r="B47" s="503" t="s">
        <v>445</v>
      </c>
      <c r="C47" s="644"/>
      <c r="D47" s="696" t="str">
        <f>CONCATENATE("+ ",ROUND((C$46*0.08),2))</f>
        <v>+ 12.58</v>
      </c>
      <c r="E47" s="644"/>
      <c r="F47" s="627" t="str">
        <f>CONCATENATE("+ ",ROUND((E$46*0.08),2))</f>
        <v>+ 12.8</v>
      </c>
      <c r="G47" s="645"/>
      <c r="H47" s="627" t="str">
        <f>CONCATENATE("+ ",ROUND((G$46*0.08),2))</f>
        <v>+ 12.59</v>
      </c>
    </row>
    <row r="48" spans="1:8" ht="15" thickBot="1">
      <c r="B48" s="646" t="s">
        <v>449</v>
      </c>
      <c r="C48" s="697" t="str">
        <f>D47</f>
        <v>+ 12.58</v>
      </c>
      <c r="D48" s="632"/>
      <c r="E48" s="631" t="str">
        <f>F47</f>
        <v>+ 12.8</v>
      </c>
      <c r="F48" s="632"/>
      <c r="G48" s="631" t="str">
        <f>H47</f>
        <v>+ 12.59</v>
      </c>
      <c r="H48" s="632"/>
    </row>
    <row r="49" spans="1:9" s="392" customFormat="1" ht="15" thickBot="1">
      <c r="B49" s="647" t="s">
        <v>452</v>
      </c>
      <c r="C49" s="648">
        <f>C$46+C$48+C$44+C$45</f>
        <v>169.8615651644528</v>
      </c>
      <c r="D49" s="649">
        <f>D38+D47</f>
        <v>0.72000000000000064</v>
      </c>
      <c r="E49" s="648">
        <f>E$46+E$48+E$44+E$45</f>
        <v>172.8167639319571</v>
      </c>
      <c r="F49" s="649">
        <f>F38+F47</f>
        <v>0.73000000000000043</v>
      </c>
      <c r="G49" s="650">
        <f>G$46+G$48+G$44+G$45</f>
        <v>170.01793614476404</v>
      </c>
      <c r="H49" s="651">
        <f>H38+H47</f>
        <v>0.72000000000000064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sheetPr codeName="Sheet219">
    <tabColor rgb="FF00CC00"/>
  </sheetPr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72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0.95849000865810075</v>
      </c>
      <c r="E23" s="283">
        <f t="shared" ref="E23:F23" si="0">$G$23*$G$8</f>
        <v>0.95849000865810075</v>
      </c>
      <c r="F23" s="283">
        <f t="shared" si="0"/>
        <v>0.95849000865810075</v>
      </c>
      <c r="G23" s="284">
        <f>'Delivery &gt;40km-Sept 2013'!E24*I23/1000</f>
        <v>0.82628449022250072</v>
      </c>
      <c r="H23" s="262" t="s">
        <v>129</v>
      </c>
      <c r="I23" s="259">
        <v>69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158.05387585856292</v>
      </c>
      <c r="E25" s="285">
        <f>E19+E21+E23</f>
        <v>160.77745352296589</v>
      </c>
      <c r="F25" s="285">
        <f>F19+F21+F23</f>
        <v>158.21522003688347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sheetPr codeName="Sheet220">
    <tabColor rgb="FF0000FF"/>
  </sheetPr>
  <dimension ref="A2:M68"/>
  <sheetViews>
    <sheetView topLeftCell="A31" workbookViewId="0">
      <selection activeCell="D45" sqref="D45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Kimwarer!G23</f>
        <v>0.82628449022250072</v>
      </c>
      <c r="D40" s="943"/>
      <c r="E40" s="880">
        <f>C40</f>
        <v>0.82628449022250072</v>
      </c>
      <c r="F40" s="943"/>
      <c r="G40" s="613">
        <f>C40</f>
        <v>0.82628449022250072</v>
      </c>
      <c r="H40" s="943"/>
    </row>
    <row r="41" spans="1:8" s="392" customFormat="1">
      <c r="A41" s="605"/>
      <c r="B41" s="617" t="s">
        <v>446</v>
      </c>
      <c r="C41" s="618">
        <f>SUM(C40)</f>
        <v>0.82628449022250072</v>
      </c>
      <c r="D41" s="618"/>
      <c r="E41" s="626">
        <f>SUM(E40)</f>
        <v>0.82628449022250072</v>
      </c>
      <c r="F41" s="944"/>
      <c r="G41" s="618">
        <f>SUM(G40)</f>
        <v>0.82628449022250072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169.06971433921606</v>
      </c>
      <c r="D43" s="610"/>
      <c r="E43" s="613">
        <f>E$37+E$42+E$41</f>
        <v>172.01491310672034</v>
      </c>
      <c r="F43" s="610"/>
      <c r="G43" s="236">
        <f>G$37+G$42+G$41</f>
        <v>169.2260853195273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157.20971433921608</v>
      </c>
      <c r="D46" s="610"/>
      <c r="E46" s="641">
        <f>E$43-E44-E45+F$38</f>
        <v>159.94491310672035</v>
      </c>
      <c r="F46" s="610"/>
      <c r="G46" s="642">
        <f>G$43-G44-G45+H$38</f>
        <v>157.3560853195273</v>
      </c>
      <c r="H46" s="573"/>
    </row>
    <row r="47" spans="1:8">
      <c r="B47" s="503" t="s">
        <v>445</v>
      </c>
      <c r="C47" s="644"/>
      <c r="D47" s="696" t="str">
        <f>CONCATENATE("+ ",ROUND((C$46*0.08),2))</f>
        <v>+ 12.58</v>
      </c>
      <c r="E47" s="644"/>
      <c r="F47" s="627" t="str">
        <f>CONCATENATE("+ ",ROUND((E$46*0.08),2))</f>
        <v>+ 12.8</v>
      </c>
      <c r="G47" s="645"/>
      <c r="H47" s="627" t="str">
        <f>CONCATENATE("+ ",ROUND((G$46*0.08),2))</f>
        <v>+ 12.59</v>
      </c>
    </row>
    <row r="48" spans="1:8" ht="15" thickBot="1">
      <c r="B48" s="646" t="s">
        <v>449</v>
      </c>
      <c r="C48" s="697" t="str">
        <f>D47</f>
        <v>+ 12.58</v>
      </c>
      <c r="D48" s="632"/>
      <c r="E48" s="631" t="str">
        <f>F47</f>
        <v>+ 12.8</v>
      </c>
      <c r="F48" s="632"/>
      <c r="G48" s="631" t="str">
        <f>H47</f>
        <v>+ 12.59</v>
      </c>
      <c r="H48" s="632"/>
    </row>
    <row r="49" spans="1:9" s="392" customFormat="1" ht="15" thickBot="1">
      <c r="B49" s="647" t="s">
        <v>452</v>
      </c>
      <c r="C49" s="648">
        <f>C$46+C$48+C$44+C$45</f>
        <v>169.78971433921609</v>
      </c>
      <c r="D49" s="649">
        <f>D38+D47</f>
        <v>0.72000000000000064</v>
      </c>
      <c r="E49" s="648">
        <f>E$46+E$48+E$44+E$45</f>
        <v>172.74491310672036</v>
      </c>
      <c r="F49" s="649">
        <f>F38+F47</f>
        <v>0.73000000000000043</v>
      </c>
      <c r="G49" s="650">
        <f>G$46+G$48+G$44+G$45</f>
        <v>169.9460853195273</v>
      </c>
      <c r="H49" s="651">
        <f>H38+H47</f>
        <v>0.72000000000000064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sheetPr codeName="Sheet221">
    <tabColor rgb="FF00CC00"/>
  </sheetPr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72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0.87514305138348336</v>
      </c>
      <c r="E23" s="283">
        <f t="shared" ref="E23:F23" si="0">$G$23*$G$8</f>
        <v>0.87514305138348336</v>
      </c>
      <c r="F23" s="283">
        <f t="shared" si="0"/>
        <v>0.87514305138348336</v>
      </c>
      <c r="G23" s="284">
        <f>'Delivery &gt;40km-Sept 2013'!E24*I23/1000</f>
        <v>0.75443366498576159</v>
      </c>
      <c r="H23" s="262" t="s">
        <v>129</v>
      </c>
      <c r="I23" s="259">
        <v>63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157.9705289012883</v>
      </c>
      <c r="E25" s="285">
        <f>E19+E21+E23</f>
        <v>160.69410656569127</v>
      </c>
      <c r="F25" s="285">
        <f>F19+F21+F23</f>
        <v>158.13187307960885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sheetPr codeName="Sheet222">
    <tabColor rgb="FF0000FF"/>
  </sheetPr>
  <dimension ref="A2:M68"/>
  <sheetViews>
    <sheetView topLeftCell="A25" workbookViewId="0">
      <selection activeCell="D46" sqref="D46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Timboroa!G23</f>
        <v>0.75443366498576159</v>
      </c>
      <c r="D40" s="943"/>
      <c r="E40" s="880">
        <f>C40</f>
        <v>0.75443366498576159</v>
      </c>
      <c r="F40" s="943"/>
      <c r="G40" s="613">
        <f>C40</f>
        <v>0.75443366498576159</v>
      </c>
      <c r="H40" s="943"/>
    </row>
    <row r="41" spans="1:8" s="392" customFormat="1">
      <c r="A41" s="605"/>
      <c r="B41" s="617" t="s">
        <v>446</v>
      </c>
      <c r="C41" s="618">
        <f>SUM(C40)</f>
        <v>0.75443366498576159</v>
      </c>
      <c r="D41" s="618"/>
      <c r="E41" s="626">
        <f>SUM(E40)</f>
        <v>0.75443366498576159</v>
      </c>
      <c r="F41" s="944"/>
      <c r="G41" s="618">
        <f>SUM(G40)</f>
        <v>0.75443366498576159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168.99786351397933</v>
      </c>
      <c r="D43" s="610"/>
      <c r="E43" s="613">
        <f>E$37+E$42+E$41</f>
        <v>171.94306228148361</v>
      </c>
      <c r="F43" s="610"/>
      <c r="G43" s="236">
        <f>G$37+G$42+G$41</f>
        <v>169.15423449429056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157.13786351397931</v>
      </c>
      <c r="D46" s="610"/>
      <c r="E46" s="641">
        <f>E$43-E44-E45+F$38</f>
        <v>159.87306228148361</v>
      </c>
      <c r="F46" s="610"/>
      <c r="G46" s="642">
        <f>G$43-G44-G45+H$38</f>
        <v>157.28423449429056</v>
      </c>
      <c r="H46" s="573"/>
    </row>
    <row r="47" spans="1:8">
      <c r="B47" s="503" t="s">
        <v>445</v>
      </c>
      <c r="C47" s="644"/>
      <c r="D47" s="696" t="str">
        <f>CONCATENATE("+ ",ROUND((C$46*0.08),2))</f>
        <v>+ 12.57</v>
      </c>
      <c r="E47" s="644"/>
      <c r="F47" s="627" t="str">
        <f>CONCATENATE("+ ",ROUND((E$46*0.08),2))</f>
        <v>+ 12.79</v>
      </c>
      <c r="G47" s="645"/>
      <c r="H47" s="627" t="str">
        <f>CONCATENATE("+ ",ROUND((G$46*0.08),2))</f>
        <v>+ 12.58</v>
      </c>
    </row>
    <row r="48" spans="1:8" ht="15" thickBot="1">
      <c r="B48" s="646" t="s">
        <v>449</v>
      </c>
      <c r="C48" s="697" t="str">
        <f>D47</f>
        <v>+ 12.57</v>
      </c>
      <c r="D48" s="632"/>
      <c r="E48" s="631" t="str">
        <f>F47</f>
        <v>+ 12.79</v>
      </c>
      <c r="F48" s="632"/>
      <c r="G48" s="631" t="str">
        <f>H47</f>
        <v>+ 12.58</v>
      </c>
      <c r="H48" s="632"/>
    </row>
    <row r="49" spans="1:9" s="392" customFormat="1" ht="15" thickBot="1">
      <c r="B49" s="647" t="s">
        <v>452</v>
      </c>
      <c r="C49" s="648">
        <f>C$46+C$48+C$44+C$45</f>
        <v>169.70786351397931</v>
      </c>
      <c r="D49" s="649">
        <f>D38+D47</f>
        <v>0.71000000000000085</v>
      </c>
      <c r="E49" s="648">
        <f>E$46+E$48+E$44+E$45</f>
        <v>172.6630622814836</v>
      </c>
      <c r="F49" s="649">
        <f>F38+F47</f>
        <v>0.71999999999999886</v>
      </c>
      <c r="G49" s="650">
        <f>G$46+G$48+G$44+G$45</f>
        <v>169.86423449429057</v>
      </c>
      <c r="H49" s="651">
        <f>H38+H47</f>
        <v>0.71000000000000085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sheetPr codeName="Sheet223">
    <tabColor rgb="FF00CC00"/>
  </sheetPr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72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0.8334695727461745</v>
      </c>
      <c r="E23" s="283">
        <f t="shared" ref="E23:F23" si="0">$G$23*$G$8</f>
        <v>0.8334695727461745</v>
      </c>
      <c r="F23" s="283">
        <f t="shared" si="0"/>
        <v>0.8334695727461745</v>
      </c>
      <c r="G23" s="284">
        <f>'Delivery &gt;40km-Sept 2013'!E24*I23/1000</f>
        <v>0.71850825236739191</v>
      </c>
      <c r="H23" s="262" t="s">
        <v>129</v>
      </c>
      <c r="I23" s="259">
        <v>60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157.928855422651</v>
      </c>
      <c r="E25" s="285">
        <f>E19+E21+E23</f>
        <v>160.65243308705396</v>
      </c>
      <c r="F25" s="285">
        <f>F19+F21+F23</f>
        <v>158.09019960097154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sheetPr codeName="Sheet224">
    <tabColor rgb="FF0000FF"/>
  </sheetPr>
  <dimension ref="A2:M68"/>
  <sheetViews>
    <sheetView topLeftCell="A33" workbookViewId="0">
      <selection activeCell="D46" sqref="D46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'Nandi Hills'!G23</f>
        <v>0.71850825236739191</v>
      </c>
      <c r="D40" s="943"/>
      <c r="E40" s="880">
        <f>C40</f>
        <v>0.71850825236739191</v>
      </c>
      <c r="F40" s="943"/>
      <c r="G40" s="613">
        <f>C40</f>
        <v>0.71850825236739191</v>
      </c>
      <c r="H40" s="943"/>
    </row>
    <row r="41" spans="1:8" s="392" customFormat="1">
      <c r="A41" s="605"/>
      <c r="B41" s="617" t="s">
        <v>446</v>
      </c>
      <c r="C41" s="618">
        <f>SUM(C40)</f>
        <v>0.71850825236739191</v>
      </c>
      <c r="D41" s="618"/>
      <c r="E41" s="626">
        <f>SUM(E40)</f>
        <v>0.71850825236739191</v>
      </c>
      <c r="F41" s="944"/>
      <c r="G41" s="618">
        <f>SUM(G40)</f>
        <v>0.71850825236739191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168.96193810136097</v>
      </c>
      <c r="D43" s="610"/>
      <c r="E43" s="613">
        <f>E$37+E$42+E$41</f>
        <v>171.90713686886525</v>
      </c>
      <c r="F43" s="610"/>
      <c r="G43" s="236">
        <f>G$37+G$42+G$41</f>
        <v>169.11830908167221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157.10193810136099</v>
      </c>
      <c r="D46" s="610"/>
      <c r="E46" s="641">
        <f>E$43-E44-E45+F$38</f>
        <v>159.83713686886526</v>
      </c>
      <c r="F46" s="610"/>
      <c r="G46" s="642">
        <f>G$43-G44-G45+H$38</f>
        <v>157.2483090816722</v>
      </c>
      <c r="H46" s="573"/>
    </row>
    <row r="47" spans="1:8">
      <c r="B47" s="503" t="s">
        <v>445</v>
      </c>
      <c r="C47" s="644"/>
      <c r="D47" s="696" t="str">
        <f>CONCATENATE("+ ",ROUND((C$46*0.08),2))</f>
        <v>+ 12.57</v>
      </c>
      <c r="E47" s="644"/>
      <c r="F47" s="627" t="str">
        <f>CONCATENATE("+ ",ROUND((E$46*0.08),2))</f>
        <v>+ 12.79</v>
      </c>
      <c r="G47" s="645"/>
      <c r="H47" s="627" t="str">
        <f>CONCATENATE("+ ",ROUND((G$46*0.08),2))</f>
        <v>+ 12.58</v>
      </c>
    </row>
    <row r="48" spans="1:8" ht="15" thickBot="1">
      <c r="B48" s="646" t="s">
        <v>449</v>
      </c>
      <c r="C48" s="697" t="str">
        <f>D47</f>
        <v>+ 12.57</v>
      </c>
      <c r="D48" s="632"/>
      <c r="E48" s="631" t="str">
        <f>F47</f>
        <v>+ 12.79</v>
      </c>
      <c r="F48" s="632"/>
      <c r="G48" s="631" t="str">
        <f>H47</f>
        <v>+ 12.58</v>
      </c>
      <c r="H48" s="632"/>
    </row>
    <row r="49" spans="1:9" s="392" customFormat="1" ht="15" thickBot="1">
      <c r="B49" s="647" t="s">
        <v>452</v>
      </c>
      <c r="C49" s="648">
        <f>C$46+C$48+C$44+C$45</f>
        <v>169.67193810136098</v>
      </c>
      <c r="D49" s="649">
        <f>D38+D47</f>
        <v>0.71000000000000085</v>
      </c>
      <c r="E49" s="648">
        <f>E$46+E$48+E$44+E$45</f>
        <v>172.62713686886525</v>
      </c>
      <c r="F49" s="649">
        <f>F38+F47</f>
        <v>0.71999999999999886</v>
      </c>
      <c r="G49" s="650">
        <f>G$46+G$48+G$44+G$45</f>
        <v>169.82830908167222</v>
      </c>
      <c r="H49" s="651">
        <f>H38+H47</f>
        <v>0.71000000000000085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sheetPr codeName="Sheet225">
    <tabColor rgb="FF00CC00"/>
  </sheetPr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72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0.68066681774270943</v>
      </c>
      <c r="E23" s="283">
        <f t="shared" ref="E23:F23" si="0">$G$23*$G$8</f>
        <v>0.68066681774270943</v>
      </c>
      <c r="F23" s="283">
        <f t="shared" si="0"/>
        <v>0.68066681774270943</v>
      </c>
      <c r="G23" s="284">
        <f>'Delivery &gt;40km-Sept 2013'!E24*I23/1000</f>
        <v>0.5867817394333702</v>
      </c>
      <c r="H23" s="262" t="s">
        <v>129</v>
      </c>
      <c r="I23" s="259">
        <v>49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157.77605266764755</v>
      </c>
      <c r="E25" s="285">
        <f>E19+E21+E23</f>
        <v>160.49963033205051</v>
      </c>
      <c r="F25" s="285">
        <f>F19+F21+F23</f>
        <v>157.9373968459681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sheetPr codeName="Sheet226">
    <tabColor rgb="FF0000FF"/>
  </sheetPr>
  <dimension ref="A2:M68"/>
  <sheetViews>
    <sheetView topLeftCell="A39" workbookViewId="0">
      <selection activeCell="D45" sqref="D45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Kaiboi!G23</f>
        <v>0.5867817394333702</v>
      </c>
      <c r="D40" s="943"/>
      <c r="E40" s="880">
        <f>C40</f>
        <v>0.5867817394333702</v>
      </c>
      <c r="F40" s="943"/>
      <c r="G40" s="613">
        <f>C40</f>
        <v>0.5867817394333702</v>
      </c>
      <c r="H40" s="943"/>
    </row>
    <row r="41" spans="1:8" s="392" customFormat="1">
      <c r="A41" s="605"/>
      <c r="B41" s="617" t="s">
        <v>446</v>
      </c>
      <c r="C41" s="618">
        <f>SUM(C40)</f>
        <v>0.5867817394333702</v>
      </c>
      <c r="D41" s="618"/>
      <c r="E41" s="626">
        <f>SUM(E40)</f>
        <v>0.5867817394333702</v>
      </c>
      <c r="F41" s="944"/>
      <c r="G41" s="618">
        <f>SUM(G40)</f>
        <v>0.5867817394333702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168.83021158842695</v>
      </c>
      <c r="D43" s="610"/>
      <c r="E43" s="613">
        <f>E$37+E$42+E$41</f>
        <v>171.77541035593123</v>
      </c>
      <c r="F43" s="610"/>
      <c r="G43" s="236">
        <f>G$37+G$42+G$41</f>
        <v>168.98658256873819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156.97021158842693</v>
      </c>
      <c r="D46" s="610"/>
      <c r="E46" s="641">
        <f>E$43-E44-E45+F$38</f>
        <v>159.70541035593124</v>
      </c>
      <c r="F46" s="610"/>
      <c r="G46" s="642">
        <f>G$43-G44-G45+H$38</f>
        <v>157.11658256873818</v>
      </c>
      <c r="H46" s="573"/>
    </row>
    <row r="47" spans="1:8">
      <c r="B47" s="503" t="s">
        <v>445</v>
      </c>
      <c r="C47" s="644"/>
      <c r="D47" s="696" t="str">
        <f>CONCATENATE("+ ",ROUND((C$46*0.08),2))</f>
        <v>+ 12.56</v>
      </c>
      <c r="E47" s="644"/>
      <c r="F47" s="627" t="str">
        <f>CONCATENATE("+ ",ROUND((E$46*0.08),2))</f>
        <v>+ 12.78</v>
      </c>
      <c r="G47" s="645"/>
      <c r="H47" s="627" t="str">
        <f>CONCATENATE("+ ",ROUND((G$46*0.08),2))</f>
        <v>+ 12.57</v>
      </c>
    </row>
    <row r="48" spans="1:8" ht="15" thickBot="1">
      <c r="B48" s="646" t="s">
        <v>449</v>
      </c>
      <c r="C48" s="697" t="str">
        <f>D47</f>
        <v>+ 12.56</v>
      </c>
      <c r="D48" s="632"/>
      <c r="E48" s="631" t="str">
        <f>F47</f>
        <v>+ 12.78</v>
      </c>
      <c r="F48" s="632"/>
      <c r="G48" s="631" t="str">
        <f>H47</f>
        <v>+ 12.57</v>
      </c>
      <c r="H48" s="632"/>
    </row>
    <row r="49" spans="1:9" s="392" customFormat="1" ht="15" thickBot="1">
      <c r="B49" s="647" t="s">
        <v>452</v>
      </c>
      <c r="C49" s="648">
        <f>C$46+C$48+C$44+C$45</f>
        <v>169.53021158842694</v>
      </c>
      <c r="D49" s="649">
        <f>D38+D47</f>
        <v>0.70000000000000107</v>
      </c>
      <c r="E49" s="648">
        <f>E$46+E$48+E$44+E$45</f>
        <v>172.48541035593124</v>
      </c>
      <c r="F49" s="649">
        <f>F38+F47</f>
        <v>0.70999999999999908</v>
      </c>
      <c r="G49" s="650">
        <f>G$46+G$48+G$44+G$45</f>
        <v>169.68658256873817</v>
      </c>
      <c r="H49" s="651">
        <f>H38+H47</f>
        <v>0.70000000000000107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sheetPr codeName="Sheet227">
    <tabColor rgb="FF00CC00"/>
  </sheetPr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72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1.2085308804819532</v>
      </c>
      <c r="E23" s="283">
        <f t="shared" ref="E23:F23" si="0">$G$23*$G$8</f>
        <v>1.2085308804819532</v>
      </c>
      <c r="F23" s="283">
        <f t="shared" si="0"/>
        <v>1.2085308804819532</v>
      </c>
      <c r="G23" s="284">
        <f>'Delivery &gt;40km-Sept 2013'!E24*I23/1000</f>
        <v>1.0418369659327185</v>
      </c>
      <c r="H23" s="262" t="s">
        <v>129</v>
      </c>
      <c r="I23" s="259">
        <v>87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158.30391673038679</v>
      </c>
      <c r="E25" s="285">
        <f>E19+E21+E23</f>
        <v>161.02749439478976</v>
      </c>
      <c r="F25" s="285">
        <f>F19+F21+F23</f>
        <v>158.46526090870734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sheetPr codeName="Sheet228">
    <tabColor rgb="FF0000FF"/>
  </sheetPr>
  <dimension ref="A2:M68"/>
  <sheetViews>
    <sheetView topLeftCell="A31" workbookViewId="0">
      <selection activeCell="D45" sqref="D45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Kiminini!G23</f>
        <v>1.0418369659327185</v>
      </c>
      <c r="D40" s="943"/>
      <c r="E40" s="880">
        <f>C40</f>
        <v>1.0418369659327185</v>
      </c>
      <c r="F40" s="943"/>
      <c r="G40" s="613">
        <f>C40</f>
        <v>1.0418369659327185</v>
      </c>
      <c r="H40" s="943"/>
    </row>
    <row r="41" spans="1:8" s="392" customFormat="1">
      <c r="A41" s="605"/>
      <c r="B41" s="617" t="s">
        <v>446</v>
      </c>
      <c r="C41" s="618">
        <f>SUM(C40)</f>
        <v>1.0418369659327185</v>
      </c>
      <c r="D41" s="618"/>
      <c r="E41" s="626">
        <f>SUM(E40)</f>
        <v>1.0418369659327185</v>
      </c>
      <c r="F41" s="944"/>
      <c r="G41" s="618">
        <f>SUM(G40)</f>
        <v>1.0418369659327185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169.2852668149263</v>
      </c>
      <c r="D43" s="610"/>
      <c r="E43" s="613">
        <f>E$37+E$42+E$41</f>
        <v>172.23046558243058</v>
      </c>
      <c r="F43" s="610"/>
      <c r="G43" s="236">
        <f>G$37+G$42+G$41</f>
        <v>169.44163779523754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157.42526681492632</v>
      </c>
      <c r="D46" s="610"/>
      <c r="E46" s="641">
        <f>E$43-E44-E45+F$38</f>
        <v>160.16046558243059</v>
      </c>
      <c r="F46" s="610"/>
      <c r="G46" s="642">
        <f>G$43-G44-G45+H$38</f>
        <v>157.57163779523754</v>
      </c>
      <c r="H46" s="573"/>
    </row>
    <row r="47" spans="1:8">
      <c r="B47" s="503" t="s">
        <v>445</v>
      </c>
      <c r="C47" s="644"/>
      <c r="D47" s="696" t="str">
        <f>CONCATENATE("+ ",ROUND((C$46*0.08),2))</f>
        <v>+ 12.59</v>
      </c>
      <c r="E47" s="644"/>
      <c r="F47" s="627" t="str">
        <f>CONCATENATE("+ ",ROUND((E$46*0.08),2))</f>
        <v>+ 12.81</v>
      </c>
      <c r="G47" s="645"/>
      <c r="H47" s="627" t="str">
        <f>CONCATENATE("+ ",ROUND((G$46*0.08),2))</f>
        <v>+ 12.61</v>
      </c>
    </row>
    <row r="48" spans="1:8" ht="15" thickBot="1">
      <c r="B48" s="646" t="s">
        <v>449</v>
      </c>
      <c r="C48" s="697" t="str">
        <f>D47</f>
        <v>+ 12.59</v>
      </c>
      <c r="D48" s="632"/>
      <c r="E48" s="631" t="str">
        <f>F47</f>
        <v>+ 12.81</v>
      </c>
      <c r="F48" s="632"/>
      <c r="G48" s="631" t="str">
        <f>H47</f>
        <v>+ 12.61</v>
      </c>
      <c r="H48" s="632"/>
    </row>
    <row r="49" spans="1:9" s="392" customFormat="1" ht="15" thickBot="1">
      <c r="B49" s="647" t="s">
        <v>452</v>
      </c>
      <c r="C49" s="648">
        <f>C$46+C$48+C$44+C$45</f>
        <v>170.01526681492632</v>
      </c>
      <c r="D49" s="649">
        <f>D38+D47</f>
        <v>0.73000000000000043</v>
      </c>
      <c r="E49" s="648">
        <f>E$46+E$48+E$44+E$45</f>
        <v>172.97046558243059</v>
      </c>
      <c r="F49" s="649">
        <f>F38+F47</f>
        <v>0.74000000000000021</v>
      </c>
      <c r="G49" s="650">
        <f>G$46+G$48+G$44+G$45</f>
        <v>170.18163779523752</v>
      </c>
      <c r="H49" s="651">
        <f>H38+H47</f>
        <v>0.74000000000000021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sheetPr codeName="Sheet229">
    <tabColor rgb="FF00CC00"/>
  </sheetPr>
  <dimension ref="B2:K31"/>
  <sheetViews>
    <sheetView topLeftCell="A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72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1.5835921882177317</v>
      </c>
      <c r="E23" s="283">
        <f t="shared" ref="E23:F23" si="0">$G$23*$G$8</f>
        <v>1.5835921882177317</v>
      </c>
      <c r="F23" s="283">
        <f t="shared" si="0"/>
        <v>1.5835921882177317</v>
      </c>
      <c r="G23" s="284">
        <f>'Delivery &gt;40km-Sept 2013'!E24*I23/1000</f>
        <v>1.3651656794980447</v>
      </c>
      <c r="H23" s="262" t="s">
        <v>129</v>
      </c>
      <c r="I23" s="259">
        <v>114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158.67897803812255</v>
      </c>
      <c r="E25" s="285">
        <f>E19+E21+E23</f>
        <v>161.40255570252552</v>
      </c>
      <c r="F25" s="285">
        <f>F19+F21+F23</f>
        <v>158.8403222164431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sheetPr codeName="Sheet230">
    <tabColor rgb="FF0000FF"/>
  </sheetPr>
  <dimension ref="A2:M68"/>
  <sheetViews>
    <sheetView topLeftCell="A31" workbookViewId="0">
      <selection activeCell="D47" sqref="D47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Endebes!G23</f>
        <v>1.3651656794980447</v>
      </c>
      <c r="D40" s="943"/>
      <c r="E40" s="880">
        <f>C40</f>
        <v>1.3651656794980447</v>
      </c>
      <c r="F40" s="943"/>
      <c r="G40" s="613">
        <f>C40</f>
        <v>1.3651656794980447</v>
      </c>
      <c r="H40" s="943"/>
    </row>
    <row r="41" spans="1:8" s="392" customFormat="1">
      <c r="A41" s="605"/>
      <c r="B41" s="617" t="s">
        <v>446</v>
      </c>
      <c r="C41" s="618">
        <f>SUM(C40)</f>
        <v>1.3651656794980447</v>
      </c>
      <c r="D41" s="618"/>
      <c r="E41" s="626">
        <f>SUM(E40)</f>
        <v>1.3651656794980447</v>
      </c>
      <c r="F41" s="944"/>
      <c r="G41" s="618">
        <f>SUM(G40)</f>
        <v>1.3651656794980447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169.60859552849161</v>
      </c>
      <c r="D43" s="610"/>
      <c r="E43" s="613">
        <f>E$37+E$42+E$41</f>
        <v>172.55379429599589</v>
      </c>
      <c r="F43" s="610"/>
      <c r="G43" s="236">
        <f>G$37+G$42+G$41</f>
        <v>169.76496650880284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157.74859552849159</v>
      </c>
      <c r="D46" s="610"/>
      <c r="E46" s="641">
        <f>E$43-E44-E45+F$38</f>
        <v>160.48379429599589</v>
      </c>
      <c r="F46" s="610"/>
      <c r="G46" s="642">
        <f>G$43-G44-G45+H$38</f>
        <v>157.89496650880284</v>
      </c>
      <c r="H46" s="573"/>
    </row>
    <row r="47" spans="1:8">
      <c r="B47" s="503" t="s">
        <v>445</v>
      </c>
      <c r="C47" s="644"/>
      <c r="D47" s="696" t="str">
        <f>CONCATENATE("+ ",ROUND((C$46*0.08),2))</f>
        <v>+ 12.62</v>
      </c>
      <c r="E47" s="644"/>
      <c r="F47" s="627" t="str">
        <f>CONCATENATE("+ ",ROUND((E$46*0.08),2))</f>
        <v>+ 12.84</v>
      </c>
      <c r="G47" s="645"/>
      <c r="H47" s="627" t="str">
        <f>CONCATENATE("+ ",ROUND((G$46*0.08),2))</f>
        <v>+ 12.63</v>
      </c>
    </row>
    <row r="48" spans="1:8" ht="15" thickBot="1">
      <c r="B48" s="646" t="s">
        <v>449</v>
      </c>
      <c r="C48" s="697" t="str">
        <f>D47</f>
        <v>+ 12.62</v>
      </c>
      <c r="D48" s="632"/>
      <c r="E48" s="631" t="str">
        <f>F47</f>
        <v>+ 12.84</v>
      </c>
      <c r="F48" s="632"/>
      <c r="G48" s="631" t="str">
        <f>H47</f>
        <v>+ 12.63</v>
      </c>
      <c r="H48" s="632"/>
    </row>
    <row r="49" spans="1:9" s="392" customFormat="1" ht="15" thickBot="1">
      <c r="B49" s="647" t="s">
        <v>452</v>
      </c>
      <c r="C49" s="648">
        <f>C$46+C$48+C$44+C$45</f>
        <v>170.3685955284916</v>
      </c>
      <c r="D49" s="649">
        <f>D38+D47</f>
        <v>0.75999999999999979</v>
      </c>
      <c r="E49" s="648">
        <f>E$46+E$48+E$44+E$45</f>
        <v>173.3237942959959</v>
      </c>
      <c r="F49" s="649">
        <f>F38+F47</f>
        <v>0.76999999999999957</v>
      </c>
      <c r="G49" s="650">
        <f>G$46+G$48+G$44+G$45</f>
        <v>170.52496650880283</v>
      </c>
      <c r="H49" s="651">
        <f>H38+H47</f>
        <v>0.76000000000000156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sheetPr codeName="Sheet231">
    <tabColor rgb="FF00CC00"/>
  </sheetPr>
  <dimension ref="B2:K31"/>
  <sheetViews>
    <sheetView topLeftCell="A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72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1.2363131995734926</v>
      </c>
      <c r="E23" s="283">
        <f t="shared" ref="E23:F23" si="0">$G$23*$G$8</f>
        <v>1.2363131995734926</v>
      </c>
      <c r="F23" s="283">
        <f t="shared" si="0"/>
        <v>1.2363131995734926</v>
      </c>
      <c r="G23" s="284">
        <f>'Delivery &gt;40km-Sept 2013'!E24*I23/1000</f>
        <v>1.0657872410116316</v>
      </c>
      <c r="H23" s="262" t="s">
        <v>129</v>
      </c>
      <c r="I23" s="259">
        <v>89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158.33169904947832</v>
      </c>
      <c r="E25" s="285">
        <f>E19+E21+E23</f>
        <v>161.05527671388128</v>
      </c>
      <c r="F25" s="285">
        <f>F19+F21+F23</f>
        <v>158.49304322779886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sheetPr codeName="Sheet232">
    <tabColor rgb="FF0000FF"/>
  </sheetPr>
  <dimension ref="A2:M68"/>
  <sheetViews>
    <sheetView topLeftCell="A25" workbookViewId="0">
      <selection activeCell="E42" sqref="E42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Saboti!G23</f>
        <v>1.0657872410116316</v>
      </c>
      <c r="D40" s="943"/>
      <c r="E40" s="880">
        <f>C40</f>
        <v>1.0657872410116316</v>
      </c>
      <c r="F40" s="943"/>
      <c r="G40" s="613">
        <f>C40</f>
        <v>1.0657872410116316</v>
      </c>
      <c r="H40" s="943"/>
    </row>
    <row r="41" spans="1:8" s="392" customFormat="1">
      <c r="A41" s="605"/>
      <c r="B41" s="617" t="s">
        <v>446</v>
      </c>
      <c r="C41" s="618">
        <f>SUM(C40)</f>
        <v>1.0657872410116316</v>
      </c>
      <c r="D41" s="618"/>
      <c r="E41" s="626">
        <f>SUM(E40)</f>
        <v>1.0657872410116316</v>
      </c>
      <c r="F41" s="944"/>
      <c r="G41" s="618">
        <f>SUM(G40)</f>
        <v>1.0657872410116316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169.30921709000521</v>
      </c>
      <c r="D43" s="610"/>
      <c r="E43" s="613">
        <f>E$37+E$42+E$41</f>
        <v>172.25441585750949</v>
      </c>
      <c r="F43" s="610"/>
      <c r="G43" s="236">
        <f>G$37+G$42+G$41</f>
        <v>169.46558807031644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157.44921709000522</v>
      </c>
      <c r="D46" s="610"/>
      <c r="E46" s="641">
        <f>E$43-E44-E45+F$38</f>
        <v>160.18441585750949</v>
      </c>
      <c r="F46" s="610"/>
      <c r="G46" s="642">
        <f>G$43-G44-G45+H$38</f>
        <v>157.59558807031644</v>
      </c>
      <c r="H46" s="573"/>
    </row>
    <row r="47" spans="1:8">
      <c r="B47" s="503" t="s">
        <v>445</v>
      </c>
      <c r="C47" s="644"/>
      <c r="D47" s="696" t="str">
        <f>CONCATENATE("+ ",ROUND((C$46*0.08),2))</f>
        <v>+ 12.6</v>
      </c>
      <c r="E47" s="644"/>
      <c r="F47" s="627" t="str">
        <f>CONCATENATE("+ ",ROUND((E$46*0.08),2))</f>
        <v>+ 12.81</v>
      </c>
      <c r="G47" s="645"/>
      <c r="H47" s="627" t="str">
        <f>CONCATENATE("+ ",ROUND((G$46*0.08),2))</f>
        <v>+ 12.61</v>
      </c>
    </row>
    <row r="48" spans="1:8" ht="15" thickBot="1">
      <c r="B48" s="646" t="s">
        <v>449</v>
      </c>
      <c r="C48" s="697" t="str">
        <f>D47</f>
        <v>+ 12.6</v>
      </c>
      <c r="D48" s="632"/>
      <c r="E48" s="631" t="str">
        <f>F47</f>
        <v>+ 12.81</v>
      </c>
      <c r="F48" s="632"/>
      <c r="G48" s="631" t="str">
        <f>H47</f>
        <v>+ 12.61</v>
      </c>
      <c r="H48" s="632"/>
    </row>
    <row r="49" spans="1:9" s="392" customFormat="1" ht="15" thickBot="1">
      <c r="B49" s="647" t="s">
        <v>452</v>
      </c>
      <c r="C49" s="648">
        <f>C$46+C$48+C$44+C$45</f>
        <v>170.04921709000521</v>
      </c>
      <c r="D49" s="649">
        <f>D38+D47</f>
        <v>0.74000000000000021</v>
      </c>
      <c r="E49" s="648">
        <f>E$46+E$48+E$44+E$45</f>
        <v>172.99441585750949</v>
      </c>
      <c r="F49" s="649">
        <f>F38+F47</f>
        <v>0.74000000000000021</v>
      </c>
      <c r="G49" s="650">
        <f>G$46+G$48+G$44+G$45</f>
        <v>170.20558807031642</v>
      </c>
      <c r="H49" s="651">
        <f>H38+H47</f>
        <v>0.74000000000000021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sheetPr codeName="Sheet233">
    <tabColor rgb="FF00CC00"/>
  </sheetPr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72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1.9169800173162015</v>
      </c>
      <c r="E23" s="283">
        <f t="shared" ref="E23:F23" si="0">$G$23*$G$8</f>
        <v>1.9169800173162015</v>
      </c>
      <c r="F23" s="283">
        <f t="shared" si="0"/>
        <v>1.9169800173162015</v>
      </c>
      <c r="G23" s="284">
        <f>'Delivery &gt;40km-Sept 2013'!E24*I23/1000</f>
        <v>1.6525689804450014</v>
      </c>
      <c r="H23" s="262" t="s">
        <v>129</v>
      </c>
      <c r="I23" s="259">
        <v>138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159.01236586722104</v>
      </c>
      <c r="E25" s="285">
        <f>E19+E21+E23</f>
        <v>161.735943531624</v>
      </c>
      <c r="F25" s="285">
        <f>F19+F21+F23</f>
        <v>159.17371004554158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sheetPr codeName="Sheet234">
    <tabColor rgb="FF0000FF"/>
  </sheetPr>
  <dimension ref="A2:M68"/>
  <sheetViews>
    <sheetView topLeftCell="A31" workbookViewId="0">
      <selection activeCell="D59" sqref="D59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Chepareria!G23</f>
        <v>1.6525689804450014</v>
      </c>
      <c r="D40" s="943"/>
      <c r="E40" s="880">
        <f>C40</f>
        <v>1.6525689804450014</v>
      </c>
      <c r="F40" s="943"/>
      <c r="G40" s="613">
        <f>C40</f>
        <v>1.6525689804450014</v>
      </c>
      <c r="H40" s="943"/>
    </row>
    <row r="41" spans="1:8" s="392" customFormat="1">
      <c r="A41" s="605"/>
      <c r="B41" s="617" t="s">
        <v>446</v>
      </c>
      <c r="C41" s="618">
        <f>SUM(C40)</f>
        <v>1.6525689804450014</v>
      </c>
      <c r="D41" s="618"/>
      <c r="E41" s="626">
        <f>SUM(E40)</f>
        <v>1.6525689804450014</v>
      </c>
      <c r="F41" s="944"/>
      <c r="G41" s="618">
        <f>SUM(G40)</f>
        <v>1.6525689804450014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169.89599882943858</v>
      </c>
      <c r="D43" s="610"/>
      <c r="E43" s="613">
        <f>E$37+E$42+E$41</f>
        <v>172.84119759694286</v>
      </c>
      <c r="F43" s="610"/>
      <c r="G43" s="236">
        <f>G$37+G$42+G$41</f>
        <v>170.05236980974982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158.0359988294386</v>
      </c>
      <c r="D46" s="610"/>
      <c r="E46" s="641">
        <f>E$43-E44-E45+F$38</f>
        <v>160.77119759694287</v>
      </c>
      <c r="F46" s="610"/>
      <c r="G46" s="642">
        <f>G$43-G44-G45+H$38</f>
        <v>158.18236980974982</v>
      </c>
      <c r="H46" s="573"/>
    </row>
    <row r="47" spans="1:8">
      <c r="B47" s="503" t="s">
        <v>445</v>
      </c>
      <c r="C47" s="644"/>
      <c r="D47" s="696" t="str">
        <f>CONCATENATE("+ ",ROUND((C$46*0.08),2))</f>
        <v>+ 12.64</v>
      </c>
      <c r="E47" s="644"/>
      <c r="F47" s="627" t="str">
        <f>CONCATENATE("+ ",ROUND((E$46*0.08),2))</f>
        <v>+ 12.86</v>
      </c>
      <c r="G47" s="645"/>
      <c r="H47" s="627" t="str">
        <f>CONCATENATE("+ ",ROUND((G$46*0.08),2))</f>
        <v>+ 12.65</v>
      </c>
    </row>
    <row r="48" spans="1:8" ht="15" thickBot="1">
      <c r="B48" s="646" t="s">
        <v>449</v>
      </c>
      <c r="C48" s="697" t="str">
        <f>D47</f>
        <v>+ 12.64</v>
      </c>
      <c r="D48" s="632"/>
      <c r="E48" s="631" t="str">
        <f>F47</f>
        <v>+ 12.86</v>
      </c>
      <c r="F48" s="632"/>
      <c r="G48" s="631" t="str">
        <f>H47</f>
        <v>+ 12.65</v>
      </c>
      <c r="H48" s="632"/>
    </row>
    <row r="49" spans="1:9" s="392" customFormat="1" ht="15" thickBot="1">
      <c r="B49" s="647" t="s">
        <v>452</v>
      </c>
      <c r="C49" s="648">
        <f>C$46+C$48+C$44+C$45</f>
        <v>170.67599882943858</v>
      </c>
      <c r="D49" s="649">
        <f>D38+D47</f>
        <v>0.78000000000000114</v>
      </c>
      <c r="E49" s="648">
        <f>E$46+E$48+E$44+E$45</f>
        <v>173.63119759694285</v>
      </c>
      <c r="F49" s="649">
        <f>F38+F47</f>
        <v>0.78999999999999915</v>
      </c>
      <c r="G49" s="650">
        <f>G$46+G$48+G$44+G$45</f>
        <v>170.83236980974982</v>
      </c>
      <c r="H49" s="651">
        <f>H38+H47</f>
        <v>0.78000000000000114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sheetPr codeName="Sheet235">
    <tabColor rgb="FF00CC00"/>
  </sheetPr>
  <dimension ref="B2:K31"/>
  <sheetViews>
    <sheetView topLeftCell="A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72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3.6533749605373989</v>
      </c>
      <c r="E23" s="283">
        <f t="shared" ref="E23:F23" si="0">$G$23*$G$8</f>
        <v>3.6533749605373989</v>
      </c>
      <c r="F23" s="283">
        <f t="shared" si="0"/>
        <v>3.6533749605373989</v>
      </c>
      <c r="G23" s="284">
        <f>'Delivery &gt;40km-Sept 2013'!E24*I23/1000</f>
        <v>3.1494611728770683</v>
      </c>
      <c r="H23" s="262" t="s">
        <v>129</v>
      </c>
      <c r="I23" s="259">
        <v>263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160.74876081044223</v>
      </c>
      <c r="E25" s="285">
        <f>E19+E21+E23</f>
        <v>163.4723384748452</v>
      </c>
      <c r="F25" s="285">
        <f>F19+F21+F23</f>
        <v>160.91010498876278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sheetPr codeName="Sheet236">
    <tabColor rgb="FF0000FF"/>
  </sheetPr>
  <dimension ref="A2:M68"/>
  <sheetViews>
    <sheetView topLeftCell="A24" workbookViewId="0">
      <selection activeCell="E42" sqref="E42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Lomut!G23</f>
        <v>3.1494611728770683</v>
      </c>
      <c r="D40" s="943"/>
      <c r="E40" s="880">
        <f>C40</f>
        <v>3.1494611728770683</v>
      </c>
      <c r="F40" s="943"/>
      <c r="G40" s="613">
        <f>C40</f>
        <v>3.1494611728770683</v>
      </c>
      <c r="H40" s="943"/>
    </row>
    <row r="41" spans="1:8" s="392" customFormat="1">
      <c r="A41" s="605"/>
      <c r="B41" s="617" t="s">
        <v>446</v>
      </c>
      <c r="C41" s="618">
        <f>SUM(C40)</f>
        <v>3.1494611728770683</v>
      </c>
      <c r="D41" s="618"/>
      <c r="E41" s="626">
        <f>SUM(E40)</f>
        <v>3.1494611728770683</v>
      </c>
      <c r="F41" s="944"/>
      <c r="G41" s="618">
        <f>SUM(G40)</f>
        <v>3.1494611728770683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171.39289102187064</v>
      </c>
      <c r="D43" s="610"/>
      <c r="E43" s="613">
        <f>E$37+E$42+E$41</f>
        <v>174.33808978937492</v>
      </c>
      <c r="F43" s="610"/>
      <c r="G43" s="236">
        <f>G$37+G$42+G$41</f>
        <v>171.54926200218188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159.53289102187063</v>
      </c>
      <c r="D46" s="610"/>
      <c r="E46" s="641">
        <f>E$43-E44-E45+F$38</f>
        <v>162.26808978937493</v>
      </c>
      <c r="F46" s="610"/>
      <c r="G46" s="642">
        <f>G$43-G44-G45+H$38</f>
        <v>159.67926200218187</v>
      </c>
      <c r="H46" s="573"/>
    </row>
    <row r="47" spans="1:8">
      <c r="B47" s="503" t="s">
        <v>445</v>
      </c>
      <c r="C47" s="644"/>
      <c r="D47" s="696" t="str">
        <f>CONCATENATE("+ ",ROUND((C$46*0.08),2))</f>
        <v>+ 12.76</v>
      </c>
      <c r="E47" s="644"/>
      <c r="F47" s="627" t="str">
        <f>CONCATENATE("+ ",ROUND((E$46*0.08),2))</f>
        <v>+ 12.98</v>
      </c>
      <c r="G47" s="645"/>
      <c r="H47" s="627" t="str">
        <f>CONCATENATE("+ ",ROUND((G$46*0.08),2))</f>
        <v>+ 12.77</v>
      </c>
    </row>
    <row r="48" spans="1:8" ht="15" thickBot="1">
      <c r="B48" s="646" t="s">
        <v>449</v>
      </c>
      <c r="C48" s="697" t="str">
        <f>D47</f>
        <v>+ 12.76</v>
      </c>
      <c r="D48" s="632"/>
      <c r="E48" s="631" t="str">
        <f>F47</f>
        <v>+ 12.98</v>
      </c>
      <c r="F48" s="632"/>
      <c r="G48" s="631" t="str">
        <f>H47</f>
        <v>+ 12.77</v>
      </c>
      <c r="H48" s="632"/>
    </row>
    <row r="49" spans="1:9" s="392" customFormat="1" ht="15" thickBot="1">
      <c r="B49" s="647" t="s">
        <v>452</v>
      </c>
      <c r="C49" s="648">
        <f>C$46+C$48+C$44+C$45</f>
        <v>172.29289102187062</v>
      </c>
      <c r="D49" s="649">
        <f>D38+D47</f>
        <v>0.90000000000000036</v>
      </c>
      <c r="E49" s="648">
        <f>E$46+E$48+E$44+E$45</f>
        <v>175.24808978937492</v>
      </c>
      <c r="F49" s="649">
        <f>F38+F47</f>
        <v>0.91000000000000014</v>
      </c>
      <c r="G49" s="650">
        <f>G$46+G$48+G$44+G$45</f>
        <v>172.44926200218188</v>
      </c>
      <c r="H49" s="651">
        <f>H38+H47</f>
        <v>0.90000000000000036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sheetPr codeName="Sheet237">
    <tabColor rgb="FF00CC00"/>
  </sheetPr>
  <dimension ref="B2:K31"/>
  <sheetViews>
    <sheetView topLeftCell="A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72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2.3614971227808281</v>
      </c>
      <c r="E23" s="283">
        <f t="shared" ref="E23:F23" si="0">$G$23*$G$8</f>
        <v>2.3614971227808281</v>
      </c>
      <c r="F23" s="283">
        <f t="shared" si="0"/>
        <v>2.3614971227808281</v>
      </c>
      <c r="G23" s="284">
        <f>'Delivery &gt;40km-Sept 2013'!E24*I23/1000</f>
        <v>2.0357733817076107</v>
      </c>
      <c r="H23" s="262" t="s">
        <v>129</v>
      </c>
      <c r="I23" s="259">
        <v>170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159.45688297268566</v>
      </c>
      <c r="E25" s="285">
        <f>E19+E21+E23</f>
        <v>162.18046063708863</v>
      </c>
      <c r="F25" s="285">
        <f>F19+F21+F23</f>
        <v>159.61822715100621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sheetPr codeName="Sheet238">
    <tabColor rgb="FF0000FF"/>
  </sheetPr>
  <dimension ref="A2:M68"/>
  <sheetViews>
    <sheetView topLeftCell="A22" workbookViewId="0">
      <selection activeCell="E42" sqref="E42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Burgich!G23</f>
        <v>2.0357733817076107</v>
      </c>
      <c r="D40" s="943"/>
      <c r="E40" s="880">
        <f>C40</f>
        <v>2.0357733817076107</v>
      </c>
      <c r="F40" s="943"/>
      <c r="G40" s="613">
        <f>C40</f>
        <v>2.0357733817076107</v>
      </c>
      <c r="H40" s="943"/>
    </row>
    <row r="41" spans="1:8" s="392" customFormat="1">
      <c r="A41" s="605"/>
      <c r="B41" s="617" t="s">
        <v>446</v>
      </c>
      <c r="C41" s="618">
        <f>SUM(C40)</f>
        <v>2.0357733817076107</v>
      </c>
      <c r="D41" s="618"/>
      <c r="E41" s="626">
        <f>SUM(E40)</f>
        <v>2.0357733817076107</v>
      </c>
      <c r="F41" s="944"/>
      <c r="G41" s="618">
        <f>SUM(G40)</f>
        <v>2.0357733817076107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170.27920323070117</v>
      </c>
      <c r="D43" s="610"/>
      <c r="E43" s="613">
        <f>E$37+E$42+E$41</f>
        <v>173.22440199820545</v>
      </c>
      <c r="F43" s="610"/>
      <c r="G43" s="236">
        <f>G$37+G$42+G$41</f>
        <v>170.43557421101241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158.41920323070116</v>
      </c>
      <c r="D46" s="610"/>
      <c r="E46" s="641">
        <f>E$43-E44-E45+F$38</f>
        <v>161.15440199820546</v>
      </c>
      <c r="F46" s="610"/>
      <c r="G46" s="642">
        <f>G$43-G44-G45+H$38</f>
        <v>158.5655742110124</v>
      </c>
      <c r="H46" s="573"/>
    </row>
    <row r="47" spans="1:8">
      <c r="B47" s="503" t="s">
        <v>445</v>
      </c>
      <c r="C47" s="644"/>
      <c r="D47" s="696" t="str">
        <f>CONCATENATE("+ ",ROUND((C$46*0.08),2))</f>
        <v>+ 12.67</v>
      </c>
      <c r="E47" s="644"/>
      <c r="F47" s="627" t="str">
        <f>CONCATENATE("+ ",ROUND((E$46*0.08),2))</f>
        <v>+ 12.89</v>
      </c>
      <c r="G47" s="645"/>
      <c r="H47" s="627" t="str">
        <f>CONCATENATE("+ ",ROUND((G$46*0.08),2))</f>
        <v>+ 12.69</v>
      </c>
    </row>
    <row r="48" spans="1:8" ht="15" thickBot="1">
      <c r="B48" s="646" t="s">
        <v>449</v>
      </c>
      <c r="C48" s="697" t="str">
        <f>D47</f>
        <v>+ 12.67</v>
      </c>
      <c r="D48" s="632"/>
      <c r="E48" s="631" t="str">
        <f>F47</f>
        <v>+ 12.89</v>
      </c>
      <c r="F48" s="632"/>
      <c r="G48" s="631" t="str">
        <f>H47</f>
        <v>+ 12.69</v>
      </c>
      <c r="H48" s="632"/>
    </row>
    <row r="49" spans="1:9" s="392" customFormat="1" ht="15" thickBot="1">
      <c r="B49" s="647" t="s">
        <v>452</v>
      </c>
      <c r="C49" s="648">
        <f>C$46+C$48+C$44+C$45</f>
        <v>171.08920323070114</v>
      </c>
      <c r="D49" s="649">
        <f>D38+D47</f>
        <v>0.8100000000000005</v>
      </c>
      <c r="E49" s="648">
        <f>E$46+E$48+E$44+E$45</f>
        <v>174.04440199820544</v>
      </c>
      <c r="F49" s="649">
        <f>F38+F47</f>
        <v>0.82000000000000028</v>
      </c>
      <c r="G49" s="650">
        <f>G$46+G$48+G$44+G$45</f>
        <v>171.2555742110124</v>
      </c>
      <c r="H49" s="651">
        <f>H38+H47</f>
        <v>0.82000000000000028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sheetPr codeName="Sheet239">
    <tabColor rgb="FF00CC00"/>
  </sheetPr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72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2.500408718238524</v>
      </c>
      <c r="E23" s="283">
        <f t="shared" ref="E23:F23" si="0">$G$23*$G$8</f>
        <v>2.500408718238524</v>
      </c>
      <c r="F23" s="283">
        <f t="shared" si="0"/>
        <v>2.500408718238524</v>
      </c>
      <c r="G23" s="284">
        <f>'Delivery &gt;40km-Sept 2013'!E24*I23/1000</f>
        <v>2.1555247571021758</v>
      </c>
      <c r="H23" s="262" t="s">
        <v>129</v>
      </c>
      <c r="I23" s="259">
        <v>180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159.59579456814336</v>
      </c>
      <c r="E25" s="285">
        <f>E19+E21+E23</f>
        <v>162.31937223254633</v>
      </c>
      <c r="F25" s="285">
        <f>F19+F21+F23</f>
        <v>159.75713874646391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sheetPr codeName="Sheet240">
    <tabColor rgb="FF0000FF"/>
  </sheetPr>
  <dimension ref="A2:M68"/>
  <sheetViews>
    <sheetView topLeftCell="A34" workbookViewId="0">
      <selection activeCell="E44" sqref="E44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Sigor!G23</f>
        <v>2.1555247571021758</v>
      </c>
      <c r="D40" s="943"/>
      <c r="E40" s="880">
        <f>C40</f>
        <v>2.1555247571021758</v>
      </c>
      <c r="F40" s="943"/>
      <c r="G40" s="613">
        <f>C40</f>
        <v>2.1555247571021758</v>
      </c>
      <c r="H40" s="943"/>
    </row>
    <row r="41" spans="1:8" s="392" customFormat="1">
      <c r="A41" s="605"/>
      <c r="B41" s="617" t="s">
        <v>446</v>
      </c>
      <c r="C41" s="618">
        <f>SUM(C40)</f>
        <v>2.1555247571021758</v>
      </c>
      <c r="D41" s="618"/>
      <c r="E41" s="626">
        <f>SUM(E40)</f>
        <v>2.1555247571021758</v>
      </c>
      <c r="F41" s="944"/>
      <c r="G41" s="618">
        <f>SUM(G40)</f>
        <v>2.1555247571021758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170.39895460609574</v>
      </c>
      <c r="D43" s="610"/>
      <c r="E43" s="613">
        <f>E$37+E$42+E$41</f>
        <v>173.34415337360002</v>
      </c>
      <c r="F43" s="610"/>
      <c r="G43" s="236">
        <f>G$37+G$42+G$41</f>
        <v>170.55532558640698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158.53895460609573</v>
      </c>
      <c r="D46" s="610"/>
      <c r="E46" s="641">
        <f>E$43-E44-E45+F$38</f>
        <v>161.27415337360003</v>
      </c>
      <c r="F46" s="610"/>
      <c r="G46" s="642">
        <f>G$43-G44-G45+H$38</f>
        <v>158.68532558640698</v>
      </c>
      <c r="H46" s="573"/>
    </row>
    <row r="47" spans="1:8">
      <c r="B47" s="503" t="s">
        <v>445</v>
      </c>
      <c r="C47" s="644"/>
      <c r="D47" s="696" t="str">
        <f>CONCATENATE("+ ",ROUND((C$46*0.08),2))</f>
        <v>+ 12.68</v>
      </c>
      <c r="E47" s="644"/>
      <c r="F47" s="627" t="str">
        <f>CONCATENATE("+ ",ROUND((E$46*0.08),2))</f>
        <v>+ 12.9</v>
      </c>
      <c r="G47" s="645"/>
      <c r="H47" s="627" t="str">
        <f>CONCATENATE("+ ",ROUND((G$46*0.08),2))</f>
        <v>+ 12.69</v>
      </c>
    </row>
    <row r="48" spans="1:8" ht="15" thickBot="1">
      <c r="B48" s="646" t="s">
        <v>449</v>
      </c>
      <c r="C48" s="697" t="str">
        <f>D47</f>
        <v>+ 12.68</v>
      </c>
      <c r="D48" s="632"/>
      <c r="E48" s="631" t="str">
        <f>F47</f>
        <v>+ 12.9</v>
      </c>
      <c r="F48" s="632"/>
      <c r="G48" s="631" t="str">
        <f>H47</f>
        <v>+ 12.69</v>
      </c>
      <c r="H48" s="632"/>
    </row>
    <row r="49" spans="1:9" s="392" customFormat="1" ht="15" thickBot="1">
      <c r="B49" s="647" t="s">
        <v>452</v>
      </c>
      <c r="C49" s="648">
        <f>C$46+C$48+C$44+C$45</f>
        <v>171.21895460609574</v>
      </c>
      <c r="D49" s="649">
        <f>D38+D47</f>
        <v>0.82000000000000028</v>
      </c>
      <c r="E49" s="648">
        <f>E$46+E$48+E$44+E$45</f>
        <v>174.17415337360003</v>
      </c>
      <c r="F49" s="649">
        <f>F38+F47</f>
        <v>0.83000000000000007</v>
      </c>
      <c r="G49" s="650">
        <f>G$46+G$48+G$44+G$45</f>
        <v>171.37532558640697</v>
      </c>
      <c r="H49" s="651">
        <f>H38+H47</f>
        <v>0.82000000000000028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sheetPr codeName="Sheet241">
    <tabColor rgb="FF00CC00"/>
  </sheetPr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72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5.1119467128432046</v>
      </c>
      <c r="E23" s="283">
        <f t="shared" ref="E23:F23" si="0">$G$23*$G$8</f>
        <v>5.1119467128432046</v>
      </c>
      <c r="F23" s="283">
        <f t="shared" si="0"/>
        <v>5.1119467128432046</v>
      </c>
      <c r="G23" s="284">
        <f>'Delivery &gt;40km-Sept 2013'!E24*I23/1000</f>
        <v>4.4068506145200042</v>
      </c>
      <c r="H23" s="262" t="s">
        <v>129</v>
      </c>
      <c r="I23" s="259">
        <v>368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162.20733256274804</v>
      </c>
      <c r="E25" s="285">
        <f>E19+E21+E23</f>
        <v>164.930910227151</v>
      </c>
      <c r="F25" s="285">
        <f>F19+F21+F23</f>
        <v>162.36867674106858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sheetPr codeName="Sheet242">
    <tabColor rgb="FF0000FF"/>
  </sheetPr>
  <dimension ref="A2:M68"/>
  <sheetViews>
    <sheetView topLeftCell="A30" workbookViewId="0">
      <selection activeCell="D43" sqref="D43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Lodwar!G23</f>
        <v>4.4068506145200042</v>
      </c>
      <c r="D40" s="943"/>
      <c r="E40" s="880">
        <f>C40</f>
        <v>4.4068506145200042</v>
      </c>
      <c r="F40" s="943"/>
      <c r="G40" s="613">
        <f>C40</f>
        <v>4.4068506145200042</v>
      </c>
      <c r="H40" s="943"/>
    </row>
    <row r="41" spans="1:8" s="392" customFormat="1">
      <c r="A41" s="605"/>
      <c r="B41" s="617" t="s">
        <v>446</v>
      </c>
      <c r="C41" s="618">
        <f>SUM(C40)</f>
        <v>4.4068506145200042</v>
      </c>
      <c r="D41" s="618"/>
      <c r="E41" s="626">
        <f>SUM(E40)</f>
        <v>4.4068506145200042</v>
      </c>
      <c r="F41" s="944"/>
      <c r="G41" s="618">
        <f>SUM(G40)</f>
        <v>4.4068506145200042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172.65028046351358</v>
      </c>
      <c r="D43" s="610"/>
      <c r="E43" s="613">
        <f>E$37+E$42+E$41</f>
        <v>175.59547923101786</v>
      </c>
      <c r="F43" s="610"/>
      <c r="G43" s="236">
        <f>G$37+G$42+G$41</f>
        <v>172.80665144382482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160.79028046351357</v>
      </c>
      <c r="D46" s="610"/>
      <c r="E46" s="641">
        <f>E$43-E44-E45+F$38</f>
        <v>163.52547923101787</v>
      </c>
      <c r="F46" s="610"/>
      <c r="G46" s="642">
        <f>G$43-G44-G45+H$38</f>
        <v>160.93665144382481</v>
      </c>
      <c r="H46" s="573"/>
    </row>
    <row r="47" spans="1:8">
      <c r="B47" s="503" t="s">
        <v>445</v>
      </c>
      <c r="C47" s="644"/>
      <c r="D47" s="696" t="str">
        <f>CONCATENATE("+ ",ROUND((C$46*0.08),2))</f>
        <v>+ 12.86</v>
      </c>
      <c r="E47" s="644"/>
      <c r="F47" s="627" t="str">
        <f>CONCATENATE("+ ",ROUND((E$46*0.08),2))</f>
        <v>+ 13.08</v>
      </c>
      <c r="G47" s="645"/>
      <c r="H47" s="627" t="str">
        <f>CONCATENATE("+ ",ROUND((G$46*0.08),2))</f>
        <v>+ 12.87</v>
      </c>
    </row>
    <row r="48" spans="1:8" ht="15" thickBot="1">
      <c r="B48" s="646" t="s">
        <v>449</v>
      </c>
      <c r="C48" s="697" t="str">
        <f>D47</f>
        <v>+ 12.86</v>
      </c>
      <c r="D48" s="632"/>
      <c r="E48" s="631" t="str">
        <f>F47</f>
        <v>+ 13.08</v>
      </c>
      <c r="F48" s="632"/>
      <c r="G48" s="631" t="str">
        <f>H47</f>
        <v>+ 12.87</v>
      </c>
      <c r="H48" s="632"/>
    </row>
    <row r="49" spans="1:9" s="392" customFormat="1" ht="15" thickBot="1">
      <c r="B49" s="647" t="s">
        <v>452</v>
      </c>
      <c r="C49" s="648">
        <f>C$46+C$48+C$44+C$45</f>
        <v>173.65028046351358</v>
      </c>
      <c r="D49" s="649">
        <f>D38+D47</f>
        <v>1</v>
      </c>
      <c r="E49" s="648">
        <f>E$46+E$48+E$44+E$45</f>
        <v>176.60547923101788</v>
      </c>
      <c r="F49" s="649">
        <f>F38+F47</f>
        <v>1.0099999999999998</v>
      </c>
      <c r="G49" s="650">
        <f>G$46+G$48+G$44+G$45</f>
        <v>173.80665144382482</v>
      </c>
      <c r="H49" s="651">
        <f>H38+H47</f>
        <v>1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sheetPr codeName="Sheet243">
    <tabColor rgb="FF00CC00"/>
  </sheetPr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72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6.8205593369728632</v>
      </c>
      <c r="E23" s="283">
        <f t="shared" ref="E23:F23" si="0">$G$23*$G$8</f>
        <v>6.8205593369728632</v>
      </c>
      <c r="F23" s="283">
        <f t="shared" si="0"/>
        <v>6.8205593369728632</v>
      </c>
      <c r="G23" s="284">
        <f>'Delivery &gt;40km-Sept 2013'!E24*I23/1000</f>
        <v>5.8797925318731581</v>
      </c>
      <c r="H23" s="262" t="s">
        <v>129</v>
      </c>
      <c r="I23" s="259">
        <v>491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163.91594518687771</v>
      </c>
      <c r="E25" s="285">
        <f>E19+E21+E23</f>
        <v>166.63952285128067</v>
      </c>
      <c r="F25" s="285">
        <f>F19+F21+F23</f>
        <v>164.07728936519823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sheetPr codeName="Sheet244">
    <tabColor rgb="FF0000FF"/>
  </sheetPr>
  <dimension ref="A2:M68"/>
  <sheetViews>
    <sheetView topLeftCell="A35" workbookViewId="0">
      <selection activeCell="D43" sqref="D43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Kakuma!G23</f>
        <v>5.8797925318731581</v>
      </c>
      <c r="D40" s="943"/>
      <c r="E40" s="880">
        <f>C40</f>
        <v>5.8797925318731581</v>
      </c>
      <c r="F40" s="943"/>
      <c r="G40" s="613">
        <f>C40</f>
        <v>5.8797925318731581</v>
      </c>
      <c r="H40" s="943"/>
    </row>
    <row r="41" spans="1:8" s="392" customFormat="1">
      <c r="A41" s="605"/>
      <c r="B41" s="617" t="s">
        <v>446</v>
      </c>
      <c r="C41" s="618">
        <f>SUM(C40)</f>
        <v>5.8797925318731581</v>
      </c>
      <c r="D41" s="618"/>
      <c r="E41" s="626">
        <f>SUM(E40)</f>
        <v>5.8797925318731581</v>
      </c>
      <c r="F41" s="944"/>
      <c r="G41" s="618">
        <f>SUM(G40)</f>
        <v>5.8797925318731581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174.12322238086674</v>
      </c>
      <c r="D43" s="610"/>
      <c r="E43" s="613">
        <f>E$37+E$42+E$41</f>
        <v>177.06842114837102</v>
      </c>
      <c r="F43" s="610"/>
      <c r="G43" s="236">
        <f>G$37+G$42+G$41</f>
        <v>174.27959336117797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162.26322238086675</v>
      </c>
      <c r="D46" s="610"/>
      <c r="E46" s="641">
        <f>E$43-E44-E45+F$38</f>
        <v>164.99842114837102</v>
      </c>
      <c r="F46" s="610"/>
      <c r="G46" s="642">
        <f>G$43-G44-G45+H$38</f>
        <v>162.40959336117797</v>
      </c>
      <c r="H46" s="573"/>
    </row>
    <row r="47" spans="1:8">
      <c r="B47" s="503" t="s">
        <v>445</v>
      </c>
      <c r="C47" s="644"/>
      <c r="D47" s="696" t="str">
        <f>CONCATENATE("+ ",ROUND((C$46*0.08),2))</f>
        <v>+ 12.98</v>
      </c>
      <c r="E47" s="644"/>
      <c r="F47" s="627" t="str">
        <f>CONCATENATE("+ ",ROUND((E$46*0.08),2))</f>
        <v>+ 13.2</v>
      </c>
      <c r="G47" s="645"/>
      <c r="H47" s="627" t="str">
        <f>CONCATENATE("+ ",ROUND((G$46*0.08),2))</f>
        <v>+ 12.99</v>
      </c>
    </row>
    <row r="48" spans="1:8" ht="15" thickBot="1">
      <c r="B48" s="646" t="s">
        <v>449</v>
      </c>
      <c r="C48" s="697" t="str">
        <f>D47</f>
        <v>+ 12.98</v>
      </c>
      <c r="D48" s="632"/>
      <c r="E48" s="631" t="str">
        <f>F47</f>
        <v>+ 13.2</v>
      </c>
      <c r="F48" s="632"/>
      <c r="G48" s="631" t="str">
        <f>H47</f>
        <v>+ 12.99</v>
      </c>
      <c r="H48" s="632"/>
    </row>
    <row r="49" spans="1:9" s="392" customFormat="1" ht="15" thickBot="1">
      <c r="B49" s="647" t="s">
        <v>452</v>
      </c>
      <c r="C49" s="648">
        <f>C$46+C$48+C$44+C$45</f>
        <v>175.24322238086674</v>
      </c>
      <c r="D49" s="649">
        <f>D38+D47</f>
        <v>1.120000000000001</v>
      </c>
      <c r="E49" s="648">
        <f>E$46+E$48+E$44+E$45</f>
        <v>178.19842114837101</v>
      </c>
      <c r="F49" s="649">
        <f>F38+F47</f>
        <v>1.129999999999999</v>
      </c>
      <c r="G49" s="650">
        <f>G$46+G$48+G$44+G$45</f>
        <v>175.39959336117798</v>
      </c>
      <c r="H49" s="651">
        <f>H38+H47</f>
        <v>1.120000000000001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sheetPr codeName="Sheet245">
    <tabColor rgb="FF00CC00"/>
  </sheetPr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72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4.0423274278189476</v>
      </c>
      <c r="E23" s="283">
        <f t="shared" ref="E23:F23" si="0">$G$23*$G$8</f>
        <v>4.0423274278189476</v>
      </c>
      <c r="F23" s="283">
        <f t="shared" si="0"/>
        <v>4.0423274278189476</v>
      </c>
      <c r="G23" s="284">
        <f>'Delivery &gt;40km-Sept 2013'!E24*I23/1000</f>
        <v>3.4847650239818515</v>
      </c>
      <c r="H23" s="262" t="s">
        <v>129</v>
      </c>
      <c r="I23" s="259">
        <v>291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161.13771327772378</v>
      </c>
      <c r="E25" s="285">
        <f>E19+E21+E23</f>
        <v>163.86129094212674</v>
      </c>
      <c r="F25" s="285">
        <f>F19+F21+F23</f>
        <v>161.29905745604432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sheetPr codeName="Sheet246">
    <tabColor rgb="FF0000FF"/>
  </sheetPr>
  <dimension ref="A2:M68"/>
  <sheetViews>
    <sheetView topLeftCell="A16" workbookViewId="0">
      <selection activeCell="C69" sqref="C69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Lokichar!G23</f>
        <v>3.4847650239818515</v>
      </c>
      <c r="D40" s="943"/>
      <c r="E40" s="880">
        <f>C40</f>
        <v>3.4847650239818515</v>
      </c>
      <c r="F40" s="943"/>
      <c r="G40" s="613">
        <f>C40</f>
        <v>3.4847650239818515</v>
      </c>
      <c r="H40" s="943"/>
    </row>
    <row r="41" spans="1:8" s="392" customFormat="1">
      <c r="A41" s="605"/>
      <c r="B41" s="617" t="s">
        <v>446</v>
      </c>
      <c r="C41" s="618">
        <f>SUM(C40)</f>
        <v>3.4847650239818515</v>
      </c>
      <c r="D41" s="618"/>
      <c r="E41" s="626">
        <f>SUM(E40)</f>
        <v>3.4847650239818515</v>
      </c>
      <c r="F41" s="944"/>
      <c r="G41" s="618">
        <f>SUM(G40)</f>
        <v>3.4847650239818515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171.72819487297542</v>
      </c>
      <c r="D43" s="610"/>
      <c r="E43" s="613">
        <f>E$37+E$42+E$41</f>
        <v>174.6733936404797</v>
      </c>
      <c r="F43" s="610"/>
      <c r="G43" s="236">
        <f>G$37+G$42+G$41</f>
        <v>171.88456585328666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159.86819487297544</v>
      </c>
      <c r="D46" s="610"/>
      <c r="E46" s="641">
        <f>E$43-E44-E45+F$38</f>
        <v>162.60339364047971</v>
      </c>
      <c r="F46" s="610"/>
      <c r="G46" s="642">
        <f>G$43-G44-G45+H$38</f>
        <v>160.01456585328665</v>
      </c>
      <c r="H46" s="573"/>
    </row>
    <row r="47" spans="1:8">
      <c r="B47" s="503" t="s">
        <v>445</v>
      </c>
      <c r="C47" s="644"/>
      <c r="D47" s="696" t="str">
        <f>CONCATENATE("+ ",ROUND((C$46*0.08),2))</f>
        <v>+ 12.79</v>
      </c>
      <c r="E47" s="644"/>
      <c r="F47" s="627" t="str">
        <f>CONCATENATE("+ ",ROUND((E$46*0.08),2))</f>
        <v>+ 13.01</v>
      </c>
      <c r="G47" s="645"/>
      <c r="H47" s="627" t="str">
        <f>CONCATENATE("+ ",ROUND((G$46*0.08),2))</f>
        <v>+ 12.8</v>
      </c>
    </row>
    <row r="48" spans="1:8" ht="15" thickBot="1">
      <c r="B48" s="646" t="s">
        <v>449</v>
      </c>
      <c r="C48" s="697" t="str">
        <f>D47</f>
        <v>+ 12.79</v>
      </c>
      <c r="D48" s="632"/>
      <c r="E48" s="631" t="str">
        <f>F47</f>
        <v>+ 13.01</v>
      </c>
      <c r="F48" s="632"/>
      <c r="G48" s="631" t="str">
        <f>H47</f>
        <v>+ 12.8</v>
      </c>
      <c r="H48" s="632"/>
    </row>
    <row r="49" spans="1:9" s="392" customFormat="1" ht="15" thickBot="1">
      <c r="B49" s="647" t="s">
        <v>452</v>
      </c>
      <c r="C49" s="648">
        <f>C$46+C$48+C$44+C$45</f>
        <v>172.65819487297543</v>
      </c>
      <c r="D49" s="649">
        <f>D38+D47</f>
        <v>0.92999999999999972</v>
      </c>
      <c r="E49" s="648">
        <f>E$46+E$48+E$44+E$45</f>
        <v>175.6133936404797</v>
      </c>
      <c r="F49" s="649">
        <f>F38+F47</f>
        <v>0.9399999999999995</v>
      </c>
      <c r="G49" s="650">
        <f>G$46+G$48+G$44+G$45</f>
        <v>172.81456585328667</v>
      </c>
      <c r="H49" s="651">
        <f>H38+H47</f>
        <v>0.93000000000000149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sheetPr codeName="Sheet247">
    <tabColor rgb="FF00CC00"/>
  </sheetPr>
  <dimension ref="B2:K31"/>
  <sheetViews>
    <sheetView topLeftCell="A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72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5.931525126043609</v>
      </c>
      <c r="E23" s="283">
        <f t="shared" ref="E23:F23" si="0">$G$23*$G$8</f>
        <v>5.931525126043609</v>
      </c>
      <c r="F23" s="283">
        <f t="shared" si="0"/>
        <v>5.931525126043609</v>
      </c>
      <c r="G23" s="284">
        <f>'Delivery &gt;40km-Sept 2013'!E24*I23/1000</f>
        <v>5.1133837293479392</v>
      </c>
      <c r="H23" s="262" t="s">
        <v>129</v>
      </c>
      <c r="I23" s="259">
        <v>427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163.02691097594843</v>
      </c>
      <c r="E25" s="285">
        <f>E19+E21+E23</f>
        <v>165.75048864035139</v>
      </c>
      <c r="F25" s="285">
        <f>F19+F21+F23</f>
        <v>163.18825515426897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sheetPr codeName="Sheet248">
    <tabColor rgb="FF0000FF"/>
  </sheetPr>
  <dimension ref="A2:M68"/>
  <sheetViews>
    <sheetView topLeftCell="A22" workbookViewId="0">
      <selection activeCell="E44" sqref="E44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Kalokol!G23</f>
        <v>5.1133837293479392</v>
      </c>
      <c r="D40" s="943"/>
      <c r="E40" s="880">
        <f>C40</f>
        <v>5.1133837293479392</v>
      </c>
      <c r="F40" s="943"/>
      <c r="G40" s="613">
        <f>C40</f>
        <v>5.1133837293479392</v>
      </c>
      <c r="H40" s="943"/>
    </row>
    <row r="41" spans="1:8" s="392" customFormat="1">
      <c r="A41" s="605"/>
      <c r="B41" s="617" t="s">
        <v>446</v>
      </c>
      <c r="C41" s="618">
        <f>SUM(C40)</f>
        <v>5.1133837293479392</v>
      </c>
      <c r="D41" s="618"/>
      <c r="E41" s="626">
        <f>SUM(E40)</f>
        <v>5.1133837293479392</v>
      </c>
      <c r="F41" s="944"/>
      <c r="G41" s="618">
        <f>SUM(G40)</f>
        <v>5.1133837293479392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173.3568135783415</v>
      </c>
      <c r="D43" s="610"/>
      <c r="E43" s="613">
        <f>E$37+E$42+E$41</f>
        <v>176.30201234584578</v>
      </c>
      <c r="F43" s="610"/>
      <c r="G43" s="236">
        <f>G$37+G$42+G$41</f>
        <v>173.51318455865274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161.49681357834152</v>
      </c>
      <c r="D46" s="610"/>
      <c r="E46" s="641">
        <f>E$43-E44-E45+F$38</f>
        <v>164.23201234584579</v>
      </c>
      <c r="F46" s="610"/>
      <c r="G46" s="642">
        <f>G$43-G44-G45+H$38</f>
        <v>161.64318455865273</v>
      </c>
      <c r="H46" s="573"/>
    </row>
    <row r="47" spans="1:8">
      <c r="B47" s="503" t="s">
        <v>445</v>
      </c>
      <c r="C47" s="644"/>
      <c r="D47" s="696" t="str">
        <f>CONCATENATE("+ ",ROUND((C$46*0.08),2))</f>
        <v>+ 12.92</v>
      </c>
      <c r="E47" s="644"/>
      <c r="F47" s="627" t="str">
        <f>CONCATENATE("+ ",ROUND((E$46*0.08),2))</f>
        <v>+ 13.14</v>
      </c>
      <c r="G47" s="645"/>
      <c r="H47" s="627" t="str">
        <f>CONCATENATE("+ ",ROUND((G$46*0.08),2))</f>
        <v>+ 12.93</v>
      </c>
    </row>
    <row r="48" spans="1:8" ht="15" thickBot="1">
      <c r="B48" s="646" t="s">
        <v>449</v>
      </c>
      <c r="C48" s="697" t="str">
        <f>D47</f>
        <v>+ 12.92</v>
      </c>
      <c r="D48" s="632"/>
      <c r="E48" s="631" t="str">
        <f>F47</f>
        <v>+ 13.14</v>
      </c>
      <c r="F48" s="632"/>
      <c r="G48" s="631" t="str">
        <f>H47</f>
        <v>+ 12.93</v>
      </c>
      <c r="H48" s="632"/>
    </row>
    <row r="49" spans="1:9" s="392" customFormat="1" ht="15" thickBot="1">
      <c r="B49" s="647" t="s">
        <v>452</v>
      </c>
      <c r="C49" s="648">
        <f>C$46+C$48+C$44+C$45</f>
        <v>174.4168135783415</v>
      </c>
      <c r="D49" s="649">
        <f>D38+D47</f>
        <v>1.0600000000000005</v>
      </c>
      <c r="E49" s="648">
        <f>E$46+E$48+E$44+E$45</f>
        <v>177.3720123458458</v>
      </c>
      <c r="F49" s="649">
        <f>F38+F47</f>
        <v>1.0700000000000003</v>
      </c>
      <c r="G49" s="650">
        <f>G$46+G$48+G$44+G$45</f>
        <v>174.57318455865274</v>
      </c>
      <c r="H49" s="651">
        <f>H38+H47</f>
        <v>1.0600000000000005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sheetPr codeName="Sheet249">
    <tabColor rgb="FF00CC00"/>
  </sheetPr>
  <dimension ref="B2:K31"/>
  <sheetViews>
    <sheetView topLeftCell="A6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72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4.431279895100495</v>
      </c>
      <c r="E23" s="283">
        <f t="shared" ref="E23:F23" si="0">$G$23*$G$8</f>
        <v>4.431279895100495</v>
      </c>
      <c r="F23" s="283">
        <f t="shared" si="0"/>
        <v>4.431279895100495</v>
      </c>
      <c r="G23" s="284">
        <f>'Delivery &gt;40km-Sept 2013'!E24*I23/1000</f>
        <v>3.8200688750866338</v>
      </c>
      <c r="H23" s="262" t="s">
        <v>129</v>
      </c>
      <c r="I23" s="259">
        <v>319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161.52666574500532</v>
      </c>
      <c r="E25" s="285">
        <f>E19+E21+E23</f>
        <v>164.25024340940828</v>
      </c>
      <c r="F25" s="285">
        <f>F19+F21+F23</f>
        <v>161.68800992332586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sheetPr codeName="Sheet250">
    <tabColor rgb="FF0000FF"/>
  </sheetPr>
  <dimension ref="A2:M68"/>
  <sheetViews>
    <sheetView topLeftCell="A31" workbookViewId="0">
      <selection activeCell="G16" sqref="G16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Lokori!G23</f>
        <v>3.8200688750866338</v>
      </c>
      <c r="D40" s="943"/>
      <c r="E40" s="880">
        <f>C40</f>
        <v>3.8200688750866338</v>
      </c>
      <c r="F40" s="943"/>
      <c r="G40" s="613">
        <f>C40</f>
        <v>3.8200688750866338</v>
      </c>
      <c r="H40" s="943"/>
    </row>
    <row r="41" spans="1:8" s="392" customFormat="1">
      <c r="A41" s="605"/>
      <c r="B41" s="617" t="s">
        <v>446</v>
      </c>
      <c r="C41" s="618">
        <f>SUM(C40)</f>
        <v>3.8200688750866338</v>
      </c>
      <c r="D41" s="618"/>
      <c r="E41" s="626">
        <f>SUM(E40)</f>
        <v>3.8200688750866338</v>
      </c>
      <c r="F41" s="944"/>
      <c r="G41" s="618">
        <f>SUM(G40)</f>
        <v>3.8200688750866338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172.0634987240802</v>
      </c>
      <c r="D43" s="610"/>
      <c r="E43" s="613">
        <f>E$37+E$42+E$41</f>
        <v>175.00869749158448</v>
      </c>
      <c r="F43" s="610"/>
      <c r="G43" s="236">
        <f>G$37+G$42+G$41</f>
        <v>172.21986970439144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160.20349872408019</v>
      </c>
      <c r="D46" s="610"/>
      <c r="E46" s="641">
        <f>E$43-E44-E45+F$38</f>
        <v>162.93869749158449</v>
      </c>
      <c r="F46" s="610"/>
      <c r="G46" s="642">
        <f>G$43-G44-G45+H$38</f>
        <v>160.34986970439144</v>
      </c>
      <c r="H46" s="573"/>
    </row>
    <row r="47" spans="1:8">
      <c r="B47" s="503" t="s">
        <v>445</v>
      </c>
      <c r="C47" s="644"/>
      <c r="D47" s="696" t="str">
        <f>CONCATENATE("+ ",ROUND((C$46*0.08),2))</f>
        <v>+ 12.82</v>
      </c>
      <c r="E47" s="644"/>
      <c r="F47" s="627" t="str">
        <f>CONCATENATE("+ ",ROUND((E$46*0.08),2))</f>
        <v>+ 13.04</v>
      </c>
      <c r="G47" s="645"/>
      <c r="H47" s="627" t="str">
        <f>CONCATENATE("+ ",ROUND((G$46*0.08),2))</f>
        <v>+ 12.83</v>
      </c>
    </row>
    <row r="48" spans="1:8" ht="15" thickBot="1">
      <c r="B48" s="646" t="s">
        <v>449</v>
      </c>
      <c r="C48" s="697" t="str">
        <f>D47</f>
        <v>+ 12.82</v>
      </c>
      <c r="D48" s="632"/>
      <c r="E48" s="631" t="str">
        <f>F47</f>
        <v>+ 13.04</v>
      </c>
      <c r="F48" s="632"/>
      <c r="G48" s="631" t="str">
        <f>H47</f>
        <v>+ 12.83</v>
      </c>
      <c r="H48" s="632"/>
    </row>
    <row r="49" spans="1:9" s="392" customFormat="1" ht="15" thickBot="1">
      <c r="B49" s="647" t="s">
        <v>452</v>
      </c>
      <c r="C49" s="648">
        <f>C$46+C$48+C$44+C$45</f>
        <v>173.02349872408018</v>
      </c>
      <c r="D49" s="649">
        <f>D38+D47</f>
        <v>0.96000000000000085</v>
      </c>
      <c r="E49" s="648">
        <f>E$46+E$48+E$44+E$45</f>
        <v>175.97869749158448</v>
      </c>
      <c r="F49" s="649">
        <f>F38+F47</f>
        <v>0.96999999999999886</v>
      </c>
      <c r="G49" s="650">
        <f>G$46+G$48+G$44+G$45</f>
        <v>173.17986970439145</v>
      </c>
      <c r="H49" s="651">
        <f>H38+H47</f>
        <v>0.96000000000000085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sheetPr codeName="Sheet251">
    <tabColor rgb="FF00CC00"/>
  </sheetPr>
  <dimension ref="B2:K31"/>
  <sheetViews>
    <sheetView topLeftCell="A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72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9.029253704750225</v>
      </c>
      <c r="E23" s="283">
        <f t="shared" ref="E23:F23" si="0">$G$23*$G$8</f>
        <v>9.029253704750225</v>
      </c>
      <c r="F23" s="283">
        <f t="shared" si="0"/>
        <v>9.029253704750225</v>
      </c>
      <c r="G23" s="284">
        <f>'Delivery &gt;40km-Sept 2013'!E24*I23/1000</f>
        <v>7.7838394006467464</v>
      </c>
      <c r="H23" s="262" t="s">
        <v>129</v>
      </c>
      <c r="I23" s="259">
        <v>650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166.12463955465506</v>
      </c>
      <c r="E25" s="285">
        <f>E19+E21+E23</f>
        <v>168.84821721905803</v>
      </c>
      <c r="F25" s="285">
        <f>F19+F21+F23</f>
        <v>166.28598373297561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sheetPr codeName="Sheet252">
    <tabColor rgb="FF0000FF"/>
  </sheetPr>
  <dimension ref="A2:M68"/>
  <sheetViews>
    <sheetView topLeftCell="A22" workbookViewId="0">
      <selection activeCell="D48" sqref="D48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Lokitaung!G23</f>
        <v>7.7838394006467464</v>
      </c>
      <c r="D40" s="943"/>
      <c r="E40" s="880">
        <f>C40</f>
        <v>7.7838394006467464</v>
      </c>
      <c r="F40" s="943"/>
      <c r="G40" s="613">
        <f>C40</f>
        <v>7.7838394006467464</v>
      </c>
      <c r="H40" s="943"/>
    </row>
    <row r="41" spans="1:8" s="392" customFormat="1">
      <c r="A41" s="605"/>
      <c r="B41" s="617" t="s">
        <v>446</v>
      </c>
      <c r="C41" s="618">
        <f>SUM(C40)</f>
        <v>7.7838394006467464</v>
      </c>
      <c r="D41" s="618"/>
      <c r="E41" s="626">
        <f>SUM(E40)</f>
        <v>7.7838394006467464</v>
      </c>
      <c r="F41" s="944"/>
      <c r="G41" s="618">
        <f>SUM(G40)</f>
        <v>7.7838394006467464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176.02726924964031</v>
      </c>
      <c r="D43" s="610"/>
      <c r="E43" s="613">
        <f>E$37+E$42+E$41</f>
        <v>178.97246801714459</v>
      </c>
      <c r="F43" s="610"/>
      <c r="G43" s="236">
        <f>G$37+G$42+G$41</f>
        <v>176.18364022995155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164.1672692496403</v>
      </c>
      <c r="D46" s="610"/>
      <c r="E46" s="641">
        <f>E$43-E44-E45+F$38</f>
        <v>166.9024680171446</v>
      </c>
      <c r="F46" s="610"/>
      <c r="G46" s="642">
        <f>G$43-G44-G45+H$38</f>
        <v>164.31364022995155</v>
      </c>
      <c r="H46" s="573"/>
    </row>
    <row r="47" spans="1:8">
      <c r="B47" s="503" t="s">
        <v>445</v>
      </c>
      <c r="C47" s="644"/>
      <c r="D47" s="696" t="str">
        <f>CONCATENATE("+ ",ROUND((C$46*0.08),2))</f>
        <v>+ 13.13</v>
      </c>
      <c r="E47" s="644"/>
      <c r="F47" s="627" t="str">
        <f>CONCATENATE("+ ",ROUND((E$46*0.08),2))</f>
        <v>+ 13.35</v>
      </c>
      <c r="G47" s="645"/>
      <c r="H47" s="627" t="str">
        <f>CONCATENATE("+ ",ROUND((G$46*0.08),2))</f>
        <v>+ 13.15</v>
      </c>
    </row>
    <row r="48" spans="1:8" ht="15" thickBot="1">
      <c r="B48" s="646" t="s">
        <v>449</v>
      </c>
      <c r="C48" s="697" t="str">
        <f>D47</f>
        <v>+ 13.13</v>
      </c>
      <c r="D48" s="632"/>
      <c r="E48" s="631" t="str">
        <f>F47</f>
        <v>+ 13.35</v>
      </c>
      <c r="F48" s="632"/>
      <c r="G48" s="631" t="str">
        <f>H47</f>
        <v>+ 13.15</v>
      </c>
      <c r="H48" s="632"/>
    </row>
    <row r="49" spans="1:9" s="392" customFormat="1" ht="15" thickBot="1">
      <c r="B49" s="647" t="s">
        <v>452</v>
      </c>
      <c r="C49" s="648">
        <f>C$46+C$48+C$44+C$45</f>
        <v>177.29726924964029</v>
      </c>
      <c r="D49" s="649">
        <f>D38+D47</f>
        <v>1.2700000000000014</v>
      </c>
      <c r="E49" s="648">
        <f>E$46+E$48+E$44+E$45</f>
        <v>180.25246801714459</v>
      </c>
      <c r="F49" s="649">
        <f>F38+F47</f>
        <v>1.2799999999999994</v>
      </c>
      <c r="G49" s="650">
        <f>G$46+G$48+G$44+G$45</f>
        <v>177.46364022995155</v>
      </c>
      <c r="H49" s="651">
        <f>H38+H47</f>
        <v>1.2800000000000011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sheetPr codeName="Sheet253">
    <tabColor rgb="FF00CC00"/>
  </sheetPr>
  <dimension ref="B2:K31"/>
  <sheetViews>
    <sheetView topLeftCell="A5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72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3.6533749605373989</v>
      </c>
      <c r="E23" s="283">
        <f t="shared" ref="E23:F23" si="0">$G$23*$G$8</f>
        <v>3.6533749605373989</v>
      </c>
      <c r="F23" s="283">
        <f t="shared" si="0"/>
        <v>3.6533749605373989</v>
      </c>
      <c r="G23" s="284">
        <f>'Delivery &gt;40km-Sept 2013'!E24*I23/1000</f>
        <v>3.1494611728770683</v>
      </c>
      <c r="H23" s="262" t="s">
        <v>129</v>
      </c>
      <c r="I23" s="259">
        <v>263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160.74876081044223</v>
      </c>
      <c r="E25" s="285">
        <f>E19+E21+E23</f>
        <v>163.4723384748452</v>
      </c>
      <c r="F25" s="285">
        <f>F19+F21+F23</f>
        <v>160.91010498876278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sheetPr codeName="Sheet254">
    <tabColor rgb="FF0000FF"/>
  </sheetPr>
  <dimension ref="A2:M68"/>
  <sheetViews>
    <sheetView topLeftCell="A25" workbookViewId="0">
      <selection activeCell="E46" sqref="E46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Kapedo!G23</f>
        <v>3.1494611728770683</v>
      </c>
      <c r="D40" s="943"/>
      <c r="E40" s="880">
        <f>C40</f>
        <v>3.1494611728770683</v>
      </c>
      <c r="F40" s="943"/>
      <c r="G40" s="613">
        <f>C40</f>
        <v>3.1494611728770683</v>
      </c>
      <c r="H40" s="943"/>
    </row>
    <row r="41" spans="1:8" s="392" customFormat="1">
      <c r="A41" s="605"/>
      <c r="B41" s="617" t="s">
        <v>446</v>
      </c>
      <c r="C41" s="618">
        <f>SUM(C40)</f>
        <v>3.1494611728770683</v>
      </c>
      <c r="D41" s="618"/>
      <c r="E41" s="626">
        <f>SUM(E40)</f>
        <v>3.1494611728770683</v>
      </c>
      <c r="F41" s="944"/>
      <c r="G41" s="618">
        <f>SUM(G40)</f>
        <v>3.1494611728770683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171.39289102187064</v>
      </c>
      <c r="D43" s="610"/>
      <c r="E43" s="613">
        <f>E$37+E$42+E$41</f>
        <v>174.33808978937492</v>
      </c>
      <c r="F43" s="610"/>
      <c r="G43" s="236">
        <f>G$37+G$42+G$41</f>
        <v>171.54926200218188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159.53289102187063</v>
      </c>
      <c r="D46" s="610"/>
      <c r="E46" s="641">
        <f>E$43-E44-E45+F$38</f>
        <v>162.26808978937493</v>
      </c>
      <c r="F46" s="610"/>
      <c r="G46" s="642">
        <f>G$43-G44-G45+H$38</f>
        <v>159.67926200218187</v>
      </c>
      <c r="H46" s="573"/>
    </row>
    <row r="47" spans="1:8">
      <c r="B47" s="503" t="s">
        <v>445</v>
      </c>
      <c r="C47" s="644"/>
      <c r="D47" s="696" t="str">
        <f>CONCATENATE("+ ",ROUND((C$46*0.08),2))</f>
        <v>+ 12.76</v>
      </c>
      <c r="E47" s="644"/>
      <c r="F47" s="627" t="str">
        <f>CONCATENATE("+ ",ROUND((E$46*0.08),2))</f>
        <v>+ 12.98</v>
      </c>
      <c r="G47" s="645"/>
      <c r="H47" s="627" t="str">
        <f>CONCATENATE("+ ",ROUND((G$46*0.08),2))</f>
        <v>+ 12.77</v>
      </c>
    </row>
    <row r="48" spans="1:8" ht="15" thickBot="1">
      <c r="B48" s="646" t="s">
        <v>449</v>
      </c>
      <c r="C48" s="697" t="str">
        <f>D47</f>
        <v>+ 12.76</v>
      </c>
      <c r="D48" s="632"/>
      <c r="E48" s="631" t="str">
        <f>F47</f>
        <v>+ 12.98</v>
      </c>
      <c r="F48" s="632"/>
      <c r="G48" s="631" t="str">
        <f>H47</f>
        <v>+ 12.77</v>
      </c>
      <c r="H48" s="632"/>
    </row>
    <row r="49" spans="1:9" s="392" customFormat="1" ht="15" thickBot="1">
      <c r="B49" s="647" t="s">
        <v>452</v>
      </c>
      <c r="C49" s="648">
        <f>C$46+C$48+C$44+C$45</f>
        <v>172.29289102187062</v>
      </c>
      <c r="D49" s="649">
        <f>D38+D47</f>
        <v>0.90000000000000036</v>
      </c>
      <c r="E49" s="648">
        <f>E$46+E$48+E$44+E$45</f>
        <v>175.24808978937492</v>
      </c>
      <c r="F49" s="649">
        <f>F38+F47</f>
        <v>0.91000000000000014</v>
      </c>
      <c r="G49" s="650">
        <f>G$46+G$48+G$44+G$45</f>
        <v>172.44926200218188</v>
      </c>
      <c r="H49" s="651">
        <f>H38+H47</f>
        <v>0.90000000000000036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sheetPr codeName="Sheet255">
    <tabColor rgb="FF00CC00"/>
  </sheetPr>
  <dimension ref="B2:K31"/>
  <sheetViews>
    <sheetView topLeftCell="B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191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1.0835104445700272</v>
      </c>
      <c r="E23" s="283">
        <f t="shared" ref="E23:F23" si="0">$G$23*$G$8</f>
        <v>1.0835104445700272</v>
      </c>
      <c r="F23" s="283">
        <f t="shared" si="0"/>
        <v>1.0835104445700272</v>
      </c>
      <c r="G23" s="284">
        <f>'Delivery &gt;40km-Sept 2013'!E24*I23/1000</f>
        <v>0.93406072807760965</v>
      </c>
      <c r="H23" s="262" t="s">
        <v>129</v>
      </c>
      <c r="I23" s="259">
        <v>78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158.17889629447487</v>
      </c>
      <c r="E25" s="285">
        <f>E19+E21+E23</f>
        <v>160.90247395887783</v>
      </c>
      <c r="F25" s="285">
        <f>F19+F21+F23</f>
        <v>158.34024047279541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327690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327690" r:id="rId4"/>
      </mc:Fallback>
    </mc:AlternateContent>
  </oleObjects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sheetPr codeName="Sheet256">
    <tabColor rgb="FF0070C0"/>
  </sheetPr>
  <dimension ref="A2:M68"/>
  <sheetViews>
    <sheetView topLeftCell="A22" workbookViewId="0">
      <selection activeCell="D60" sqref="D60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Webuye!G23</f>
        <v>0.93406072807760965</v>
      </c>
      <c r="D40" s="943"/>
      <c r="E40" s="880">
        <f>C40</f>
        <v>0.93406072807760965</v>
      </c>
      <c r="F40" s="943"/>
      <c r="G40" s="613">
        <f>C40</f>
        <v>0.93406072807760965</v>
      </c>
      <c r="H40" s="943"/>
    </row>
    <row r="41" spans="1:8" s="392" customFormat="1">
      <c r="A41" s="605"/>
      <c r="B41" s="617" t="s">
        <v>446</v>
      </c>
      <c r="C41" s="618">
        <f>SUM(C40)</f>
        <v>0.93406072807760965</v>
      </c>
      <c r="D41" s="618"/>
      <c r="E41" s="626">
        <f>SUM(E40)</f>
        <v>0.93406072807760965</v>
      </c>
      <c r="F41" s="944"/>
      <c r="G41" s="618">
        <f>SUM(G40)</f>
        <v>0.93406072807760965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169.17749057707118</v>
      </c>
      <c r="D43" s="610"/>
      <c r="E43" s="613">
        <f>E$37+E$42+E$41</f>
        <v>172.12268934457546</v>
      </c>
      <c r="F43" s="610"/>
      <c r="G43" s="236">
        <f>G$37+G$42+G$41</f>
        <v>169.33386155738242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157.31749057707117</v>
      </c>
      <c r="D46" s="610"/>
      <c r="E46" s="641">
        <f>E$43-E44-E45+F$38</f>
        <v>160.05268934457547</v>
      </c>
      <c r="F46" s="610"/>
      <c r="G46" s="642">
        <f>G$43-G44-G45+H$38</f>
        <v>157.46386155738242</v>
      </c>
      <c r="H46" s="573"/>
    </row>
    <row r="47" spans="1:8">
      <c r="B47" s="503" t="s">
        <v>445</v>
      </c>
      <c r="C47" s="644"/>
      <c r="D47" s="696" t="str">
        <f>CONCATENATE("+ ",ROUND((C$46*0.08),2))</f>
        <v>+ 12.59</v>
      </c>
      <c r="E47" s="644"/>
      <c r="F47" s="627" t="str">
        <f>CONCATENATE("+ ",ROUND((E$46*0.08),2))</f>
        <v>+ 12.8</v>
      </c>
      <c r="G47" s="645"/>
      <c r="H47" s="627" t="str">
        <f>CONCATENATE("+ ",ROUND((G$46*0.08),2))</f>
        <v>+ 12.6</v>
      </c>
    </row>
    <row r="48" spans="1:8" ht="15" thickBot="1">
      <c r="B48" s="646" t="s">
        <v>449</v>
      </c>
      <c r="C48" s="697" t="str">
        <f>D47</f>
        <v>+ 12.59</v>
      </c>
      <c r="D48" s="632"/>
      <c r="E48" s="631" t="str">
        <f>F47</f>
        <v>+ 12.8</v>
      </c>
      <c r="F48" s="632"/>
      <c r="G48" s="631" t="str">
        <f>H47</f>
        <v>+ 12.6</v>
      </c>
      <c r="H48" s="632"/>
    </row>
    <row r="49" spans="1:9" s="392" customFormat="1" ht="15" thickBot="1">
      <c r="B49" s="647" t="s">
        <v>452</v>
      </c>
      <c r="C49" s="648">
        <f>C$46+C$48+C$44+C$45</f>
        <v>169.90749057707117</v>
      </c>
      <c r="D49" s="649">
        <f>D38+D47</f>
        <v>0.73000000000000043</v>
      </c>
      <c r="E49" s="648">
        <f>E$46+E$48+E$44+E$45</f>
        <v>172.85268934457548</v>
      </c>
      <c r="F49" s="649">
        <f>F38+F47</f>
        <v>0.73000000000000043</v>
      </c>
      <c r="G49" s="650">
        <f>G$46+G$48+G$44+G$45</f>
        <v>170.06386155738241</v>
      </c>
      <c r="H49" s="651">
        <f>H38+H47</f>
        <v>0.73000000000000043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sheetPr codeName="Sheet257">
    <tabColor rgb="FF00CC00"/>
  </sheetPr>
  <dimension ref="B2:K31"/>
  <sheetViews>
    <sheetView topLeftCell="B6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171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1.8753065386788927</v>
      </c>
      <c r="E23" s="283">
        <f t="shared" ref="E23:F23" si="0">$G$23*$G$8</f>
        <v>1.8753065386788927</v>
      </c>
      <c r="F23" s="283">
        <f t="shared" si="0"/>
        <v>1.8753065386788927</v>
      </c>
      <c r="G23" s="284">
        <f>'Delivery &gt;40km-Sept 2013'!E24*I23/1000</f>
        <v>1.6166435678266318</v>
      </c>
      <c r="H23" s="262" t="s">
        <v>129</v>
      </c>
      <c r="I23" s="259">
        <v>135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158.97069238858373</v>
      </c>
      <c r="E25" s="285">
        <f>E19+E21+E23</f>
        <v>161.6942700529867</v>
      </c>
      <c r="F25" s="285">
        <f>F19+F21+F23</f>
        <v>159.13203656690428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274442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274442" r:id="rId4"/>
      </mc:Fallback>
    </mc:AlternateContent>
  </oleObjects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sheetPr codeName="Sheet258">
    <tabColor rgb="FF0070C0"/>
  </sheetPr>
  <dimension ref="A2:M68"/>
  <sheetViews>
    <sheetView topLeftCell="A19" workbookViewId="0">
      <selection activeCell="D46" sqref="D46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Malaba!G23</f>
        <v>1.6166435678266318</v>
      </c>
      <c r="D40" s="943"/>
      <c r="E40" s="880">
        <f>C40</f>
        <v>1.6166435678266318</v>
      </c>
      <c r="F40" s="943"/>
      <c r="G40" s="613">
        <f>C40</f>
        <v>1.6166435678266318</v>
      </c>
      <c r="H40" s="943"/>
    </row>
    <row r="41" spans="1:8" s="392" customFormat="1">
      <c r="A41" s="605"/>
      <c r="B41" s="617" t="s">
        <v>446</v>
      </c>
      <c r="C41" s="618">
        <f>SUM(C40)</f>
        <v>1.6166435678266318</v>
      </c>
      <c r="D41" s="618"/>
      <c r="E41" s="626">
        <f>SUM(E40)</f>
        <v>1.6166435678266318</v>
      </c>
      <c r="F41" s="944"/>
      <c r="G41" s="618">
        <f>SUM(G40)</f>
        <v>1.6166435678266318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169.8600734168202</v>
      </c>
      <c r="D43" s="610"/>
      <c r="E43" s="613">
        <f>E$37+E$42+E$41</f>
        <v>172.80527218432448</v>
      </c>
      <c r="F43" s="610"/>
      <c r="G43" s="236">
        <f>G$37+G$42+G$41</f>
        <v>170.01644439713144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158.00007341682021</v>
      </c>
      <c r="D46" s="610"/>
      <c r="E46" s="641">
        <f>E$43-E44-E45+F$38</f>
        <v>160.73527218432449</v>
      </c>
      <c r="F46" s="610"/>
      <c r="G46" s="642">
        <f>G$43-G44-G45+H$38</f>
        <v>158.14644439713143</v>
      </c>
      <c r="H46" s="573"/>
    </row>
    <row r="47" spans="1:8">
      <c r="B47" s="503" t="s">
        <v>445</v>
      </c>
      <c r="C47" s="644"/>
      <c r="D47" s="696" t="str">
        <f>CONCATENATE("+ ",ROUND((C$46*0.08),2))</f>
        <v>+ 12.64</v>
      </c>
      <c r="E47" s="644"/>
      <c r="F47" s="627" t="str">
        <f>CONCATENATE("+ ",ROUND((E$46*0.08),2))</f>
        <v>+ 12.86</v>
      </c>
      <c r="G47" s="645"/>
      <c r="H47" s="627" t="str">
        <f>CONCATENATE("+ ",ROUND((G$46*0.08),2))</f>
        <v>+ 12.65</v>
      </c>
    </row>
    <row r="48" spans="1:8" ht="15" thickBot="1">
      <c r="B48" s="646" t="s">
        <v>449</v>
      </c>
      <c r="C48" s="697" t="str">
        <f>D47</f>
        <v>+ 12.64</v>
      </c>
      <c r="D48" s="632"/>
      <c r="E48" s="631" t="str">
        <f>F47</f>
        <v>+ 12.86</v>
      </c>
      <c r="F48" s="632"/>
      <c r="G48" s="631" t="str">
        <f>H47</f>
        <v>+ 12.65</v>
      </c>
      <c r="H48" s="632"/>
    </row>
    <row r="49" spans="1:9" s="392" customFormat="1" ht="15" thickBot="1">
      <c r="B49" s="647" t="s">
        <v>452</v>
      </c>
      <c r="C49" s="648">
        <f>C$46+C$48+C$44+C$45</f>
        <v>170.6400734168202</v>
      </c>
      <c r="D49" s="649">
        <f>D38+D47</f>
        <v>0.78000000000000114</v>
      </c>
      <c r="E49" s="648">
        <f>E$46+E$48+E$44+E$45</f>
        <v>173.59527218432447</v>
      </c>
      <c r="F49" s="649">
        <f>F38+F47</f>
        <v>0.78999999999999915</v>
      </c>
      <c r="G49" s="650">
        <f>G$46+G$48+G$44+G$45</f>
        <v>170.79644439713144</v>
      </c>
      <c r="H49" s="651">
        <f>H38+H47</f>
        <v>0.78000000000000114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sheetPr codeName="Sheet259">
    <tabColor rgb="FF00CC00"/>
  </sheetPr>
  <dimension ref="B2:K31"/>
  <sheetViews>
    <sheetView topLeftCell="B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86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8.098546015183663</v>
      </c>
      <c r="E23" s="283">
        <f t="shared" ref="E23:F23" si="0">$G$23*$G$8</f>
        <v>8.098546015183663</v>
      </c>
      <c r="F23" s="283">
        <f t="shared" si="0"/>
        <v>8.098546015183663</v>
      </c>
      <c r="G23" s="284">
        <f>'Delivery &gt;40km-Sept 2013'!E24*I23/1000</f>
        <v>6.9815051855031589</v>
      </c>
      <c r="H23" s="262" t="s">
        <v>129</v>
      </c>
      <c r="I23" s="259">
        <v>583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165.1939318650885</v>
      </c>
      <c r="E25" s="285">
        <f>E19+E21+E23</f>
        <v>167.91750952949147</v>
      </c>
      <c r="F25" s="285">
        <f>F19+F21+F23</f>
        <v>165.35527604340905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65546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65546" r:id="rId4"/>
      </mc:Fallback>
    </mc:AlternateContent>
  </oleObjects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sheetPr codeName="Sheet260">
    <tabColor rgb="FF0070C0"/>
  </sheetPr>
  <dimension ref="A2:M68"/>
  <sheetViews>
    <sheetView topLeftCell="A37" workbookViewId="0">
      <selection activeCell="E42" sqref="E42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Lokichogio!G23</f>
        <v>6.9815051855031589</v>
      </c>
      <c r="D40" s="943"/>
      <c r="E40" s="880">
        <f>C40</f>
        <v>6.9815051855031589</v>
      </c>
      <c r="F40" s="943"/>
      <c r="G40" s="613">
        <f>C40</f>
        <v>6.9815051855031589</v>
      </c>
      <c r="H40" s="943"/>
    </row>
    <row r="41" spans="1:8" s="392" customFormat="1">
      <c r="A41" s="605"/>
      <c r="B41" s="617" t="s">
        <v>446</v>
      </c>
      <c r="C41" s="618">
        <f>SUM(C40)</f>
        <v>6.9815051855031589</v>
      </c>
      <c r="D41" s="618"/>
      <c r="E41" s="626">
        <f>SUM(E40)</f>
        <v>6.9815051855031589</v>
      </c>
      <c r="F41" s="944"/>
      <c r="G41" s="618">
        <f>SUM(G40)</f>
        <v>6.9815051855031589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175.22493503449672</v>
      </c>
      <c r="D43" s="610"/>
      <c r="E43" s="613">
        <f>E$37+E$42+E$41</f>
        <v>178.170133802001</v>
      </c>
      <c r="F43" s="610"/>
      <c r="G43" s="236">
        <f>G$37+G$42+G$41</f>
        <v>175.38130601480796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163.36493503449674</v>
      </c>
      <c r="D46" s="610"/>
      <c r="E46" s="641">
        <f>E$43-E44-E45+F$38</f>
        <v>166.10013380200101</v>
      </c>
      <c r="F46" s="610"/>
      <c r="G46" s="642">
        <f>G$43-G44-G45+H$38</f>
        <v>163.51130601480796</v>
      </c>
      <c r="H46" s="573"/>
    </row>
    <row r="47" spans="1:8">
      <c r="B47" s="503" t="s">
        <v>445</v>
      </c>
      <c r="C47" s="644"/>
      <c r="D47" s="696" t="str">
        <f>CONCATENATE("+ ",ROUND((C$46*0.08),2))</f>
        <v>+ 13.07</v>
      </c>
      <c r="E47" s="644"/>
      <c r="F47" s="627" t="str">
        <f>CONCATENATE("+ ",ROUND((E$46*0.08),2))</f>
        <v>+ 13.29</v>
      </c>
      <c r="G47" s="645"/>
      <c r="H47" s="627" t="str">
        <f>CONCATENATE("+ ",ROUND((G$46*0.08),2))</f>
        <v>+ 13.08</v>
      </c>
    </row>
    <row r="48" spans="1:8" ht="15" thickBot="1">
      <c r="B48" s="646" t="s">
        <v>449</v>
      </c>
      <c r="C48" s="697" t="str">
        <f>D47</f>
        <v>+ 13.07</v>
      </c>
      <c r="D48" s="632"/>
      <c r="E48" s="631" t="str">
        <f>F47</f>
        <v>+ 13.29</v>
      </c>
      <c r="F48" s="632"/>
      <c r="G48" s="631" t="str">
        <f>H47</f>
        <v>+ 13.08</v>
      </c>
      <c r="H48" s="632"/>
    </row>
    <row r="49" spans="1:9" s="392" customFormat="1" ht="15" thickBot="1">
      <c r="B49" s="647" t="s">
        <v>452</v>
      </c>
      <c r="C49" s="648">
        <f>C$46+C$48+C$44+C$45</f>
        <v>176.43493503449673</v>
      </c>
      <c r="D49" s="649">
        <f>D38+D47</f>
        <v>1.2100000000000009</v>
      </c>
      <c r="E49" s="648">
        <f>E$46+E$48+E$44+E$45</f>
        <v>179.390133802001</v>
      </c>
      <c r="F49" s="649">
        <f>F38+F47</f>
        <v>1.2199999999999989</v>
      </c>
      <c r="G49" s="650">
        <f>G$46+G$48+G$44+G$45</f>
        <v>176.59130601480797</v>
      </c>
      <c r="H49" s="651">
        <f>H38+H47</f>
        <v>1.2100000000000009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sheetPr codeName="Sheet261">
    <tabColor rgb="FF00CC00"/>
  </sheetPr>
  <dimension ref="B2:K31"/>
  <sheetViews>
    <sheetView topLeftCell="A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571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0.8334695727461745</v>
      </c>
      <c r="E23" s="283">
        <f t="shared" ref="E23:F23" si="0">$G$23*$G$8</f>
        <v>0.8334695727461745</v>
      </c>
      <c r="F23" s="283">
        <f t="shared" si="0"/>
        <v>0.8334695727461745</v>
      </c>
      <c r="G23" s="284">
        <f>'Delivery &gt;40km-Sept 2013'!E24*I23/1000</f>
        <v>0.71850825236739191</v>
      </c>
      <c r="H23" s="262" t="s">
        <v>129</v>
      </c>
      <c r="I23" s="259">
        <v>60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157.928855422651</v>
      </c>
      <c r="E25" s="285">
        <f>E19+E21+E23</f>
        <v>160.65243308705396</v>
      </c>
      <c r="F25" s="285">
        <f>F19+F21+F23</f>
        <v>158.09019960097154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sheetPr codeName="Sheet262">
    <tabColor rgb="FF0000FF"/>
  </sheetPr>
  <dimension ref="A2:M68"/>
  <sheetViews>
    <sheetView topLeftCell="A22" workbookViewId="0">
      <selection activeCell="E58" sqref="E58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Ziwa!G23</f>
        <v>0.71850825236739191</v>
      </c>
      <c r="D40" s="943"/>
      <c r="E40" s="880">
        <f>C40</f>
        <v>0.71850825236739191</v>
      </c>
      <c r="F40" s="943"/>
      <c r="G40" s="613">
        <f>C40</f>
        <v>0.71850825236739191</v>
      </c>
      <c r="H40" s="943"/>
    </row>
    <row r="41" spans="1:8" s="392" customFormat="1">
      <c r="A41" s="605"/>
      <c r="B41" s="617" t="s">
        <v>446</v>
      </c>
      <c r="C41" s="618">
        <f>SUM(C40)</f>
        <v>0.71850825236739191</v>
      </c>
      <c r="D41" s="618"/>
      <c r="E41" s="626">
        <f>SUM(E40)</f>
        <v>0.71850825236739191</v>
      </c>
      <c r="F41" s="944"/>
      <c r="G41" s="618">
        <f>SUM(G40)</f>
        <v>0.71850825236739191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168.96193810136097</v>
      </c>
      <c r="D43" s="610"/>
      <c r="E43" s="613">
        <f>E$37+E$42+E$41</f>
        <v>171.90713686886525</v>
      </c>
      <c r="F43" s="610"/>
      <c r="G43" s="236">
        <f>G$37+G$42+G$41</f>
        <v>169.11830908167221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157.10193810136099</v>
      </c>
      <c r="D46" s="610"/>
      <c r="E46" s="641">
        <f>E$43-E44-E45+F$38</f>
        <v>159.83713686886526</v>
      </c>
      <c r="F46" s="610"/>
      <c r="G46" s="642">
        <f>G$43-G44-G45+H$38</f>
        <v>157.2483090816722</v>
      </c>
      <c r="H46" s="573"/>
    </row>
    <row r="47" spans="1:8">
      <c r="B47" s="503" t="s">
        <v>445</v>
      </c>
      <c r="C47" s="644"/>
      <c r="D47" s="696" t="str">
        <f>CONCATENATE("+ ",ROUND((C$46*0.08),2))</f>
        <v>+ 12.57</v>
      </c>
      <c r="E47" s="644"/>
      <c r="F47" s="627" t="str">
        <f>CONCATENATE("+ ",ROUND((E$46*0.08),2))</f>
        <v>+ 12.79</v>
      </c>
      <c r="G47" s="645"/>
      <c r="H47" s="627" t="str">
        <f>CONCATENATE("+ ",ROUND((G$46*0.08),2))</f>
        <v>+ 12.58</v>
      </c>
    </row>
    <row r="48" spans="1:8" ht="15" thickBot="1">
      <c r="B48" s="646" t="s">
        <v>449</v>
      </c>
      <c r="C48" s="697" t="str">
        <f>D47</f>
        <v>+ 12.57</v>
      </c>
      <c r="D48" s="632"/>
      <c r="E48" s="631" t="str">
        <f>F47</f>
        <v>+ 12.79</v>
      </c>
      <c r="F48" s="632"/>
      <c r="G48" s="631" t="str">
        <f>H47</f>
        <v>+ 12.58</v>
      </c>
      <c r="H48" s="632"/>
    </row>
    <row r="49" spans="1:9" s="392" customFormat="1" ht="15" thickBot="1">
      <c r="B49" s="647" t="s">
        <v>452</v>
      </c>
      <c r="C49" s="648">
        <f>C$46+C$48+C$44+C$45</f>
        <v>169.67193810136098</v>
      </c>
      <c r="D49" s="649">
        <f>D38+D47</f>
        <v>0.71000000000000085</v>
      </c>
      <c r="E49" s="648">
        <f>E$46+E$48+E$44+E$45</f>
        <v>172.62713686886525</v>
      </c>
      <c r="F49" s="649">
        <f>F38+F47</f>
        <v>0.71999999999999886</v>
      </c>
      <c r="G49" s="650">
        <f>G$46+G$48+G$44+G$45</f>
        <v>169.82830908167222</v>
      </c>
      <c r="H49" s="651">
        <f>H38+H47</f>
        <v>0.71000000000000085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sheetPr codeName="Sheet263">
    <tabColor rgb="FF00CC00"/>
  </sheetPr>
  <dimension ref="B2:K31"/>
  <sheetViews>
    <sheetView topLeftCell="A5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572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0.62510217955963099</v>
      </c>
      <c r="E23" s="283">
        <f t="shared" ref="E23:F23" si="0">$G$23*$G$8</f>
        <v>0.62510217955963099</v>
      </c>
      <c r="F23" s="283">
        <f t="shared" si="0"/>
        <v>0.62510217955963099</v>
      </c>
      <c r="G23" s="284">
        <f>'Delivery &gt;40km-Sept 2013'!E24*I23/1000</f>
        <v>0.53888118927554396</v>
      </c>
      <c r="H23" s="262" t="s">
        <v>129</v>
      </c>
      <c r="I23" s="259">
        <v>45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157.72048802946446</v>
      </c>
      <c r="E25" s="285">
        <f>E19+E21+E23</f>
        <v>160.44406569386743</v>
      </c>
      <c r="F25" s="285">
        <f>F19+F21+F23</f>
        <v>157.88183220778501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sheetPr codeName="Sheet264">
    <tabColor rgb="FF0000FF"/>
  </sheetPr>
  <dimension ref="A2:M68"/>
  <sheetViews>
    <sheetView topLeftCell="A19" workbookViewId="0">
      <selection activeCell="D58" sqref="D58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Soy!G23</f>
        <v>0.53888118927554396</v>
      </c>
      <c r="D40" s="943"/>
      <c r="E40" s="880">
        <f>C40</f>
        <v>0.53888118927554396</v>
      </c>
      <c r="F40" s="943"/>
      <c r="G40" s="613">
        <f>C40</f>
        <v>0.53888118927554396</v>
      </c>
      <c r="H40" s="943"/>
    </row>
    <row r="41" spans="1:8" s="392" customFormat="1">
      <c r="A41" s="605"/>
      <c r="B41" s="617" t="s">
        <v>446</v>
      </c>
      <c r="C41" s="618">
        <f>SUM(C40)</f>
        <v>0.53888118927554396</v>
      </c>
      <c r="D41" s="618"/>
      <c r="E41" s="626">
        <f>SUM(E40)</f>
        <v>0.53888118927554396</v>
      </c>
      <c r="F41" s="944"/>
      <c r="G41" s="618">
        <f>SUM(G40)</f>
        <v>0.53888118927554396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168.78231103826911</v>
      </c>
      <c r="D43" s="610"/>
      <c r="E43" s="613">
        <f>E$37+E$42+E$41</f>
        <v>171.72750980577339</v>
      </c>
      <c r="F43" s="610"/>
      <c r="G43" s="236">
        <f>G$37+G$42+G$41</f>
        <v>168.93868201858035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156.92231103826913</v>
      </c>
      <c r="D46" s="610"/>
      <c r="E46" s="641">
        <f>E$43-E44-E45+F$38</f>
        <v>159.6575098057734</v>
      </c>
      <c r="F46" s="610"/>
      <c r="G46" s="642">
        <f>G$43-G44-G45+H$38</f>
        <v>157.06868201858035</v>
      </c>
      <c r="H46" s="573"/>
    </row>
    <row r="47" spans="1:8">
      <c r="B47" s="503" t="s">
        <v>445</v>
      </c>
      <c r="C47" s="644"/>
      <c r="D47" s="696" t="str">
        <f>CONCATENATE("+ ",ROUND((C$46*0.08),2))</f>
        <v>+ 12.55</v>
      </c>
      <c r="E47" s="644"/>
      <c r="F47" s="627" t="str">
        <f>CONCATENATE("+ ",ROUND((E$46*0.08),2))</f>
        <v>+ 12.77</v>
      </c>
      <c r="G47" s="645"/>
      <c r="H47" s="627" t="str">
        <f>CONCATENATE("+ ",ROUND((G$46*0.08),2))</f>
        <v>+ 12.57</v>
      </c>
    </row>
    <row r="48" spans="1:8" ht="15" thickBot="1">
      <c r="B48" s="646" t="s">
        <v>449</v>
      </c>
      <c r="C48" s="697" t="str">
        <f>D47</f>
        <v>+ 12.55</v>
      </c>
      <c r="D48" s="632"/>
      <c r="E48" s="631" t="str">
        <f>F47</f>
        <v>+ 12.77</v>
      </c>
      <c r="F48" s="632"/>
      <c r="G48" s="631" t="str">
        <f>H47</f>
        <v>+ 12.57</v>
      </c>
      <c r="H48" s="632"/>
    </row>
    <row r="49" spans="1:9" s="392" customFormat="1" ht="15" thickBot="1">
      <c r="B49" s="647" t="s">
        <v>452</v>
      </c>
      <c r="C49" s="648">
        <f>C$46+C$48+C$44+C$45</f>
        <v>169.47231103826914</v>
      </c>
      <c r="D49" s="649">
        <f>D38+D47</f>
        <v>0.69000000000000128</v>
      </c>
      <c r="E49" s="648">
        <f>E$46+E$48+E$44+E$45</f>
        <v>172.42750980577341</v>
      </c>
      <c r="F49" s="649">
        <f>F38+F47</f>
        <v>0.69999999999999929</v>
      </c>
      <c r="G49" s="650">
        <f>G$46+G$48+G$44+G$45</f>
        <v>169.63868201858034</v>
      </c>
      <c r="H49" s="651">
        <f>H38+H47</f>
        <v>0.70000000000000107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sheetPr codeName="Sheet265">
    <tabColor rgb="FF00CC00"/>
  </sheetPr>
  <dimension ref="B2:K31"/>
  <sheetViews>
    <sheetView topLeftCell="A6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573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0.6945579772884789</v>
      </c>
      <c r="E23" s="283">
        <f t="shared" ref="E23:F23" si="0">$G$23*$G$8</f>
        <v>0.6945579772884789</v>
      </c>
      <c r="F23" s="283">
        <f t="shared" si="0"/>
        <v>0.6945579772884789</v>
      </c>
      <c r="G23" s="284">
        <f>'Delivery &gt;40km-Sept 2013'!E24*I23/1000</f>
        <v>0.59875687697282665</v>
      </c>
      <c r="H23" s="262" t="s">
        <v>129</v>
      </c>
      <c r="I23" s="259">
        <v>50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157.7899438271933</v>
      </c>
      <c r="E25" s="285">
        <f>E19+E21+E23</f>
        <v>160.51352149159626</v>
      </c>
      <c r="F25" s="285">
        <f>F19+F21+F23</f>
        <v>157.95128800551385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sheetPr codeName="Sheet266">
    <tabColor rgb="FF0000FF"/>
  </sheetPr>
  <dimension ref="A2:M68"/>
  <sheetViews>
    <sheetView topLeftCell="A31" workbookViewId="0">
      <selection activeCell="D46" sqref="D46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'Moi''s Bridge'!G23</f>
        <v>0.59875687697282665</v>
      </c>
      <c r="D40" s="943"/>
      <c r="E40" s="880">
        <f>C40</f>
        <v>0.59875687697282665</v>
      </c>
      <c r="F40" s="943"/>
      <c r="G40" s="613">
        <f>C40</f>
        <v>0.59875687697282665</v>
      </c>
      <c r="H40" s="943"/>
    </row>
    <row r="41" spans="1:8" s="392" customFormat="1">
      <c r="A41" s="605"/>
      <c r="B41" s="617" t="s">
        <v>446</v>
      </c>
      <c r="C41" s="618">
        <f>SUM(C40)</f>
        <v>0.59875687697282665</v>
      </c>
      <c r="D41" s="618"/>
      <c r="E41" s="626">
        <f>SUM(E40)</f>
        <v>0.59875687697282665</v>
      </c>
      <c r="F41" s="944"/>
      <c r="G41" s="618">
        <f>SUM(G40)</f>
        <v>0.59875687697282665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168.8421867259664</v>
      </c>
      <c r="D43" s="610"/>
      <c r="E43" s="613">
        <f>E$37+E$42+E$41</f>
        <v>171.78738549347068</v>
      </c>
      <c r="F43" s="610"/>
      <c r="G43" s="236">
        <f>G$37+G$42+G$41</f>
        <v>168.99855770627764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156.98218672596641</v>
      </c>
      <c r="D46" s="610"/>
      <c r="E46" s="641">
        <f>E$43-E44-E45+F$38</f>
        <v>159.71738549347069</v>
      </c>
      <c r="F46" s="610"/>
      <c r="G46" s="642">
        <f>G$43-G44-G45+H$38</f>
        <v>157.12855770627763</v>
      </c>
      <c r="H46" s="573"/>
    </row>
    <row r="47" spans="1:8">
      <c r="B47" s="503" t="s">
        <v>445</v>
      </c>
      <c r="C47" s="644"/>
      <c r="D47" s="696" t="str">
        <f>CONCATENATE("+ ",ROUND((C$46*0.08),2))</f>
        <v>+ 12.56</v>
      </c>
      <c r="E47" s="644"/>
      <c r="F47" s="627" t="str">
        <f>CONCATENATE("+ ",ROUND((E$46*0.08),2))</f>
        <v>+ 12.78</v>
      </c>
      <c r="G47" s="645"/>
      <c r="H47" s="627" t="str">
        <f>CONCATENATE("+ ",ROUND((G$46*0.08),2))</f>
        <v>+ 12.57</v>
      </c>
    </row>
    <row r="48" spans="1:8" ht="15" thickBot="1">
      <c r="B48" s="646" t="s">
        <v>449</v>
      </c>
      <c r="C48" s="697" t="str">
        <f>D47</f>
        <v>+ 12.56</v>
      </c>
      <c r="D48" s="632"/>
      <c r="E48" s="631" t="str">
        <f>F47</f>
        <v>+ 12.78</v>
      </c>
      <c r="F48" s="632"/>
      <c r="G48" s="631" t="str">
        <f>H47</f>
        <v>+ 12.57</v>
      </c>
      <c r="H48" s="632"/>
    </row>
    <row r="49" spans="1:9" s="392" customFormat="1" ht="15" thickBot="1">
      <c r="B49" s="647" t="s">
        <v>452</v>
      </c>
      <c r="C49" s="648">
        <f>C$46+C$48+C$44+C$45</f>
        <v>169.54218672596642</v>
      </c>
      <c r="D49" s="649">
        <f>D38+D47</f>
        <v>0.70000000000000107</v>
      </c>
      <c r="E49" s="648">
        <f>E$46+E$48+E$44+E$45</f>
        <v>172.49738549347069</v>
      </c>
      <c r="F49" s="649">
        <f>F38+F47</f>
        <v>0.70999999999999908</v>
      </c>
      <c r="G49" s="650">
        <f>G$46+G$48+G$44+G$45</f>
        <v>169.69855770627763</v>
      </c>
      <c r="H49" s="651">
        <f>H38+H47</f>
        <v>0.70000000000000107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sheetPr codeName="Sheet267">
    <tabColor rgb="FF00CC00"/>
  </sheetPr>
  <dimension ref="B2:K31"/>
  <sheetViews>
    <sheetView topLeftCell="A8" workbookViewId="0">
      <selection activeCell="I27" sqref="I27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574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0.56953754137655266</v>
      </c>
      <c r="E23" s="283">
        <f t="shared" ref="E23:F23" si="0">$G$23*$G$8</f>
        <v>0.56953754137655266</v>
      </c>
      <c r="F23" s="283">
        <f t="shared" si="0"/>
        <v>0.56953754137655266</v>
      </c>
      <c r="G23" s="284">
        <f>'Delivery &gt;40km-Sept 2013'!E24*I23/1000</f>
        <v>0.49098063911771783</v>
      </c>
      <c r="H23" s="262" t="s">
        <v>129</v>
      </c>
      <c r="I23" s="259">
        <v>41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157.66492339128138</v>
      </c>
      <c r="E25" s="285">
        <f>E19+E21+E23</f>
        <v>160.38850105568434</v>
      </c>
      <c r="F25" s="285">
        <f>F19+F21+F23</f>
        <v>157.82626756960192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sheetPr codeName="Sheet268">
    <tabColor rgb="FF0000FF"/>
  </sheetPr>
  <dimension ref="A2:M68"/>
  <sheetViews>
    <sheetView topLeftCell="A25" workbookViewId="0">
      <selection activeCell="D47" sqref="D47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Turbo!G23</f>
        <v>0.49098063911771783</v>
      </c>
      <c r="D40" s="943"/>
      <c r="E40" s="880">
        <f>C40</f>
        <v>0.49098063911771783</v>
      </c>
      <c r="F40" s="943"/>
      <c r="G40" s="613">
        <f>C40</f>
        <v>0.49098063911771783</v>
      </c>
      <c r="H40" s="943"/>
    </row>
    <row r="41" spans="1:8" s="392" customFormat="1">
      <c r="A41" s="605"/>
      <c r="B41" s="617" t="s">
        <v>446</v>
      </c>
      <c r="C41" s="618">
        <f>SUM(C40)</f>
        <v>0.49098063911771783</v>
      </c>
      <c r="D41" s="618"/>
      <c r="E41" s="626">
        <f>SUM(E40)</f>
        <v>0.49098063911771783</v>
      </c>
      <c r="F41" s="944"/>
      <c r="G41" s="618">
        <f>SUM(G40)</f>
        <v>0.49098063911771783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168.73441048811128</v>
      </c>
      <c r="D43" s="610"/>
      <c r="E43" s="613">
        <f>E$37+E$42+E$41</f>
        <v>171.67960925561556</v>
      </c>
      <c r="F43" s="610"/>
      <c r="G43" s="236">
        <f>G$37+G$42+G$41</f>
        <v>168.89078146842252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156.87441048811127</v>
      </c>
      <c r="D46" s="610"/>
      <c r="E46" s="641">
        <f>E$43-E44-E45+F$38</f>
        <v>159.60960925561557</v>
      </c>
      <c r="F46" s="610"/>
      <c r="G46" s="642">
        <f>G$43-G44-G45+H$38</f>
        <v>157.02078146842251</v>
      </c>
      <c r="H46" s="573"/>
    </row>
    <row r="47" spans="1:8">
      <c r="B47" s="503" t="s">
        <v>445</v>
      </c>
      <c r="C47" s="644"/>
      <c r="D47" s="696" t="str">
        <f>CONCATENATE("+ ",ROUND((C$46*0.08),2))</f>
        <v>+ 12.55</v>
      </c>
      <c r="E47" s="644"/>
      <c r="F47" s="627" t="str">
        <f>CONCATENATE("+ ",ROUND((E$46*0.08),2))</f>
        <v>+ 12.77</v>
      </c>
      <c r="G47" s="645"/>
      <c r="H47" s="627" t="str">
        <f>CONCATENATE("+ ",ROUND((G$46*0.08),2))</f>
        <v>+ 12.56</v>
      </c>
    </row>
    <row r="48" spans="1:8" ht="15" thickBot="1">
      <c r="B48" s="646" t="s">
        <v>449</v>
      </c>
      <c r="C48" s="697" t="str">
        <f>D47</f>
        <v>+ 12.55</v>
      </c>
      <c r="D48" s="632"/>
      <c r="E48" s="631" t="str">
        <f>F47</f>
        <v>+ 12.77</v>
      </c>
      <c r="F48" s="632"/>
      <c r="G48" s="631" t="str">
        <f>H47</f>
        <v>+ 12.56</v>
      </c>
      <c r="H48" s="632"/>
    </row>
    <row r="49" spans="1:9" s="392" customFormat="1" ht="15" thickBot="1">
      <c r="B49" s="647" t="s">
        <v>452</v>
      </c>
      <c r="C49" s="648">
        <f>C$46+C$48+C$44+C$45</f>
        <v>169.42441048811128</v>
      </c>
      <c r="D49" s="649">
        <f>D38+D47</f>
        <v>0.69000000000000128</v>
      </c>
      <c r="E49" s="648">
        <f>E$46+E$48+E$44+E$45</f>
        <v>172.37960925561558</v>
      </c>
      <c r="F49" s="649">
        <f>F38+F47</f>
        <v>0.69999999999999929</v>
      </c>
      <c r="G49" s="650">
        <f>G$46+G$48+G$44+G$45</f>
        <v>169.58078146842251</v>
      </c>
      <c r="H49" s="651">
        <f>H38+H47</f>
        <v>0.69000000000000128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sheetPr codeName="Sheet269">
    <tabColor rgb="FF00CC00"/>
  </sheetPr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575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9.2792945765740775</v>
      </c>
      <c r="E23" s="283">
        <f t="shared" ref="E23:F23" si="0">$G$23*$G$8</f>
        <v>9.2792945765740775</v>
      </c>
      <c r="F23" s="283">
        <f t="shared" si="0"/>
        <v>9.2792945765740775</v>
      </c>
      <c r="G23" s="284">
        <f>'Delivery &gt;40km-Sept 2013'!E24*I23/1000</f>
        <v>7.999391876356964</v>
      </c>
      <c r="H23" s="262" t="s">
        <v>129</v>
      </c>
      <c r="I23" s="259">
        <v>668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166.3746804264789</v>
      </c>
      <c r="E25" s="285">
        <f>E19+E21+E23</f>
        <v>169.09825809088187</v>
      </c>
      <c r="F25" s="285">
        <f>F19+F21+F23</f>
        <v>166.53602460479945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sheetPr codeName="Sheet270">
    <tabColor rgb="FF0000FF"/>
  </sheetPr>
  <dimension ref="A2:M68"/>
  <sheetViews>
    <sheetView topLeftCell="A25" workbookViewId="0">
      <selection activeCell="D47" sqref="D47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Kibish!G23</f>
        <v>7.999391876356964</v>
      </c>
      <c r="D40" s="943"/>
      <c r="E40" s="880">
        <f>C40</f>
        <v>7.999391876356964</v>
      </c>
      <c r="F40" s="943"/>
      <c r="G40" s="613">
        <f>C40</f>
        <v>7.999391876356964</v>
      </c>
      <c r="H40" s="943"/>
    </row>
    <row r="41" spans="1:8" s="392" customFormat="1">
      <c r="A41" s="605"/>
      <c r="B41" s="617" t="s">
        <v>446</v>
      </c>
      <c r="C41" s="618">
        <f>SUM(C40)</f>
        <v>7.999391876356964</v>
      </c>
      <c r="D41" s="618"/>
      <c r="E41" s="626">
        <f>SUM(E40)</f>
        <v>7.999391876356964</v>
      </c>
      <c r="F41" s="944"/>
      <c r="G41" s="618">
        <f>SUM(G40)</f>
        <v>7.999391876356964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176.24282172535052</v>
      </c>
      <c r="D43" s="610"/>
      <c r="E43" s="613">
        <f>E$37+E$42+E$41</f>
        <v>179.1880204928548</v>
      </c>
      <c r="F43" s="610"/>
      <c r="G43" s="236">
        <f>G$37+G$42+G$41</f>
        <v>176.39919270566176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164.38282172535054</v>
      </c>
      <c r="D46" s="610"/>
      <c r="E46" s="641">
        <f>E$43-E44-E45+F$38</f>
        <v>167.11802049285481</v>
      </c>
      <c r="F46" s="610"/>
      <c r="G46" s="642">
        <f>G$43-G44-G45+H$38</f>
        <v>164.52919270566176</v>
      </c>
      <c r="H46" s="573"/>
    </row>
    <row r="47" spans="1:8">
      <c r="B47" s="503" t="s">
        <v>445</v>
      </c>
      <c r="C47" s="644"/>
      <c r="D47" s="696" t="str">
        <f>CONCATENATE("+ ",ROUND((C$46*0.08),2))</f>
        <v>+ 13.15</v>
      </c>
      <c r="E47" s="644"/>
      <c r="F47" s="627" t="str">
        <f>CONCATENATE("+ ",ROUND((E$46*0.08),2))</f>
        <v>+ 13.37</v>
      </c>
      <c r="G47" s="645"/>
      <c r="H47" s="627" t="str">
        <f>CONCATENATE("+ ",ROUND((G$46*0.08),2))</f>
        <v>+ 13.16</v>
      </c>
    </row>
    <row r="48" spans="1:8" ht="15" thickBot="1">
      <c r="B48" s="646" t="s">
        <v>449</v>
      </c>
      <c r="C48" s="697" t="str">
        <f>D47</f>
        <v>+ 13.15</v>
      </c>
      <c r="D48" s="632"/>
      <c r="E48" s="631" t="str">
        <f>F47</f>
        <v>+ 13.37</v>
      </c>
      <c r="F48" s="632"/>
      <c r="G48" s="631" t="str">
        <f>H47</f>
        <v>+ 13.16</v>
      </c>
      <c r="H48" s="632"/>
    </row>
    <row r="49" spans="1:9" s="392" customFormat="1" ht="15" thickBot="1">
      <c r="B49" s="647" t="s">
        <v>452</v>
      </c>
      <c r="C49" s="648">
        <f>C$46+C$48+C$44+C$45</f>
        <v>177.53282172535054</v>
      </c>
      <c r="D49" s="649">
        <f>D38+D47</f>
        <v>1.2900000000000009</v>
      </c>
      <c r="E49" s="648">
        <f>E$46+E$48+E$44+E$45</f>
        <v>180.48802049285482</v>
      </c>
      <c r="F49" s="649">
        <f>F38+F47</f>
        <v>1.2999999999999989</v>
      </c>
      <c r="G49" s="650">
        <f>G$46+G$48+G$44+G$45</f>
        <v>177.68919270566175</v>
      </c>
      <c r="H49" s="651">
        <f>H38+H47</f>
        <v>1.2900000000000009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sheetPr codeName="Sheet271">
    <tabColor rgb="FF00CC00"/>
  </sheetPr>
  <dimension ref="B2:K31"/>
  <sheetViews>
    <sheetView topLeftCell="A6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576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8.0151990579090473</v>
      </c>
      <c r="E23" s="283">
        <f t="shared" ref="E23:F23" si="0">$G$23*$G$8</f>
        <v>8.0151990579090473</v>
      </c>
      <c r="F23" s="283">
        <f t="shared" si="0"/>
        <v>8.0151990579090473</v>
      </c>
      <c r="G23" s="284">
        <f>'Delivery &gt;40km-Sept 2013'!E24*I23/1000</f>
        <v>6.90965436026642</v>
      </c>
      <c r="H23" s="262" t="s">
        <v>129</v>
      </c>
      <c r="I23" s="259">
        <v>577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165.11058490781389</v>
      </c>
      <c r="E25" s="285">
        <f>E19+E21+E23</f>
        <v>167.83416257221685</v>
      </c>
      <c r="F25" s="285">
        <f>F19+F21+F23</f>
        <v>165.27192908613443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sheetPr codeName="Sheet272">
    <tabColor rgb="FF0000FF"/>
  </sheetPr>
  <dimension ref="A2:M68"/>
  <sheetViews>
    <sheetView topLeftCell="A34" workbookViewId="0">
      <selection activeCell="D44" sqref="D44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Nakalale!G23</f>
        <v>6.90965436026642</v>
      </c>
      <c r="D40" s="943"/>
      <c r="E40" s="880">
        <f>C40</f>
        <v>6.90965436026642</v>
      </c>
      <c r="F40" s="943"/>
      <c r="G40" s="613">
        <f>C40</f>
        <v>6.90965436026642</v>
      </c>
      <c r="H40" s="943"/>
    </row>
    <row r="41" spans="1:8" s="392" customFormat="1">
      <c r="A41" s="605"/>
      <c r="B41" s="617" t="s">
        <v>446</v>
      </c>
      <c r="C41" s="618">
        <f>SUM(C40)</f>
        <v>6.90965436026642</v>
      </c>
      <c r="D41" s="618"/>
      <c r="E41" s="626">
        <f>SUM(E40)</f>
        <v>6.90965436026642</v>
      </c>
      <c r="F41" s="944"/>
      <c r="G41" s="618">
        <f>SUM(G40)</f>
        <v>6.90965436026642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175.15308420925999</v>
      </c>
      <c r="D43" s="610"/>
      <c r="E43" s="613">
        <f>E$37+E$42+E$41</f>
        <v>178.09828297676427</v>
      </c>
      <c r="F43" s="610"/>
      <c r="G43" s="236">
        <f>G$37+G$42+G$41</f>
        <v>175.30945518957122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163.29308420925997</v>
      </c>
      <c r="D46" s="610"/>
      <c r="E46" s="641">
        <f>E$43-E44-E45+F$38</f>
        <v>166.02828297676427</v>
      </c>
      <c r="F46" s="610"/>
      <c r="G46" s="642">
        <f>G$43-G44-G45+H$38</f>
        <v>163.43945518957122</v>
      </c>
      <c r="H46" s="573"/>
    </row>
    <row r="47" spans="1:8">
      <c r="B47" s="503" t="s">
        <v>445</v>
      </c>
      <c r="C47" s="644"/>
      <c r="D47" s="696" t="str">
        <f>CONCATENATE("+ ",ROUND((C$46*0.08),2))</f>
        <v>+ 13.06</v>
      </c>
      <c r="E47" s="644"/>
      <c r="F47" s="627" t="str">
        <f>CONCATENATE("+ ",ROUND((E$46*0.08),2))</f>
        <v>+ 13.28</v>
      </c>
      <c r="G47" s="645"/>
      <c r="H47" s="627" t="str">
        <f>CONCATENATE("+ ",ROUND((G$46*0.08),2))</f>
        <v>+ 13.08</v>
      </c>
    </row>
    <row r="48" spans="1:8" ht="15" thickBot="1">
      <c r="B48" s="646" t="s">
        <v>449</v>
      </c>
      <c r="C48" s="697" t="str">
        <f>D47</f>
        <v>+ 13.06</v>
      </c>
      <c r="D48" s="632"/>
      <c r="E48" s="631" t="str">
        <f>F47</f>
        <v>+ 13.28</v>
      </c>
      <c r="F48" s="632"/>
      <c r="G48" s="631" t="str">
        <f>H47</f>
        <v>+ 13.08</v>
      </c>
      <c r="H48" s="632"/>
    </row>
    <row r="49" spans="1:9" s="392" customFormat="1" ht="15" thickBot="1">
      <c r="B49" s="647" t="s">
        <v>452</v>
      </c>
      <c r="C49" s="648">
        <f>C$46+C$48+C$44+C$45</f>
        <v>176.35308420925998</v>
      </c>
      <c r="D49" s="649">
        <f>D38+D47</f>
        <v>1.2000000000000011</v>
      </c>
      <c r="E49" s="648">
        <f>E$46+E$48+E$44+E$45</f>
        <v>179.30828297676427</v>
      </c>
      <c r="F49" s="649">
        <f>F38+F47</f>
        <v>1.2099999999999991</v>
      </c>
      <c r="G49" s="650">
        <f>G$46+G$48+G$44+G$45</f>
        <v>176.51945518957123</v>
      </c>
      <c r="H49" s="651">
        <f>H38+H47</f>
        <v>1.2100000000000009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sheetPr codeName="Sheet273">
    <tabColor rgb="FF00CC00"/>
  </sheetPr>
  <dimension ref="B2:K31"/>
  <sheetViews>
    <sheetView topLeftCell="A6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577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4.167347863730873</v>
      </c>
      <c r="E23" s="283">
        <f t="shared" ref="E23:F23" si="0">$G$23*$G$8</f>
        <v>4.167347863730873</v>
      </c>
      <c r="F23" s="283">
        <f t="shared" si="0"/>
        <v>4.167347863730873</v>
      </c>
      <c r="G23" s="284">
        <f>'Delivery &gt;40km-Sept 2013'!E24*I23/1000</f>
        <v>3.5925412618369599</v>
      </c>
      <c r="H23" s="262" t="s">
        <v>129</v>
      </c>
      <c r="I23" s="259">
        <v>300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161.2627337136357</v>
      </c>
      <c r="E25" s="285">
        <f>E19+E21+E23</f>
        <v>163.98631137803866</v>
      </c>
      <c r="F25" s="285">
        <f>F19+F21+F23</f>
        <v>161.42407789195624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sheetPr codeName="Sheet274">
    <tabColor rgb="FF0000FF"/>
  </sheetPr>
  <dimension ref="A2:M68"/>
  <sheetViews>
    <sheetView topLeftCell="A34" workbookViewId="0">
      <selection activeCell="E42" sqref="E42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Loima!G23</f>
        <v>3.5925412618369599</v>
      </c>
      <c r="D40" s="943"/>
      <c r="E40" s="880">
        <f>C40</f>
        <v>3.5925412618369599</v>
      </c>
      <c r="F40" s="943"/>
      <c r="G40" s="613">
        <f>C40</f>
        <v>3.5925412618369599</v>
      </c>
      <c r="H40" s="943"/>
    </row>
    <row r="41" spans="1:8" s="392" customFormat="1">
      <c r="A41" s="605"/>
      <c r="B41" s="617" t="s">
        <v>446</v>
      </c>
      <c r="C41" s="618">
        <f>SUM(C40)</f>
        <v>3.5925412618369599</v>
      </c>
      <c r="D41" s="618"/>
      <c r="E41" s="626">
        <f>SUM(E40)</f>
        <v>3.5925412618369599</v>
      </c>
      <c r="F41" s="944"/>
      <c r="G41" s="618">
        <f>SUM(G40)</f>
        <v>3.5925412618369599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171.83597111083054</v>
      </c>
      <c r="D43" s="610"/>
      <c r="E43" s="613">
        <f>E$37+E$42+E$41</f>
        <v>174.78116987833482</v>
      </c>
      <c r="F43" s="610"/>
      <c r="G43" s="236">
        <f>G$37+G$42+G$41</f>
        <v>171.99234209114178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159.97597111083053</v>
      </c>
      <c r="D46" s="610"/>
      <c r="E46" s="641">
        <f>E$43-E44-E45+F$38</f>
        <v>162.71116987833483</v>
      </c>
      <c r="F46" s="610"/>
      <c r="G46" s="642">
        <f>G$43-G44-G45+H$38</f>
        <v>160.12234209114177</v>
      </c>
      <c r="H46" s="573"/>
    </row>
    <row r="47" spans="1:8">
      <c r="B47" s="503" t="s">
        <v>445</v>
      </c>
      <c r="C47" s="644"/>
      <c r="D47" s="696" t="str">
        <f>CONCATENATE("+ ",ROUND((C$46*0.08),2))</f>
        <v>+ 12.8</v>
      </c>
      <c r="E47" s="644"/>
      <c r="F47" s="627" t="str">
        <f>CONCATENATE("+ ",ROUND((E$46*0.08),2))</f>
        <v>+ 13.02</v>
      </c>
      <c r="G47" s="645"/>
      <c r="H47" s="627" t="str">
        <f>CONCATENATE("+ ",ROUND((G$46*0.08),2))</f>
        <v>+ 12.81</v>
      </c>
    </row>
    <row r="48" spans="1:8" ht="15" thickBot="1">
      <c r="B48" s="646" t="s">
        <v>449</v>
      </c>
      <c r="C48" s="697" t="str">
        <f>D47</f>
        <v>+ 12.8</v>
      </c>
      <c r="D48" s="632"/>
      <c r="E48" s="631" t="str">
        <f>F47</f>
        <v>+ 13.02</v>
      </c>
      <c r="F48" s="632"/>
      <c r="G48" s="631" t="str">
        <f>H47</f>
        <v>+ 12.81</v>
      </c>
      <c r="H48" s="632"/>
    </row>
    <row r="49" spans="1:9" s="392" customFormat="1" ht="15" thickBot="1">
      <c r="B49" s="647" t="s">
        <v>452</v>
      </c>
      <c r="C49" s="648">
        <f>C$46+C$48+C$44+C$45</f>
        <v>172.77597111083054</v>
      </c>
      <c r="D49" s="649">
        <f>D38+D47</f>
        <v>0.94000000000000128</v>
      </c>
      <c r="E49" s="648">
        <f>E$46+E$48+E$44+E$45</f>
        <v>175.73116987833484</v>
      </c>
      <c r="F49" s="649">
        <f>F38+F47</f>
        <v>0.94999999999999929</v>
      </c>
      <c r="G49" s="650">
        <f>G$46+G$48+G$44+G$45</f>
        <v>172.93234209114178</v>
      </c>
      <c r="H49" s="651">
        <f>H38+H47</f>
        <v>0.94000000000000128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sheetPr codeName="Sheet275">
    <tabColor rgb="FF00CC00"/>
  </sheetPr>
  <dimension ref="B2:K31"/>
  <sheetViews>
    <sheetView topLeftCell="A5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578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5.8481781687689915</v>
      </c>
      <c r="E23" s="283">
        <f t="shared" ref="E23:F23" si="0">$G$23*$G$8</f>
        <v>5.8481781687689915</v>
      </c>
      <c r="F23" s="283">
        <f t="shared" si="0"/>
        <v>5.8481781687689915</v>
      </c>
      <c r="G23" s="284">
        <f>'Delivery &gt;40km-Sept 2013'!E24*I23/1000</f>
        <v>5.0415329041112003</v>
      </c>
      <c r="H23" s="262" t="s">
        <v>129</v>
      </c>
      <c r="I23" s="259">
        <v>421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162.94356401867381</v>
      </c>
      <c r="E25" s="285">
        <f>E19+E21+E23</f>
        <v>165.66714168307678</v>
      </c>
      <c r="F25" s="285">
        <f>F19+F21+F23</f>
        <v>163.10490819699436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sheetPr codeName="Sheet276">
    <tabColor rgb="FF0000FF"/>
  </sheetPr>
  <dimension ref="A2:M68"/>
  <sheetViews>
    <sheetView topLeftCell="A22" workbookViewId="0">
      <selection activeCell="F48" sqref="F48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Lokiriama!G23</f>
        <v>5.0415329041112003</v>
      </c>
      <c r="D40" s="943"/>
      <c r="E40" s="880">
        <f>C40</f>
        <v>5.0415329041112003</v>
      </c>
      <c r="F40" s="943"/>
      <c r="G40" s="613">
        <f>C40</f>
        <v>5.0415329041112003</v>
      </c>
      <c r="H40" s="943"/>
    </row>
    <row r="41" spans="1:8" s="392" customFormat="1">
      <c r="A41" s="605"/>
      <c r="B41" s="617" t="s">
        <v>446</v>
      </c>
      <c r="C41" s="618">
        <f>SUM(C40)</f>
        <v>5.0415329041112003</v>
      </c>
      <c r="D41" s="618"/>
      <c r="E41" s="626">
        <f>SUM(E40)</f>
        <v>5.0415329041112003</v>
      </c>
      <c r="F41" s="944"/>
      <c r="G41" s="618">
        <f>SUM(G40)</f>
        <v>5.0415329041112003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173.28496275310476</v>
      </c>
      <c r="D43" s="610"/>
      <c r="E43" s="613">
        <f>E$37+E$42+E$41</f>
        <v>176.23016152060904</v>
      </c>
      <c r="F43" s="610"/>
      <c r="G43" s="236">
        <f>G$37+G$42+G$41</f>
        <v>173.441333733416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161.42496275310475</v>
      </c>
      <c r="D46" s="610"/>
      <c r="E46" s="641">
        <f>E$43-E44-E45+F$38</f>
        <v>164.16016152060905</v>
      </c>
      <c r="F46" s="610"/>
      <c r="G46" s="642">
        <f>G$43-G44-G45+H$38</f>
        <v>161.571333733416</v>
      </c>
      <c r="H46" s="573"/>
    </row>
    <row r="47" spans="1:8">
      <c r="B47" s="503" t="s">
        <v>445</v>
      </c>
      <c r="C47" s="644"/>
      <c r="D47" s="696" t="str">
        <f>CONCATENATE("+ ",ROUND((C$46*0.08),2))</f>
        <v>+ 12.91</v>
      </c>
      <c r="E47" s="644"/>
      <c r="F47" s="627" t="str">
        <f>CONCATENATE("+ ",ROUND((E$46*0.08),2))</f>
        <v>+ 13.13</v>
      </c>
      <c r="G47" s="645"/>
      <c r="H47" s="627" t="str">
        <f>CONCATENATE("+ ",ROUND((G$46*0.08),2))</f>
        <v>+ 12.93</v>
      </c>
    </row>
    <row r="48" spans="1:8" ht="15" thickBot="1">
      <c r="B48" s="646" t="s">
        <v>449</v>
      </c>
      <c r="C48" s="697" t="str">
        <f>D47</f>
        <v>+ 12.91</v>
      </c>
      <c r="D48" s="632"/>
      <c r="E48" s="631" t="str">
        <f>F47</f>
        <v>+ 13.13</v>
      </c>
      <c r="F48" s="632"/>
      <c r="G48" s="631" t="str">
        <f>H47</f>
        <v>+ 12.93</v>
      </c>
      <c r="H48" s="632"/>
    </row>
    <row r="49" spans="1:9" s="392" customFormat="1" ht="15" thickBot="1">
      <c r="B49" s="647" t="s">
        <v>452</v>
      </c>
      <c r="C49" s="648">
        <f>C$46+C$48+C$44+C$45</f>
        <v>174.33496275310475</v>
      </c>
      <c r="D49" s="649">
        <f>D38+D47</f>
        <v>1.0500000000000007</v>
      </c>
      <c r="E49" s="648">
        <f>E$46+E$48+E$44+E$45</f>
        <v>177.29016152060905</v>
      </c>
      <c r="F49" s="649">
        <f>F38+F47</f>
        <v>1.0600000000000005</v>
      </c>
      <c r="G49" s="650">
        <f>G$46+G$48+G$44+G$45</f>
        <v>174.501333733416</v>
      </c>
      <c r="H49" s="651">
        <f>H38+H47</f>
        <v>1.0600000000000005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sheetPr codeName="Sheet277">
    <tabColor rgb="FF00CC00"/>
  </sheetPr>
  <dimension ref="B2:K31"/>
  <sheetViews>
    <sheetView topLeftCell="A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579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2.8476877068827631</v>
      </c>
      <c r="E23" s="283">
        <f t="shared" ref="E23:F23" si="0">$G$23*$G$8</f>
        <v>2.8476877068827631</v>
      </c>
      <c r="F23" s="283">
        <f t="shared" si="0"/>
        <v>2.8476877068827631</v>
      </c>
      <c r="G23" s="284">
        <f>'Delivery &gt;40km-Sept 2013'!E24*I23/1000</f>
        <v>2.4549031955885892</v>
      </c>
      <c r="H23" s="262" t="s">
        <v>129</v>
      </c>
      <c r="I23" s="259">
        <v>205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159.9430735567876</v>
      </c>
      <c r="E25" s="285">
        <f>E19+E21+E23</f>
        <v>162.66665122119056</v>
      </c>
      <c r="F25" s="285">
        <f>F19+F21+F23</f>
        <v>160.10441773510814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sheetPr codeName="Sheet278">
    <tabColor rgb="FF0000FF"/>
  </sheetPr>
  <dimension ref="A2:M68"/>
  <sheetViews>
    <sheetView topLeftCell="A25" workbookViewId="0">
      <selection activeCell="G31" sqref="G3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Kainuk!G23</f>
        <v>2.4549031955885892</v>
      </c>
      <c r="D40" s="943"/>
      <c r="E40" s="880">
        <f>C40</f>
        <v>2.4549031955885892</v>
      </c>
      <c r="F40" s="943"/>
      <c r="G40" s="613">
        <f>C40</f>
        <v>2.4549031955885892</v>
      </c>
      <c r="H40" s="943"/>
    </row>
    <row r="41" spans="1:8" s="392" customFormat="1">
      <c r="A41" s="605"/>
      <c r="B41" s="617" t="s">
        <v>446</v>
      </c>
      <c r="C41" s="618">
        <f>SUM(C40)</f>
        <v>2.4549031955885892</v>
      </c>
      <c r="D41" s="618"/>
      <c r="E41" s="626">
        <f>SUM(E40)</f>
        <v>2.4549031955885892</v>
      </c>
      <c r="F41" s="944"/>
      <c r="G41" s="618">
        <f>SUM(G40)</f>
        <v>2.4549031955885892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170.69833304458217</v>
      </c>
      <c r="D43" s="610"/>
      <c r="E43" s="613">
        <f>E$37+E$42+E$41</f>
        <v>173.64353181208645</v>
      </c>
      <c r="F43" s="610"/>
      <c r="G43" s="236">
        <f>G$37+G$42+G$41</f>
        <v>170.85470402489341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158.83833304458216</v>
      </c>
      <c r="D46" s="610"/>
      <c r="E46" s="641">
        <f>E$43-E44-E45+F$38</f>
        <v>161.57353181208646</v>
      </c>
      <c r="F46" s="610"/>
      <c r="G46" s="642">
        <f>G$43-G44-G45+H$38</f>
        <v>158.9847040248934</v>
      </c>
      <c r="H46" s="573"/>
    </row>
    <row r="47" spans="1:8">
      <c r="B47" s="503" t="s">
        <v>445</v>
      </c>
      <c r="C47" s="644"/>
      <c r="D47" s="696" t="str">
        <f>CONCATENATE("+ ",ROUND((C$46*0.08),2))</f>
        <v>+ 12.71</v>
      </c>
      <c r="E47" s="644"/>
      <c r="F47" s="627" t="str">
        <f>CONCATENATE("+ ",ROUND((E$46*0.08),2))</f>
        <v>+ 12.93</v>
      </c>
      <c r="G47" s="645"/>
      <c r="H47" s="627" t="str">
        <f>CONCATENATE("+ ",ROUND((G$46*0.08),2))</f>
        <v>+ 12.72</v>
      </c>
    </row>
    <row r="48" spans="1:8" ht="15" thickBot="1">
      <c r="B48" s="646" t="s">
        <v>449</v>
      </c>
      <c r="C48" s="697" t="str">
        <f>D47</f>
        <v>+ 12.71</v>
      </c>
      <c r="D48" s="632"/>
      <c r="E48" s="631" t="str">
        <f>F47</f>
        <v>+ 12.93</v>
      </c>
      <c r="F48" s="632"/>
      <c r="G48" s="631" t="str">
        <f>H47</f>
        <v>+ 12.72</v>
      </c>
      <c r="H48" s="632"/>
    </row>
    <row r="49" spans="1:9" s="392" customFormat="1" ht="15" thickBot="1">
      <c r="B49" s="647" t="s">
        <v>452</v>
      </c>
      <c r="C49" s="648">
        <f>C$46+C$48+C$44+C$45</f>
        <v>171.54833304458217</v>
      </c>
      <c r="D49" s="649">
        <f>D38+D47</f>
        <v>0.85000000000000142</v>
      </c>
      <c r="E49" s="648">
        <f>E$46+E$48+E$44+E$45</f>
        <v>174.50353181208646</v>
      </c>
      <c r="F49" s="649">
        <f>F38+F47</f>
        <v>0.85999999999999943</v>
      </c>
      <c r="G49" s="650">
        <f>G$46+G$48+G$44+G$45</f>
        <v>171.7047040248934</v>
      </c>
      <c r="H49" s="651">
        <f>H38+H47</f>
        <v>0.85000000000000142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sheetPr codeName="Sheet279">
    <tabColor rgb="FF00CC00"/>
  </sheetPr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580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2.1253474105027452</v>
      </c>
      <c r="E23" s="283">
        <f t="shared" ref="E23:F23" si="0">$G$23*$G$8</f>
        <v>2.1253474105027452</v>
      </c>
      <c r="F23" s="283">
        <f t="shared" si="0"/>
        <v>2.1253474105027452</v>
      </c>
      <c r="G23" s="284">
        <f>'Delivery &gt;40km-Sept 2013'!E24*I23/1000</f>
        <v>1.8321960435368496</v>
      </c>
      <c r="H23" s="262" t="s">
        <v>129</v>
      </c>
      <c r="I23" s="259">
        <v>153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159.22073326040757</v>
      </c>
      <c r="E25" s="285">
        <f>E19+E21+E23</f>
        <v>161.94431092481054</v>
      </c>
      <c r="F25" s="285">
        <f>F19+F21+F23</f>
        <v>159.38207743872812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sheetPr codeName="Sheet280">
    <tabColor rgb="FF0000FF"/>
  </sheetPr>
  <dimension ref="A2:M68"/>
  <sheetViews>
    <sheetView topLeftCell="A25" workbookViewId="0">
      <selection activeCell="F58" sqref="F58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Kacheliba!G23</f>
        <v>1.8321960435368496</v>
      </c>
      <c r="D40" s="943"/>
      <c r="E40" s="880">
        <f>C40</f>
        <v>1.8321960435368496</v>
      </c>
      <c r="F40" s="943"/>
      <c r="G40" s="613">
        <f>C40</f>
        <v>1.8321960435368496</v>
      </c>
      <c r="H40" s="943"/>
    </row>
    <row r="41" spans="1:8" s="392" customFormat="1">
      <c r="A41" s="605"/>
      <c r="B41" s="617" t="s">
        <v>446</v>
      </c>
      <c r="C41" s="618">
        <f>SUM(C40)</f>
        <v>1.8321960435368496</v>
      </c>
      <c r="D41" s="618"/>
      <c r="E41" s="626">
        <f>SUM(E40)</f>
        <v>1.8321960435368496</v>
      </c>
      <c r="F41" s="944"/>
      <c r="G41" s="618">
        <f>SUM(G40)</f>
        <v>1.8321960435368496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170.07562589253041</v>
      </c>
      <c r="D43" s="610"/>
      <c r="E43" s="613">
        <f>E$37+E$42+E$41</f>
        <v>173.02082466003469</v>
      </c>
      <c r="F43" s="610"/>
      <c r="G43" s="236">
        <f>G$37+G$42+G$41</f>
        <v>170.23199687284165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158.2156258925304</v>
      </c>
      <c r="D46" s="610"/>
      <c r="E46" s="641">
        <f>E$43-E44-E45+F$38</f>
        <v>160.9508246600347</v>
      </c>
      <c r="F46" s="610"/>
      <c r="G46" s="642">
        <f>G$43-G44-G45+H$38</f>
        <v>158.36199687284164</v>
      </c>
      <c r="H46" s="573"/>
    </row>
    <row r="47" spans="1:8">
      <c r="B47" s="503" t="s">
        <v>445</v>
      </c>
      <c r="C47" s="644"/>
      <c r="D47" s="696" t="str">
        <f>CONCATENATE("+ ",ROUND((C$46*0.08),2))</f>
        <v>+ 12.66</v>
      </c>
      <c r="E47" s="644"/>
      <c r="F47" s="627" t="str">
        <f>CONCATENATE("+ ",ROUND((E$46*0.08),2))</f>
        <v>+ 12.88</v>
      </c>
      <c r="G47" s="645"/>
      <c r="H47" s="627" t="str">
        <f>CONCATENATE("+ ",ROUND((G$46*0.08),2))</f>
        <v>+ 12.67</v>
      </c>
    </row>
    <row r="48" spans="1:8" ht="15" thickBot="1">
      <c r="B48" s="646" t="s">
        <v>449</v>
      </c>
      <c r="C48" s="697" t="str">
        <f>D47</f>
        <v>+ 12.66</v>
      </c>
      <c r="D48" s="632"/>
      <c r="E48" s="631" t="str">
        <f>F47</f>
        <v>+ 12.88</v>
      </c>
      <c r="F48" s="632"/>
      <c r="G48" s="631" t="str">
        <f>H47</f>
        <v>+ 12.67</v>
      </c>
      <c r="H48" s="632"/>
    </row>
    <row r="49" spans="1:9" s="392" customFormat="1" ht="15" thickBot="1">
      <c r="B49" s="647" t="s">
        <v>452</v>
      </c>
      <c r="C49" s="648">
        <f>C$46+C$48+C$44+C$45</f>
        <v>170.87562589253039</v>
      </c>
      <c r="D49" s="649">
        <f>D38+D47</f>
        <v>0.80000000000000071</v>
      </c>
      <c r="E49" s="648">
        <f>E$46+E$48+E$44+E$45</f>
        <v>173.83082466003469</v>
      </c>
      <c r="F49" s="649">
        <f>F38+F47</f>
        <v>0.8100000000000005</v>
      </c>
      <c r="G49" s="650">
        <f>G$46+G$48+G$44+G$45</f>
        <v>171.03199687284163</v>
      </c>
      <c r="H49" s="651">
        <f>H38+H47</f>
        <v>0.80000000000000071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sheetPr codeName="Sheet281">
    <tabColor rgb="FF00CC00"/>
  </sheetPr>
  <dimension ref="B2:K31"/>
  <sheetViews>
    <sheetView topLeftCell="A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581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2.7782319091539156</v>
      </c>
      <c r="E23" s="283">
        <f t="shared" ref="E23:F23" si="0">$G$23*$G$8</f>
        <v>2.7782319091539156</v>
      </c>
      <c r="F23" s="283">
        <f t="shared" si="0"/>
        <v>2.7782319091539156</v>
      </c>
      <c r="G23" s="284">
        <f>'Delivery &gt;40km-Sept 2013'!E24*I23/1000</f>
        <v>2.3950275078913066</v>
      </c>
      <c r="H23" s="262" t="s">
        <v>129</v>
      </c>
      <c r="I23" s="259">
        <v>200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159.87361775905873</v>
      </c>
      <c r="E25" s="285">
        <f>E19+E21+E23</f>
        <v>162.5971954234617</v>
      </c>
      <c r="F25" s="285">
        <f>F19+F21+F23</f>
        <v>160.03496193737928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sheetPr codeName="Sheet282">
    <tabColor rgb="FF0000FF"/>
  </sheetPr>
  <dimension ref="A2:M68"/>
  <sheetViews>
    <sheetView topLeftCell="A25" workbookViewId="0">
      <selection activeCell="F61" sqref="F6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Kiwawa!G23</f>
        <v>2.3950275078913066</v>
      </c>
      <c r="D40" s="943"/>
      <c r="E40" s="880">
        <f>C40</f>
        <v>2.3950275078913066</v>
      </c>
      <c r="F40" s="943"/>
      <c r="G40" s="613">
        <f>C40</f>
        <v>2.3950275078913066</v>
      </c>
      <c r="H40" s="943"/>
    </row>
    <row r="41" spans="1:8" s="392" customFormat="1">
      <c r="A41" s="605"/>
      <c r="B41" s="617" t="s">
        <v>446</v>
      </c>
      <c r="C41" s="618">
        <f>SUM(C40)</f>
        <v>2.3950275078913066</v>
      </c>
      <c r="D41" s="618"/>
      <c r="E41" s="626">
        <f>SUM(E40)</f>
        <v>2.3950275078913066</v>
      </c>
      <c r="F41" s="944"/>
      <c r="G41" s="618">
        <f>SUM(G40)</f>
        <v>2.3950275078913066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170.63845735688489</v>
      </c>
      <c r="D43" s="610"/>
      <c r="E43" s="613">
        <f>E$37+E$42+E$41</f>
        <v>173.58365612438917</v>
      </c>
      <c r="F43" s="610"/>
      <c r="G43" s="236">
        <f>G$37+G$42+G$41</f>
        <v>170.79482833719612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158.77845735688487</v>
      </c>
      <c r="D46" s="610"/>
      <c r="E46" s="641">
        <f>E$43-E44-E45+F$38</f>
        <v>161.51365612438917</v>
      </c>
      <c r="F46" s="610"/>
      <c r="G46" s="642">
        <f>G$43-G44-G45+H$38</f>
        <v>158.92482833719612</v>
      </c>
      <c r="H46" s="573"/>
    </row>
    <row r="47" spans="1:8">
      <c r="B47" s="503" t="s">
        <v>445</v>
      </c>
      <c r="C47" s="644"/>
      <c r="D47" s="696" t="str">
        <f>CONCATENATE("+ ",ROUND((C$46*0.08),2))</f>
        <v>+ 12.7</v>
      </c>
      <c r="E47" s="644"/>
      <c r="F47" s="627" t="str">
        <f>CONCATENATE("+ ",ROUND((E$46*0.08),2))</f>
        <v>+ 12.92</v>
      </c>
      <c r="G47" s="645"/>
      <c r="H47" s="627" t="str">
        <f>CONCATENATE("+ ",ROUND((G$46*0.08),2))</f>
        <v>+ 12.71</v>
      </c>
    </row>
    <row r="48" spans="1:8" ht="15" thickBot="1">
      <c r="B48" s="646" t="s">
        <v>449</v>
      </c>
      <c r="C48" s="697" t="str">
        <f>D47</f>
        <v>+ 12.7</v>
      </c>
      <c r="D48" s="632"/>
      <c r="E48" s="631" t="str">
        <f>F47</f>
        <v>+ 12.92</v>
      </c>
      <c r="F48" s="632"/>
      <c r="G48" s="631" t="str">
        <f>H47</f>
        <v>+ 12.71</v>
      </c>
      <c r="H48" s="632"/>
    </row>
    <row r="49" spans="1:9" s="392" customFormat="1" ht="15" thickBot="1">
      <c r="B49" s="647" t="s">
        <v>452</v>
      </c>
      <c r="C49" s="648">
        <f>C$46+C$48+C$44+C$45</f>
        <v>171.47845735688486</v>
      </c>
      <c r="D49" s="649">
        <f>D38+D47</f>
        <v>0.83999999999999986</v>
      </c>
      <c r="E49" s="648">
        <f>E$46+E$48+E$44+E$45</f>
        <v>174.43365612438916</v>
      </c>
      <c r="F49" s="649">
        <f>F38+F47</f>
        <v>0.84999999999999964</v>
      </c>
      <c r="G49" s="650">
        <f>G$46+G$48+G$44+G$45</f>
        <v>171.63482833719613</v>
      </c>
      <c r="H49" s="651">
        <f>H38+H47</f>
        <v>0.84000000000000163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sheetPr codeName="Sheet283">
    <tabColor rgb="FF00CC00"/>
  </sheetPr>
  <dimension ref="B2:K31"/>
  <sheetViews>
    <sheetView topLeftCell="A5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582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2.333714803689289</v>
      </c>
      <c r="E23" s="283">
        <f t="shared" ref="E23:F23" si="0">$G$23*$G$8</f>
        <v>2.333714803689289</v>
      </c>
      <c r="F23" s="283">
        <f t="shared" si="0"/>
        <v>2.333714803689289</v>
      </c>
      <c r="G23" s="284">
        <f>'Delivery &gt;40km-Sept 2013'!E24*I23/1000</f>
        <v>2.0118231066286976</v>
      </c>
      <c r="H23" s="262" t="s">
        <v>129</v>
      </c>
      <c r="I23" s="259">
        <v>168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159.42910065359411</v>
      </c>
      <c r="E25" s="285">
        <f>E19+E21+E23</f>
        <v>162.15267831799707</v>
      </c>
      <c r="F25" s="285">
        <f>F19+F21+F23</f>
        <v>159.59044483191465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sheetPr codeName="Sheet284">
    <tabColor rgb="FF0000FF"/>
  </sheetPr>
  <dimension ref="A2:M68"/>
  <sheetViews>
    <sheetView topLeftCell="A25" workbookViewId="0">
      <selection activeCell="D46" sqref="D46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Ortum!G23</f>
        <v>2.0118231066286976</v>
      </c>
      <c r="D40" s="943"/>
      <c r="E40" s="880">
        <f>C40</f>
        <v>2.0118231066286976</v>
      </c>
      <c r="F40" s="943"/>
      <c r="G40" s="613">
        <f>C40</f>
        <v>2.0118231066286976</v>
      </c>
      <c r="H40" s="943"/>
    </row>
    <row r="41" spans="1:8" s="392" customFormat="1">
      <c r="A41" s="605"/>
      <c r="B41" s="617" t="s">
        <v>446</v>
      </c>
      <c r="C41" s="618">
        <f>SUM(C40)</f>
        <v>2.0118231066286976</v>
      </c>
      <c r="D41" s="618"/>
      <c r="E41" s="626">
        <f>SUM(E40)</f>
        <v>2.0118231066286976</v>
      </c>
      <c r="F41" s="944"/>
      <c r="G41" s="618">
        <f>SUM(G40)</f>
        <v>2.0118231066286976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170.25525295562227</v>
      </c>
      <c r="D43" s="610"/>
      <c r="E43" s="613">
        <f>E$37+E$42+E$41</f>
        <v>173.20045172312655</v>
      </c>
      <c r="F43" s="610"/>
      <c r="G43" s="236">
        <f>G$37+G$42+G$41</f>
        <v>170.41162393593351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158.39525295562225</v>
      </c>
      <c r="D46" s="610"/>
      <c r="E46" s="641">
        <f>E$43-E44-E45+F$38</f>
        <v>161.13045172312655</v>
      </c>
      <c r="F46" s="610"/>
      <c r="G46" s="642">
        <f>G$43-G44-G45+H$38</f>
        <v>158.5416239359335</v>
      </c>
      <c r="H46" s="573"/>
    </row>
    <row r="47" spans="1:8">
      <c r="B47" s="503" t="s">
        <v>445</v>
      </c>
      <c r="C47" s="644"/>
      <c r="D47" s="696" t="str">
        <f>CONCATENATE("+ ",ROUND((C$46*0.08),2))</f>
        <v>+ 12.67</v>
      </c>
      <c r="E47" s="644"/>
      <c r="F47" s="627" t="str">
        <f>CONCATENATE("+ ",ROUND((E$46*0.08),2))</f>
        <v>+ 12.89</v>
      </c>
      <c r="G47" s="645"/>
      <c r="H47" s="627" t="str">
        <f>CONCATENATE("+ ",ROUND((G$46*0.08),2))</f>
        <v>+ 12.68</v>
      </c>
    </row>
    <row r="48" spans="1:8" ht="15" thickBot="1">
      <c r="B48" s="646" t="s">
        <v>449</v>
      </c>
      <c r="C48" s="697" t="str">
        <f>D47</f>
        <v>+ 12.67</v>
      </c>
      <c r="D48" s="632"/>
      <c r="E48" s="631" t="str">
        <f>F47</f>
        <v>+ 12.89</v>
      </c>
      <c r="F48" s="632"/>
      <c r="G48" s="631" t="str">
        <f>H47</f>
        <v>+ 12.68</v>
      </c>
      <c r="H48" s="632"/>
    </row>
    <row r="49" spans="1:9" s="392" customFormat="1" ht="15" thickBot="1">
      <c r="B49" s="647" t="s">
        <v>452</v>
      </c>
      <c r="C49" s="648">
        <f>C$46+C$48+C$44+C$45</f>
        <v>171.06525295562224</v>
      </c>
      <c r="D49" s="649">
        <f>D38+D47</f>
        <v>0.8100000000000005</v>
      </c>
      <c r="E49" s="648">
        <f>E$46+E$48+E$44+E$45</f>
        <v>174.02045172312654</v>
      </c>
      <c r="F49" s="649">
        <f>F38+F47</f>
        <v>0.82000000000000028</v>
      </c>
      <c r="G49" s="650">
        <f>G$46+G$48+G$44+G$45</f>
        <v>171.22162393593351</v>
      </c>
      <c r="H49" s="651">
        <f>H38+H47</f>
        <v>0.8100000000000005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sheetPr codeName="Sheet285">
    <tabColor rgb="FF00CC00"/>
  </sheetPr>
  <dimension ref="B2:K31"/>
  <sheetViews>
    <sheetView topLeftCell="A14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583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1.0418369659327182</v>
      </c>
      <c r="E23" s="283">
        <f t="shared" ref="E23:F23" si="0">$G$23*$G$8</f>
        <v>1.0418369659327182</v>
      </c>
      <c r="F23" s="283">
        <f t="shared" si="0"/>
        <v>1.0418369659327182</v>
      </c>
      <c r="G23" s="284">
        <f>'Delivery &gt;40km-Sept 2013'!E24*I23/1000</f>
        <v>0.89813531545923997</v>
      </c>
      <c r="H23" s="262" t="s">
        <v>129</v>
      </c>
      <c r="I23" s="259">
        <v>75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158.13722281583756</v>
      </c>
      <c r="E25" s="285">
        <f>E19+E21+E23</f>
        <v>160.86080048024053</v>
      </c>
      <c r="F25" s="285">
        <f>F19+F21+F23</f>
        <v>158.29856699415811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C29" s="159" t="e">
        <f>C$9+C$20+C$22+C$23+C$28</f>
        <v>#VALUE!</v>
      </c>
      <c r="D29" s="694"/>
      <c r="E29" s="694">
        <f>E$9+E$20+E$22+E$23+E$28</f>
        <v>5.4514261659327179</v>
      </c>
      <c r="F29" s="694"/>
      <c r="G29" s="1032">
        <f>G$9+G$20+G$22+G$23+G$28</f>
        <v>1.89813531545924</v>
      </c>
    </row>
    <row r="31" spans="3:11">
      <c r="E31" s="210"/>
    </row>
  </sheetData>
  <pageMargins left="0.7" right="0.7" top="0.75" bottom="0.75" header="0.3" footer="0.3"/>
  <drawing r:id="rId1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sheetPr codeName="Sheet286">
    <tabColor rgb="FF0000FF"/>
  </sheetPr>
  <dimension ref="A2:M68"/>
  <sheetViews>
    <sheetView topLeftCell="A31" workbookViewId="0">
      <selection activeCell="E60" sqref="E60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Kachibora!G23</f>
        <v>0.89813531545923997</v>
      </c>
      <c r="D40" s="943"/>
      <c r="E40" s="880">
        <f>C40</f>
        <v>0.89813531545923997</v>
      </c>
      <c r="F40" s="943"/>
      <c r="G40" s="613">
        <f>C40</f>
        <v>0.89813531545923997</v>
      </c>
      <c r="H40" s="943"/>
    </row>
    <row r="41" spans="1:8" s="392" customFormat="1">
      <c r="A41" s="605"/>
      <c r="B41" s="617" t="s">
        <v>446</v>
      </c>
      <c r="C41" s="618">
        <f>SUM(C40)</f>
        <v>0.89813531545923997</v>
      </c>
      <c r="D41" s="618"/>
      <c r="E41" s="626">
        <f>SUM(E40)</f>
        <v>0.89813531545923997</v>
      </c>
      <c r="F41" s="944"/>
      <c r="G41" s="618">
        <f>SUM(G40)</f>
        <v>0.89813531545923997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169.1415651644528</v>
      </c>
      <c r="D43" s="610"/>
      <c r="E43" s="613">
        <f>E$37+E$42+E$41</f>
        <v>172.08676393195708</v>
      </c>
      <c r="F43" s="610"/>
      <c r="G43" s="236">
        <f>G$37+G$42+G$41</f>
        <v>169.29793614476404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157.28156516445279</v>
      </c>
      <c r="D46" s="610"/>
      <c r="E46" s="641">
        <f>E$43-E44-E45+F$38</f>
        <v>160.01676393195709</v>
      </c>
      <c r="F46" s="610"/>
      <c r="G46" s="642">
        <f>G$43-G44-G45+H$38</f>
        <v>157.42793614476403</v>
      </c>
      <c r="H46" s="573"/>
    </row>
    <row r="47" spans="1:8">
      <c r="B47" s="503" t="s">
        <v>445</v>
      </c>
      <c r="C47" s="644"/>
      <c r="D47" s="696" t="str">
        <f>CONCATENATE("+ ",ROUND((C$46*0.08),2))</f>
        <v>+ 12.58</v>
      </c>
      <c r="E47" s="644"/>
      <c r="F47" s="627" t="str">
        <f>CONCATENATE("+ ",ROUND((E$46*0.08),2))</f>
        <v>+ 12.8</v>
      </c>
      <c r="G47" s="645"/>
      <c r="H47" s="627" t="str">
        <f>CONCATENATE("+ ",ROUND((G$46*0.08),2))</f>
        <v>+ 12.59</v>
      </c>
    </row>
    <row r="48" spans="1:8" ht="15" thickBot="1">
      <c r="B48" s="646" t="s">
        <v>449</v>
      </c>
      <c r="C48" s="697" t="str">
        <f>D47</f>
        <v>+ 12.58</v>
      </c>
      <c r="D48" s="632"/>
      <c r="E48" s="631" t="str">
        <f>F47</f>
        <v>+ 12.8</v>
      </c>
      <c r="F48" s="632"/>
      <c r="G48" s="631" t="str">
        <f>H47</f>
        <v>+ 12.59</v>
      </c>
      <c r="H48" s="632"/>
    </row>
    <row r="49" spans="1:9" s="392" customFormat="1" ht="15" thickBot="1">
      <c r="B49" s="647" t="s">
        <v>452</v>
      </c>
      <c r="C49" s="648">
        <f>C$46+C$48+C$44+C$45</f>
        <v>169.8615651644528</v>
      </c>
      <c r="D49" s="649">
        <f>D38+D47</f>
        <v>0.72000000000000064</v>
      </c>
      <c r="E49" s="648">
        <f>E$46+E$48+E$44+E$45</f>
        <v>172.8167639319571</v>
      </c>
      <c r="F49" s="649">
        <f>F38+F47</f>
        <v>0.73000000000000043</v>
      </c>
      <c r="G49" s="650">
        <f>G$46+G$48+G$44+G$45</f>
        <v>170.01793614476404</v>
      </c>
      <c r="H49" s="651">
        <f>H38+H47</f>
        <v>0.72000000000000064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sheetPr codeName="Sheet287">
    <tabColor rgb="FF00CC00"/>
  </sheetPr>
  <dimension ref="B2:K31"/>
  <sheetViews>
    <sheetView topLeftCell="A5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584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1.8058507409500453</v>
      </c>
      <c r="E23" s="283">
        <f t="shared" ref="E23:F23" si="0">$G$23*$G$8</f>
        <v>1.8058507409500453</v>
      </c>
      <c r="F23" s="283">
        <f t="shared" si="0"/>
        <v>1.8058507409500453</v>
      </c>
      <c r="G23" s="284">
        <f>'Delivery &gt;40km-Sept 2013'!E24*I23/1000</f>
        <v>1.5567678801293494</v>
      </c>
      <c r="H23" s="262" t="s">
        <v>129</v>
      </c>
      <c r="I23" s="259">
        <v>130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158.90123659085486</v>
      </c>
      <c r="E25" s="285">
        <f>E19+E21+E23</f>
        <v>161.62481425525783</v>
      </c>
      <c r="F25" s="285">
        <f>F19+F21+F23</f>
        <v>159.06258076917541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sheetPr codeName="Sheet288">
    <tabColor rgb="FF0000FF"/>
  </sheetPr>
  <dimension ref="A2:M68"/>
  <sheetViews>
    <sheetView topLeftCell="A22" workbookViewId="0">
      <selection activeCell="F46" sqref="F46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Kwanza!G23</f>
        <v>1.5567678801293494</v>
      </c>
      <c r="D40" s="943"/>
      <c r="E40" s="880">
        <f>C40</f>
        <v>1.5567678801293494</v>
      </c>
      <c r="F40" s="943"/>
      <c r="G40" s="613">
        <f>C40</f>
        <v>1.5567678801293494</v>
      </c>
      <c r="H40" s="943"/>
    </row>
    <row r="41" spans="1:8" s="392" customFormat="1">
      <c r="A41" s="605"/>
      <c r="B41" s="617" t="s">
        <v>446</v>
      </c>
      <c r="C41" s="618">
        <f>SUM(C40)</f>
        <v>1.5567678801293494</v>
      </c>
      <c r="D41" s="618"/>
      <c r="E41" s="626">
        <f>SUM(E40)</f>
        <v>1.5567678801293494</v>
      </c>
      <c r="F41" s="944"/>
      <c r="G41" s="618">
        <f>SUM(G40)</f>
        <v>1.5567678801293494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169.80019772912291</v>
      </c>
      <c r="D43" s="610"/>
      <c r="E43" s="613">
        <f>E$37+E$42+E$41</f>
        <v>172.74539649662719</v>
      </c>
      <c r="F43" s="610"/>
      <c r="G43" s="236">
        <f>G$37+G$42+G$41</f>
        <v>169.95656870943415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157.94019772912293</v>
      </c>
      <c r="D46" s="610"/>
      <c r="E46" s="641">
        <f>E$43-E44-E45+F$38</f>
        <v>160.6753964966272</v>
      </c>
      <c r="F46" s="610"/>
      <c r="G46" s="642">
        <f>G$43-G44-G45+H$38</f>
        <v>158.08656870943415</v>
      </c>
      <c r="H46" s="573"/>
    </row>
    <row r="47" spans="1:8">
      <c r="B47" s="503" t="s">
        <v>445</v>
      </c>
      <c r="C47" s="644"/>
      <c r="D47" s="696" t="str">
        <f>CONCATENATE("+ ",ROUND((C$46*0.08),2))</f>
        <v>+ 12.64</v>
      </c>
      <c r="E47" s="644"/>
      <c r="F47" s="627" t="str">
        <f>CONCATENATE("+ ",ROUND((E$46*0.08),2))</f>
        <v>+ 12.85</v>
      </c>
      <c r="G47" s="645"/>
      <c r="H47" s="627" t="str">
        <f>CONCATENATE("+ ",ROUND((G$46*0.08),2))</f>
        <v>+ 12.65</v>
      </c>
    </row>
    <row r="48" spans="1:8" ht="15" thickBot="1">
      <c r="B48" s="646" t="s">
        <v>449</v>
      </c>
      <c r="C48" s="697" t="str">
        <f>D47</f>
        <v>+ 12.64</v>
      </c>
      <c r="D48" s="632"/>
      <c r="E48" s="631" t="str">
        <f>F47</f>
        <v>+ 12.85</v>
      </c>
      <c r="F48" s="632"/>
      <c r="G48" s="631" t="str">
        <f>H47</f>
        <v>+ 12.65</v>
      </c>
      <c r="H48" s="632"/>
    </row>
    <row r="49" spans="1:9" s="392" customFormat="1" ht="15" thickBot="1">
      <c r="B49" s="647" t="s">
        <v>452</v>
      </c>
      <c r="C49" s="648">
        <f>C$46+C$48+C$44+C$45</f>
        <v>170.58019772912292</v>
      </c>
      <c r="D49" s="649">
        <f>D38+D47</f>
        <v>0.78000000000000114</v>
      </c>
      <c r="E49" s="648">
        <f>E$46+E$48+E$44+E$45</f>
        <v>173.5253964966272</v>
      </c>
      <c r="F49" s="649">
        <f>F38+F47</f>
        <v>0.77999999999999936</v>
      </c>
      <c r="G49" s="650">
        <f>G$46+G$48+G$44+G$45</f>
        <v>170.73656870943415</v>
      </c>
      <c r="H49" s="651">
        <f>H38+H47</f>
        <v>0.78000000000000114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sheetPr codeName="Sheet289">
    <tabColor rgb="FF00CC00"/>
  </sheetPr>
  <dimension ref="B2:K31"/>
  <sheetViews>
    <sheetView topLeftCell="A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585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1.0696192850242574</v>
      </c>
      <c r="E23" s="283">
        <f t="shared" ref="E23:F23" si="0">$G$23*$G$8</f>
        <v>1.0696192850242574</v>
      </c>
      <c r="F23" s="283">
        <f t="shared" si="0"/>
        <v>1.0696192850242574</v>
      </c>
      <c r="G23" s="284">
        <f>'Delivery &gt;40km-Sept 2013'!E24*I23/1000</f>
        <v>0.92208559053815309</v>
      </c>
      <c r="H23" s="262" t="s">
        <v>129</v>
      </c>
      <c r="I23" s="259">
        <v>77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158.16500513492909</v>
      </c>
      <c r="E25" s="285">
        <f>E19+E21+E23</f>
        <v>160.88858279933206</v>
      </c>
      <c r="F25" s="285">
        <f>F19+F21+F23</f>
        <v>158.32634931324964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sheetPr codeName="Sheet290">
    <tabColor rgb="FF0000FF"/>
  </sheetPr>
  <dimension ref="A2:M68"/>
  <sheetViews>
    <sheetView topLeftCell="A25" workbookViewId="0">
      <selection activeCell="D45" sqref="D45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Kaplamai!G23</f>
        <v>0.92208559053815309</v>
      </c>
      <c r="D40" s="943"/>
      <c r="E40" s="880">
        <f>C40</f>
        <v>0.92208559053815309</v>
      </c>
      <c r="F40" s="943"/>
      <c r="G40" s="613">
        <f>C40</f>
        <v>0.92208559053815309</v>
      </c>
      <c r="H40" s="943"/>
    </row>
    <row r="41" spans="1:8" s="392" customFormat="1">
      <c r="A41" s="605"/>
      <c r="B41" s="617" t="s">
        <v>446</v>
      </c>
      <c r="C41" s="618">
        <f>SUM(C40)</f>
        <v>0.92208559053815309</v>
      </c>
      <c r="D41" s="618"/>
      <c r="E41" s="626">
        <f>SUM(E40)</f>
        <v>0.92208559053815309</v>
      </c>
      <c r="F41" s="944"/>
      <c r="G41" s="618">
        <f>SUM(G40)</f>
        <v>0.92208559053815309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169.16551543953173</v>
      </c>
      <c r="D43" s="610"/>
      <c r="E43" s="613">
        <f>E$37+E$42+E$41</f>
        <v>172.11071420703601</v>
      </c>
      <c r="F43" s="610"/>
      <c r="G43" s="236">
        <f>G$37+G$42+G$41</f>
        <v>169.32188641984297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157.30551543953175</v>
      </c>
      <c r="D46" s="610"/>
      <c r="E46" s="641">
        <f>E$43-E44-E45+F$38</f>
        <v>160.04071420703602</v>
      </c>
      <c r="F46" s="610"/>
      <c r="G46" s="642">
        <f>G$43-G44-G45+H$38</f>
        <v>157.45188641984296</v>
      </c>
      <c r="H46" s="573"/>
    </row>
    <row r="47" spans="1:8">
      <c r="B47" s="503" t="s">
        <v>445</v>
      </c>
      <c r="C47" s="644"/>
      <c r="D47" s="696" t="str">
        <f>CONCATENATE("+ ",ROUND((C$46*0.08),2))</f>
        <v>+ 12.58</v>
      </c>
      <c r="E47" s="644"/>
      <c r="F47" s="627" t="str">
        <f>CONCATENATE("+ ",ROUND((E$46*0.08),2))</f>
        <v>+ 12.8</v>
      </c>
      <c r="G47" s="645"/>
      <c r="H47" s="627" t="str">
        <f>CONCATENATE("+ ",ROUND((G$46*0.08),2))</f>
        <v>+ 12.6</v>
      </c>
    </row>
    <row r="48" spans="1:8" ht="15" thickBot="1">
      <c r="B48" s="646" t="s">
        <v>449</v>
      </c>
      <c r="C48" s="697" t="str">
        <f>D47</f>
        <v>+ 12.58</v>
      </c>
      <c r="D48" s="632"/>
      <c r="E48" s="631" t="str">
        <f>F47</f>
        <v>+ 12.8</v>
      </c>
      <c r="F48" s="632"/>
      <c r="G48" s="631" t="str">
        <f>H47</f>
        <v>+ 12.6</v>
      </c>
      <c r="H48" s="632"/>
    </row>
    <row r="49" spans="1:9" s="392" customFormat="1" ht="15" thickBot="1">
      <c r="B49" s="647" t="s">
        <v>452</v>
      </c>
      <c r="C49" s="648">
        <f>C$46+C$48+C$44+C$45</f>
        <v>169.88551543953176</v>
      </c>
      <c r="D49" s="649">
        <f>D38+D47</f>
        <v>0.72000000000000064</v>
      </c>
      <c r="E49" s="648">
        <f>E$46+E$48+E$44+E$45</f>
        <v>172.84071420703603</v>
      </c>
      <c r="F49" s="649">
        <f>F38+F47</f>
        <v>0.73000000000000043</v>
      </c>
      <c r="G49" s="650">
        <f>G$46+G$48+G$44+G$45</f>
        <v>170.05188641984296</v>
      </c>
      <c r="H49" s="651">
        <f>H38+H47</f>
        <v>0.73000000000000043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sheetPr codeName="Sheet291">
    <tabColor rgb="FF00CC00"/>
  </sheetPr>
  <dimension ref="B2:K31"/>
  <sheetViews>
    <sheetView topLeftCell="A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586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1.5141363904888836</v>
      </c>
      <c r="E23" s="283">
        <f t="shared" ref="E23:F23" si="0">$G$23*$G$8</f>
        <v>1.5141363904888836</v>
      </c>
      <c r="F23" s="283">
        <f t="shared" si="0"/>
        <v>1.5141363904888836</v>
      </c>
      <c r="G23" s="284">
        <f>'Delivery &gt;40km-Sept 2013'!E24*I23/1000</f>
        <v>1.3052899918007619</v>
      </c>
      <c r="H23" s="262" t="s">
        <v>129</v>
      </c>
      <c r="I23" s="259">
        <v>109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158.60952224039372</v>
      </c>
      <c r="E25" s="285">
        <f>E19+E21+E23</f>
        <v>161.33309990479668</v>
      </c>
      <c r="F25" s="285">
        <f>F19+F21+F23</f>
        <v>158.77086641871426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sheetPr codeName="Sheet292">
    <tabColor rgb="FF0000FF"/>
  </sheetPr>
  <dimension ref="A2:M68"/>
  <sheetViews>
    <sheetView topLeftCell="A37" workbookViewId="0">
      <selection activeCell="F47" sqref="F47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'Eldama Ravine'!G23</f>
        <v>1.3052899918007619</v>
      </c>
      <c r="D40" s="943"/>
      <c r="E40" s="880">
        <f>C40</f>
        <v>1.3052899918007619</v>
      </c>
      <c r="F40" s="943"/>
      <c r="G40" s="613">
        <f>C40</f>
        <v>1.3052899918007619</v>
      </c>
      <c r="H40" s="943"/>
    </row>
    <row r="41" spans="1:8" s="392" customFormat="1">
      <c r="A41" s="605"/>
      <c r="B41" s="617" t="s">
        <v>446</v>
      </c>
      <c r="C41" s="618">
        <f>SUM(C40)</f>
        <v>1.3052899918007619</v>
      </c>
      <c r="D41" s="618"/>
      <c r="E41" s="626">
        <f>SUM(E40)</f>
        <v>1.3052899918007619</v>
      </c>
      <c r="F41" s="944"/>
      <c r="G41" s="618">
        <f>SUM(G40)</f>
        <v>1.3052899918007619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169.54871984079432</v>
      </c>
      <c r="D43" s="610"/>
      <c r="E43" s="613">
        <f>E$37+E$42+E$41</f>
        <v>172.4939186082986</v>
      </c>
      <c r="F43" s="610"/>
      <c r="G43" s="236">
        <f>G$37+G$42+G$41</f>
        <v>169.70509082110556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157.68871984079431</v>
      </c>
      <c r="D46" s="610"/>
      <c r="E46" s="641">
        <f>E$43-E44-E45+F$38</f>
        <v>160.42391860829861</v>
      </c>
      <c r="F46" s="610"/>
      <c r="G46" s="642">
        <f>G$43-G44-G45+H$38</f>
        <v>157.83509082110555</v>
      </c>
      <c r="H46" s="573"/>
    </row>
    <row r="47" spans="1:8">
      <c r="B47" s="503" t="s">
        <v>445</v>
      </c>
      <c r="C47" s="644"/>
      <c r="D47" s="696" t="str">
        <f>CONCATENATE("+ ",ROUND((C$46*0.08),2))</f>
        <v>+ 12.62</v>
      </c>
      <c r="E47" s="644"/>
      <c r="F47" s="627" t="str">
        <f>CONCATENATE("+ ",ROUND((E$46*0.08),2))</f>
        <v>+ 12.83</v>
      </c>
      <c r="G47" s="645"/>
      <c r="H47" s="627" t="str">
        <f>CONCATENATE("+ ",ROUND((G$46*0.08),2))</f>
        <v>+ 12.63</v>
      </c>
    </row>
    <row r="48" spans="1:8" ht="15" thickBot="1">
      <c r="B48" s="646" t="s">
        <v>449</v>
      </c>
      <c r="C48" s="697" t="str">
        <f>D47</f>
        <v>+ 12.62</v>
      </c>
      <c r="D48" s="632"/>
      <c r="E48" s="631" t="str">
        <f>F47</f>
        <v>+ 12.83</v>
      </c>
      <c r="F48" s="632"/>
      <c r="G48" s="631" t="str">
        <f>H47</f>
        <v>+ 12.63</v>
      </c>
      <c r="H48" s="632"/>
    </row>
    <row r="49" spans="1:9" s="392" customFormat="1" ht="15" thickBot="1">
      <c r="B49" s="647" t="s">
        <v>452</v>
      </c>
      <c r="C49" s="648">
        <f>C$46+C$48+C$44+C$45</f>
        <v>170.30871984079431</v>
      </c>
      <c r="D49" s="649">
        <f>D38+D47</f>
        <v>0.75999999999999979</v>
      </c>
      <c r="E49" s="648">
        <f>E$46+E$48+E$44+E$45</f>
        <v>173.25391860829862</v>
      </c>
      <c r="F49" s="649">
        <f>F38+F47</f>
        <v>0.75999999999999979</v>
      </c>
      <c r="G49" s="650">
        <f>G$46+G$48+G$44+G$45</f>
        <v>170.46509082110555</v>
      </c>
      <c r="H49" s="651">
        <f>H38+H47</f>
        <v>0.76000000000000156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sheetPr codeName="Sheet293">
    <tabColor rgb="FF00CC00"/>
  </sheetPr>
  <dimension ref="B2:K31"/>
  <sheetViews>
    <sheetView topLeftCell="A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587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1.666939145492349</v>
      </c>
      <c r="E23" s="283">
        <f t="shared" ref="E23:F23" si="0">$G$23*$G$8</f>
        <v>1.666939145492349</v>
      </c>
      <c r="F23" s="283">
        <f t="shared" si="0"/>
        <v>1.666939145492349</v>
      </c>
      <c r="G23" s="284">
        <f>'Delivery &gt;40km-Sept 2013'!E24*I23/1000</f>
        <v>1.4370165047347838</v>
      </c>
      <c r="H23" s="262" t="s">
        <v>129</v>
      </c>
      <c r="I23" s="259">
        <v>120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158.76232499539717</v>
      </c>
      <c r="E25" s="285">
        <f>E19+E21+E23</f>
        <v>161.48590265980013</v>
      </c>
      <c r="F25" s="285">
        <f>F19+F21+F23</f>
        <v>158.92366917371771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sheetPr codeName="Sheet294">
    <tabColor rgb="FF0000FF"/>
  </sheetPr>
  <dimension ref="A2:M68"/>
  <sheetViews>
    <sheetView topLeftCell="A31" workbookViewId="0">
      <selection activeCell="F30" sqref="F30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Tenges!G23</f>
        <v>1.4370165047347838</v>
      </c>
      <c r="D40" s="943"/>
      <c r="E40" s="880">
        <f>C40</f>
        <v>1.4370165047347838</v>
      </c>
      <c r="F40" s="943"/>
      <c r="G40" s="613">
        <f>C40</f>
        <v>1.4370165047347838</v>
      </c>
      <c r="H40" s="943"/>
    </row>
    <row r="41" spans="1:8" s="392" customFormat="1">
      <c r="A41" s="605"/>
      <c r="B41" s="617" t="s">
        <v>446</v>
      </c>
      <c r="C41" s="618">
        <f>SUM(C40)</f>
        <v>1.4370165047347838</v>
      </c>
      <c r="D41" s="618"/>
      <c r="E41" s="626">
        <f>SUM(E40)</f>
        <v>1.4370165047347838</v>
      </c>
      <c r="F41" s="944"/>
      <c r="G41" s="618">
        <f>SUM(G40)</f>
        <v>1.4370165047347838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169.68044635372834</v>
      </c>
      <c r="D43" s="610"/>
      <c r="E43" s="613">
        <f>E$37+E$42+E$41</f>
        <v>172.62564512123262</v>
      </c>
      <c r="F43" s="610"/>
      <c r="G43" s="236">
        <f>G$37+G$42+G$41</f>
        <v>169.83681733403958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157.82044635372836</v>
      </c>
      <c r="D46" s="610"/>
      <c r="E46" s="641">
        <f>E$43-E44-E45+F$38</f>
        <v>160.55564512123263</v>
      </c>
      <c r="F46" s="610"/>
      <c r="G46" s="642">
        <f>G$43-G44-G45+H$38</f>
        <v>157.96681733403958</v>
      </c>
      <c r="H46" s="573"/>
    </row>
    <row r="47" spans="1:8">
      <c r="B47" s="503" t="s">
        <v>445</v>
      </c>
      <c r="C47" s="644"/>
      <c r="D47" s="696" t="str">
        <f>CONCATENATE("+ ",ROUND((C$46*0.08),2))</f>
        <v>+ 12.63</v>
      </c>
      <c r="E47" s="644"/>
      <c r="F47" s="627" t="str">
        <f>CONCATENATE("+ ",ROUND((E$46*0.08),2))</f>
        <v>+ 12.84</v>
      </c>
      <c r="G47" s="645"/>
      <c r="H47" s="627" t="str">
        <f>CONCATENATE("+ ",ROUND((G$46*0.08),2))</f>
        <v>+ 12.64</v>
      </c>
    </row>
    <row r="48" spans="1:8" ht="15" thickBot="1">
      <c r="B48" s="646" t="s">
        <v>449</v>
      </c>
      <c r="C48" s="697" t="str">
        <f>D47</f>
        <v>+ 12.63</v>
      </c>
      <c r="D48" s="632"/>
      <c r="E48" s="631" t="str">
        <f>F47</f>
        <v>+ 12.84</v>
      </c>
      <c r="F48" s="632"/>
      <c r="G48" s="631" t="str">
        <f>H47</f>
        <v>+ 12.64</v>
      </c>
      <c r="H48" s="632"/>
    </row>
    <row r="49" spans="1:9" s="392" customFormat="1" ht="15" thickBot="1">
      <c r="B49" s="647" t="s">
        <v>452</v>
      </c>
      <c r="C49" s="648">
        <f>C$46+C$48+C$44+C$45</f>
        <v>170.45044635372835</v>
      </c>
      <c r="D49" s="649">
        <f>D38+D47</f>
        <v>0.77000000000000135</v>
      </c>
      <c r="E49" s="648">
        <f>E$46+E$48+E$44+E$45</f>
        <v>173.39564512123263</v>
      </c>
      <c r="F49" s="649">
        <f>F38+F47</f>
        <v>0.76999999999999957</v>
      </c>
      <c r="G49" s="650">
        <f>G$46+G$48+G$44+G$45</f>
        <v>170.60681733403959</v>
      </c>
      <c r="H49" s="651">
        <f>H38+H47</f>
        <v>0.77000000000000135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sheetPr codeName="Sheet295">
    <tabColor rgb="FF00CC00"/>
  </sheetPr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588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1.7919595814042752</v>
      </c>
      <c r="E23" s="283">
        <f t="shared" ref="E23:F23" si="0">$G$23*$G$8</f>
        <v>1.7919595814042752</v>
      </c>
      <c r="F23" s="283">
        <f t="shared" si="0"/>
        <v>1.7919595814042752</v>
      </c>
      <c r="G23" s="284">
        <f>'Delivery &gt;40km-Sept 2013'!E24*I23/1000</f>
        <v>1.5447927425898926</v>
      </c>
      <c r="H23" s="262" t="s">
        <v>129</v>
      </c>
      <c r="I23" s="259">
        <v>129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158.88734543130911</v>
      </c>
      <c r="E25" s="285">
        <f>E19+E21+E23</f>
        <v>161.61092309571208</v>
      </c>
      <c r="F25" s="285">
        <f>F19+F21+F23</f>
        <v>159.04868960962966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sheetPr codeName="Sheet296">
    <tabColor rgb="FF0000FF"/>
  </sheetPr>
  <dimension ref="A2:M68"/>
  <sheetViews>
    <sheetView topLeftCell="A34" workbookViewId="0">
      <selection activeCell="E31" sqref="E3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Barwessa!G23</f>
        <v>1.5447927425898926</v>
      </c>
      <c r="D40" s="943"/>
      <c r="E40" s="880">
        <f>C40</f>
        <v>1.5447927425898926</v>
      </c>
      <c r="F40" s="943"/>
      <c r="G40" s="613">
        <f>C40</f>
        <v>1.5447927425898926</v>
      </c>
      <c r="H40" s="943"/>
    </row>
    <row r="41" spans="1:8" s="392" customFormat="1">
      <c r="A41" s="605"/>
      <c r="B41" s="617" t="s">
        <v>446</v>
      </c>
      <c r="C41" s="618">
        <f>SUM(C40)</f>
        <v>1.5447927425898926</v>
      </c>
      <c r="D41" s="618"/>
      <c r="E41" s="626">
        <f>SUM(E40)</f>
        <v>1.5447927425898926</v>
      </c>
      <c r="F41" s="944"/>
      <c r="G41" s="618">
        <f>SUM(G40)</f>
        <v>1.5447927425898926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169.78822259158346</v>
      </c>
      <c r="D43" s="610"/>
      <c r="E43" s="613">
        <f>E$37+E$42+E$41</f>
        <v>172.73342135908774</v>
      </c>
      <c r="F43" s="610"/>
      <c r="G43" s="236">
        <f>G$37+G$42+G$41</f>
        <v>169.9445935718947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157.92822259158345</v>
      </c>
      <c r="D46" s="610"/>
      <c r="E46" s="641">
        <f>E$43-E44-E45+F$38</f>
        <v>160.66342135908775</v>
      </c>
      <c r="F46" s="610"/>
      <c r="G46" s="642">
        <f>G$43-G44-G45+H$38</f>
        <v>158.0745935718947</v>
      </c>
      <c r="H46" s="573"/>
    </row>
    <row r="47" spans="1:8">
      <c r="B47" s="503" t="s">
        <v>445</v>
      </c>
      <c r="C47" s="644"/>
      <c r="D47" s="696" t="str">
        <f>CONCATENATE("+ ",ROUND((C$46*0.08),2))</f>
        <v>+ 12.63</v>
      </c>
      <c r="E47" s="644"/>
      <c r="F47" s="627" t="str">
        <f>CONCATENATE("+ ",ROUND((E$46*0.08),2))</f>
        <v>+ 12.85</v>
      </c>
      <c r="G47" s="645"/>
      <c r="H47" s="627" t="str">
        <f>CONCATENATE("+ ",ROUND((G$46*0.08),2))</f>
        <v>+ 12.65</v>
      </c>
    </row>
    <row r="48" spans="1:8" ht="15" thickBot="1">
      <c r="B48" s="646" t="s">
        <v>449</v>
      </c>
      <c r="C48" s="697" t="str">
        <f>D47</f>
        <v>+ 12.63</v>
      </c>
      <c r="D48" s="632"/>
      <c r="E48" s="631" t="str">
        <f>F47</f>
        <v>+ 12.85</v>
      </c>
      <c r="F48" s="632"/>
      <c r="G48" s="631" t="str">
        <f>H47</f>
        <v>+ 12.65</v>
      </c>
      <c r="H48" s="632"/>
    </row>
    <row r="49" spans="1:9" s="392" customFormat="1" ht="15" thickBot="1">
      <c r="B49" s="647" t="s">
        <v>452</v>
      </c>
      <c r="C49" s="648">
        <f>C$46+C$48+C$44+C$45</f>
        <v>170.55822259158344</v>
      </c>
      <c r="D49" s="649">
        <f>D38+D47</f>
        <v>0.77000000000000135</v>
      </c>
      <c r="E49" s="648">
        <f>E$46+E$48+E$44+E$45</f>
        <v>173.51342135908774</v>
      </c>
      <c r="F49" s="649">
        <f>F38+F47</f>
        <v>0.77999999999999936</v>
      </c>
      <c r="G49" s="650">
        <f>G$46+G$48+G$44+G$45</f>
        <v>170.7245935718947</v>
      </c>
      <c r="H49" s="651">
        <f>H38+H47</f>
        <v>0.78000000000000114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sheetPr codeName="Sheet297">
    <tabColor rgb="FF00CC00"/>
  </sheetPr>
  <dimension ref="B2:K31"/>
  <sheetViews>
    <sheetView topLeftCell="A6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589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2.764340749608146</v>
      </c>
      <c r="E23" s="283">
        <f t="shared" ref="E23:F23" si="0">$G$23*$G$8</f>
        <v>2.764340749608146</v>
      </c>
      <c r="F23" s="283">
        <f t="shared" si="0"/>
        <v>2.764340749608146</v>
      </c>
      <c r="G23" s="284">
        <f>'Delivery &gt;40km-Sept 2013'!E24*I23/1000</f>
        <v>2.3830523703518502</v>
      </c>
      <c r="H23" s="262" t="s">
        <v>129</v>
      </c>
      <c r="I23" s="259">
        <v>199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159.85972659951298</v>
      </c>
      <c r="E25" s="285">
        <f>E19+E21+E23</f>
        <v>162.58330426391595</v>
      </c>
      <c r="F25" s="285">
        <f>F19+F21+F23</f>
        <v>160.02107077783353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sheetPr codeName="Sheet298">
    <tabColor rgb="FF0000FF"/>
  </sheetPr>
  <dimension ref="A2:M68"/>
  <sheetViews>
    <sheetView topLeftCell="A22" workbookViewId="0">
      <selection activeCell="D60" sqref="D60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Kipsaraman!G23</f>
        <v>2.3830523703518502</v>
      </c>
      <c r="D40" s="943"/>
      <c r="E40" s="880">
        <f>C40</f>
        <v>2.3830523703518502</v>
      </c>
      <c r="F40" s="943"/>
      <c r="G40" s="613">
        <f>C40</f>
        <v>2.3830523703518502</v>
      </c>
      <c r="H40" s="943"/>
    </row>
    <row r="41" spans="1:8" s="392" customFormat="1">
      <c r="A41" s="605"/>
      <c r="B41" s="617" t="s">
        <v>446</v>
      </c>
      <c r="C41" s="618">
        <f>SUM(C40)</f>
        <v>2.3830523703518502</v>
      </c>
      <c r="D41" s="618"/>
      <c r="E41" s="626">
        <f>SUM(E40)</f>
        <v>2.3830523703518502</v>
      </c>
      <c r="F41" s="944"/>
      <c r="G41" s="618">
        <f>SUM(G40)</f>
        <v>2.3830523703518502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170.62648221934543</v>
      </c>
      <c r="D43" s="610"/>
      <c r="E43" s="613">
        <f>E$37+E$42+E$41</f>
        <v>173.57168098684971</v>
      </c>
      <c r="F43" s="610"/>
      <c r="G43" s="236">
        <f>G$37+G$42+G$41</f>
        <v>170.78285319965667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158.76648221934545</v>
      </c>
      <c r="D46" s="610"/>
      <c r="E46" s="641">
        <f>E$43-E44-E45+F$38</f>
        <v>161.50168098684972</v>
      </c>
      <c r="F46" s="610"/>
      <c r="G46" s="642">
        <f>G$43-G44-G45+H$38</f>
        <v>158.91285319965667</v>
      </c>
      <c r="H46" s="573"/>
    </row>
    <row r="47" spans="1:8">
      <c r="B47" s="503" t="s">
        <v>445</v>
      </c>
      <c r="C47" s="644"/>
      <c r="D47" s="696" t="str">
        <f>CONCATENATE("+ ",ROUND((C$46*0.08),2))</f>
        <v>+ 12.7</v>
      </c>
      <c r="E47" s="644"/>
      <c r="F47" s="627" t="str">
        <f>CONCATENATE("+ ",ROUND((E$46*0.08),2))</f>
        <v>+ 12.92</v>
      </c>
      <c r="G47" s="645"/>
      <c r="H47" s="627" t="str">
        <f>CONCATENATE("+ ",ROUND((G$46*0.08),2))</f>
        <v>+ 12.71</v>
      </c>
    </row>
    <row r="48" spans="1:8" ht="15" thickBot="1">
      <c r="B48" s="646" t="s">
        <v>449</v>
      </c>
      <c r="C48" s="697" t="str">
        <f>D47</f>
        <v>+ 12.7</v>
      </c>
      <c r="D48" s="632"/>
      <c r="E48" s="631" t="str">
        <f>F47</f>
        <v>+ 12.92</v>
      </c>
      <c r="F48" s="632"/>
      <c r="G48" s="631" t="str">
        <f>H47</f>
        <v>+ 12.71</v>
      </c>
      <c r="H48" s="632"/>
    </row>
    <row r="49" spans="1:9" s="392" customFormat="1" ht="15" thickBot="1">
      <c r="B49" s="647" t="s">
        <v>452</v>
      </c>
      <c r="C49" s="648">
        <f>C$46+C$48+C$44+C$45</f>
        <v>171.46648221934544</v>
      </c>
      <c r="D49" s="649">
        <f>D38+D47</f>
        <v>0.83999999999999986</v>
      </c>
      <c r="E49" s="648">
        <f>E$46+E$48+E$44+E$45</f>
        <v>174.42168098684971</v>
      </c>
      <c r="F49" s="649">
        <f>F38+F47</f>
        <v>0.84999999999999964</v>
      </c>
      <c r="G49" s="650">
        <f>G$46+G$48+G$44+G$45</f>
        <v>171.62285319965667</v>
      </c>
      <c r="H49" s="651">
        <f>H38+H47</f>
        <v>0.84000000000000163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sheetPr codeName="Sheet299">
    <tabColor rgb="FF00CC00"/>
  </sheetPr>
  <dimension ref="B2:K31"/>
  <sheetViews>
    <sheetView topLeftCell="A6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590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2.6254291541504502</v>
      </c>
      <c r="E23" s="283">
        <f t="shared" ref="E23:F23" si="0">$G$23*$G$8</f>
        <v>2.6254291541504502</v>
      </c>
      <c r="F23" s="283">
        <f t="shared" si="0"/>
        <v>2.6254291541504502</v>
      </c>
      <c r="G23" s="284">
        <f>'Delivery &gt;40km-Sept 2013'!E24*I23/1000</f>
        <v>2.2633009949572847</v>
      </c>
      <c r="H23" s="262" t="s">
        <v>129</v>
      </c>
      <c r="I23" s="259">
        <v>189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159.72081500405528</v>
      </c>
      <c r="E25" s="285">
        <f>E19+E21+E23</f>
        <v>162.44439266845825</v>
      </c>
      <c r="F25" s="285">
        <f>F19+F21+F23</f>
        <v>159.88215918237583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sheetPr codeName="Sheet300">
    <tabColor rgb="FF0000FF"/>
  </sheetPr>
  <dimension ref="A2:M68"/>
  <sheetViews>
    <sheetView topLeftCell="A25" workbookViewId="0">
      <selection activeCell="D45" sqref="D45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Loruk!G23</f>
        <v>2.2633009949572847</v>
      </c>
      <c r="D40" s="943"/>
      <c r="E40" s="880">
        <f>C40</f>
        <v>2.2633009949572847</v>
      </c>
      <c r="F40" s="943"/>
      <c r="G40" s="613">
        <f>C40</f>
        <v>2.2633009949572847</v>
      </c>
      <c r="H40" s="943"/>
    </row>
    <row r="41" spans="1:8" s="392" customFormat="1">
      <c r="A41" s="605"/>
      <c r="B41" s="617" t="s">
        <v>446</v>
      </c>
      <c r="C41" s="618">
        <f>SUM(C40)</f>
        <v>2.2633009949572847</v>
      </c>
      <c r="D41" s="618"/>
      <c r="E41" s="626">
        <f>SUM(E40)</f>
        <v>2.2633009949572847</v>
      </c>
      <c r="F41" s="944"/>
      <c r="G41" s="618">
        <f>SUM(G40)</f>
        <v>2.2633009949572847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170.50673084395086</v>
      </c>
      <c r="D43" s="610"/>
      <c r="E43" s="613">
        <f>E$37+E$42+E$41</f>
        <v>173.45192961145514</v>
      </c>
      <c r="F43" s="610"/>
      <c r="G43" s="236">
        <f>G$37+G$42+G$41</f>
        <v>170.6631018242621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158.64673084395088</v>
      </c>
      <c r="D46" s="610"/>
      <c r="E46" s="641">
        <f>E$43-E44-E45+F$38</f>
        <v>161.38192961145515</v>
      </c>
      <c r="F46" s="610"/>
      <c r="G46" s="642">
        <f>G$43-G44-G45+H$38</f>
        <v>158.7931018242621</v>
      </c>
      <c r="H46" s="573"/>
    </row>
    <row r="47" spans="1:8">
      <c r="B47" s="503" t="s">
        <v>445</v>
      </c>
      <c r="C47" s="644"/>
      <c r="D47" s="696" t="str">
        <f>CONCATENATE("+ ",ROUND((C$46*0.08),2))</f>
        <v>+ 12.69</v>
      </c>
      <c r="E47" s="644"/>
      <c r="F47" s="627" t="str">
        <f>CONCATENATE("+ ",ROUND((E$46*0.08),2))</f>
        <v>+ 12.91</v>
      </c>
      <c r="G47" s="645"/>
      <c r="H47" s="627" t="str">
        <f>CONCATENATE("+ ",ROUND((G$46*0.08),2))</f>
        <v>+ 12.7</v>
      </c>
    </row>
    <row r="48" spans="1:8" ht="15" thickBot="1">
      <c r="B48" s="646" t="s">
        <v>449</v>
      </c>
      <c r="C48" s="697" t="str">
        <f>D47</f>
        <v>+ 12.69</v>
      </c>
      <c r="D48" s="632"/>
      <c r="E48" s="631" t="str">
        <f>F47</f>
        <v>+ 12.91</v>
      </c>
      <c r="F48" s="632"/>
      <c r="G48" s="631" t="str">
        <f>H47</f>
        <v>+ 12.7</v>
      </c>
      <c r="H48" s="632"/>
    </row>
    <row r="49" spans="1:9" s="392" customFormat="1" ht="15" thickBot="1">
      <c r="B49" s="647" t="s">
        <v>452</v>
      </c>
      <c r="C49" s="648">
        <f>C$46+C$48+C$44+C$45</f>
        <v>171.33673084395087</v>
      </c>
      <c r="D49" s="649">
        <f>D38+D47</f>
        <v>0.83000000000000007</v>
      </c>
      <c r="E49" s="648">
        <f>E$46+E$48+E$44+E$45</f>
        <v>174.29192961145515</v>
      </c>
      <c r="F49" s="649">
        <f>F38+F47</f>
        <v>0.83999999999999986</v>
      </c>
      <c r="G49" s="650">
        <f>G$46+G$48+G$44+G$45</f>
        <v>171.49310182426208</v>
      </c>
      <c r="H49" s="651">
        <f>H38+H47</f>
        <v>0.83000000000000007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sheetPr codeName="Sheet301">
    <tabColor rgb="FF00CC00"/>
  </sheetPr>
  <dimension ref="B2:K31"/>
  <sheetViews>
    <sheetView topLeftCell="A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591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1.5141363904888836</v>
      </c>
      <c r="E23" s="283">
        <f t="shared" ref="E23:F23" si="0">$G$23*$G$8</f>
        <v>1.5141363904888836</v>
      </c>
      <c r="F23" s="283">
        <f t="shared" si="0"/>
        <v>1.5141363904888836</v>
      </c>
      <c r="G23" s="284">
        <f>'Delivery &gt;40km-Sept 2013'!E24*I23/1000</f>
        <v>1.3052899918007619</v>
      </c>
      <c r="H23" s="262" t="s">
        <v>129</v>
      </c>
      <c r="I23" s="259">
        <v>109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158.60952224039372</v>
      </c>
      <c r="E25" s="285">
        <f>E19+E21+E23</f>
        <v>161.33309990479668</v>
      </c>
      <c r="F25" s="285">
        <f>F19+F21+F23</f>
        <v>158.77086641871426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sheetPr codeName="Sheet302">
    <tabColor rgb="FF0000FF"/>
  </sheetPr>
  <dimension ref="A2:M68"/>
  <sheetViews>
    <sheetView topLeftCell="A25" workbookViewId="0">
      <selection activeCell="D47" sqref="D47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Kabartonjo!G23</f>
        <v>1.3052899918007619</v>
      </c>
      <c r="D40" s="943"/>
      <c r="E40" s="880">
        <f>C40</f>
        <v>1.3052899918007619</v>
      </c>
      <c r="F40" s="943"/>
      <c r="G40" s="613">
        <f>C40</f>
        <v>1.3052899918007619</v>
      </c>
      <c r="H40" s="943"/>
    </row>
    <row r="41" spans="1:8" s="392" customFormat="1">
      <c r="A41" s="605"/>
      <c r="B41" s="617" t="s">
        <v>446</v>
      </c>
      <c r="C41" s="618">
        <f>SUM(C40)</f>
        <v>1.3052899918007619</v>
      </c>
      <c r="D41" s="618"/>
      <c r="E41" s="626">
        <f>SUM(E40)</f>
        <v>1.3052899918007619</v>
      </c>
      <c r="F41" s="944"/>
      <c r="G41" s="618">
        <f>SUM(G40)</f>
        <v>1.3052899918007619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169.54871984079432</v>
      </c>
      <c r="D43" s="610"/>
      <c r="E43" s="613">
        <f>E$37+E$42+E$41</f>
        <v>172.4939186082986</v>
      </c>
      <c r="F43" s="610"/>
      <c r="G43" s="236">
        <f>G$37+G$42+G$41</f>
        <v>169.70509082110556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157.68871984079431</v>
      </c>
      <c r="D46" s="610"/>
      <c r="E46" s="641">
        <f>E$43-E44-E45+F$38</f>
        <v>160.42391860829861</v>
      </c>
      <c r="F46" s="610"/>
      <c r="G46" s="642">
        <f>G$43-G44-G45+H$38</f>
        <v>157.83509082110555</v>
      </c>
      <c r="H46" s="573"/>
    </row>
    <row r="47" spans="1:8">
      <c r="B47" s="503" t="s">
        <v>445</v>
      </c>
      <c r="C47" s="644"/>
      <c r="D47" s="696" t="str">
        <f>CONCATENATE("+ ",ROUND((C$46*0.08),2))</f>
        <v>+ 12.62</v>
      </c>
      <c r="E47" s="644"/>
      <c r="F47" s="627" t="str">
        <f>CONCATENATE("+ ",ROUND((E$46*0.08),2))</f>
        <v>+ 12.83</v>
      </c>
      <c r="G47" s="645"/>
      <c r="H47" s="627" t="str">
        <f>CONCATENATE("+ ",ROUND((G$46*0.08),2))</f>
        <v>+ 12.63</v>
      </c>
    </row>
    <row r="48" spans="1:8" ht="15" thickBot="1">
      <c r="B48" s="646" t="s">
        <v>449</v>
      </c>
      <c r="C48" s="697" t="str">
        <f>D47</f>
        <v>+ 12.62</v>
      </c>
      <c r="D48" s="632"/>
      <c r="E48" s="631" t="str">
        <f>F47</f>
        <v>+ 12.83</v>
      </c>
      <c r="F48" s="632"/>
      <c r="G48" s="631" t="str">
        <f>H47</f>
        <v>+ 12.63</v>
      </c>
      <c r="H48" s="632"/>
    </row>
    <row r="49" spans="1:9" s="392" customFormat="1" ht="15" thickBot="1">
      <c r="B49" s="647" t="s">
        <v>452</v>
      </c>
      <c r="C49" s="648">
        <f>C$46+C$48+C$44+C$45</f>
        <v>170.30871984079431</v>
      </c>
      <c r="D49" s="649">
        <f>D38+D47</f>
        <v>0.75999999999999979</v>
      </c>
      <c r="E49" s="648">
        <f>E$46+E$48+E$44+E$45</f>
        <v>173.25391860829862</v>
      </c>
      <c r="F49" s="649">
        <f>F38+F47</f>
        <v>0.75999999999999979</v>
      </c>
      <c r="G49" s="650">
        <f>G$46+G$48+G$44+G$45</f>
        <v>170.46509082110555</v>
      </c>
      <c r="H49" s="651">
        <f>H38+H47</f>
        <v>0.76000000000000156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sheetPr codeName="Sheet303">
    <tabColor rgb="FF00CC00"/>
  </sheetPr>
  <dimension ref="B2:K31"/>
  <sheetViews>
    <sheetView topLeftCell="A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592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1.5835921882177317</v>
      </c>
      <c r="E23" s="283">
        <f t="shared" ref="E23:F23" si="0">$G$23*$G$8</f>
        <v>1.5835921882177317</v>
      </c>
      <c r="F23" s="283">
        <f t="shared" si="0"/>
        <v>1.5835921882177317</v>
      </c>
      <c r="G23" s="284">
        <f>'Delivery &gt;40km-Sept 2013'!E24*I23/1000</f>
        <v>1.3651656794980447</v>
      </c>
      <c r="H23" s="262" t="s">
        <v>129</v>
      </c>
      <c r="I23" s="259">
        <v>114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158.67897803812255</v>
      </c>
      <c r="E25" s="285">
        <f>E19+E21+E23</f>
        <v>161.40255570252552</v>
      </c>
      <c r="F25" s="285">
        <f>F19+F21+F23</f>
        <v>158.8403222164431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sheetPr codeName="Sheet304">
    <tabColor rgb="FF0000FF"/>
  </sheetPr>
  <dimension ref="A2:M68"/>
  <sheetViews>
    <sheetView topLeftCell="A22" workbookViewId="0">
      <selection activeCell="E50" sqref="E50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Tindiret!G23</f>
        <v>1.3651656794980447</v>
      </c>
      <c r="D40" s="943"/>
      <c r="E40" s="880">
        <f>C40</f>
        <v>1.3651656794980447</v>
      </c>
      <c r="F40" s="943"/>
      <c r="G40" s="613">
        <f>C40</f>
        <v>1.3651656794980447</v>
      </c>
      <c r="H40" s="943"/>
    </row>
    <row r="41" spans="1:8" s="392" customFormat="1">
      <c r="A41" s="605"/>
      <c r="B41" s="617" t="s">
        <v>446</v>
      </c>
      <c r="C41" s="618">
        <f>SUM(C40)</f>
        <v>1.3651656794980447</v>
      </c>
      <c r="D41" s="618"/>
      <c r="E41" s="626">
        <f>SUM(E40)</f>
        <v>1.3651656794980447</v>
      </c>
      <c r="F41" s="944"/>
      <c r="G41" s="618">
        <f>SUM(G40)</f>
        <v>1.3651656794980447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169.60859552849161</v>
      </c>
      <c r="D43" s="610"/>
      <c r="E43" s="613">
        <f>E$37+E$42+E$41</f>
        <v>172.55379429599589</v>
      </c>
      <c r="F43" s="610"/>
      <c r="G43" s="236">
        <f>G$37+G$42+G$41</f>
        <v>169.76496650880284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157.74859552849159</v>
      </c>
      <c r="D46" s="610"/>
      <c r="E46" s="641">
        <f>E$43-E44-E45+F$38</f>
        <v>160.48379429599589</v>
      </c>
      <c r="F46" s="610"/>
      <c r="G46" s="642">
        <f>G$43-G44-G45+H$38</f>
        <v>157.89496650880284</v>
      </c>
      <c r="H46" s="573"/>
    </row>
    <row r="47" spans="1:8">
      <c r="B47" s="503" t="s">
        <v>445</v>
      </c>
      <c r="C47" s="644"/>
      <c r="D47" s="696" t="str">
        <f>CONCATENATE("+ ",ROUND((C$46*0.08),2))</f>
        <v>+ 12.62</v>
      </c>
      <c r="E47" s="644"/>
      <c r="F47" s="627" t="str">
        <f>CONCATENATE("+ ",ROUND((E$46*0.08),2))</f>
        <v>+ 12.84</v>
      </c>
      <c r="G47" s="645"/>
      <c r="H47" s="627" t="str">
        <f>CONCATENATE("+ ",ROUND((G$46*0.08),2))</f>
        <v>+ 12.63</v>
      </c>
    </row>
    <row r="48" spans="1:8" ht="15" thickBot="1">
      <c r="B48" s="646" t="s">
        <v>449</v>
      </c>
      <c r="C48" s="697" t="str">
        <f>D47</f>
        <v>+ 12.62</v>
      </c>
      <c r="D48" s="632"/>
      <c r="E48" s="631" t="str">
        <f>F47</f>
        <v>+ 12.84</v>
      </c>
      <c r="F48" s="632"/>
      <c r="G48" s="631" t="str">
        <f>H47</f>
        <v>+ 12.63</v>
      </c>
      <c r="H48" s="632"/>
    </row>
    <row r="49" spans="1:9" s="392" customFormat="1" ht="15" thickBot="1">
      <c r="B49" s="647" t="s">
        <v>452</v>
      </c>
      <c r="C49" s="648">
        <f>C$46+C$48+C$44+C$45</f>
        <v>170.3685955284916</v>
      </c>
      <c r="D49" s="649">
        <f>D38+D47</f>
        <v>0.75999999999999979</v>
      </c>
      <c r="E49" s="648">
        <f>E$46+E$48+E$44+E$45</f>
        <v>173.3237942959959</v>
      </c>
      <c r="F49" s="649">
        <f>F38+F47</f>
        <v>0.76999999999999957</v>
      </c>
      <c r="G49" s="650">
        <f>G$46+G$48+G$44+G$45</f>
        <v>170.52496650880283</v>
      </c>
      <c r="H49" s="651">
        <f>H38+H47</f>
        <v>0.76000000000000156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sheetPr codeName="Sheet305">
    <tabColor rgb="FF00CC00"/>
  </sheetPr>
  <dimension ref="B2:K31"/>
  <sheetViews>
    <sheetView topLeftCell="A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593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0.6945579772884789</v>
      </c>
      <c r="E23" s="283">
        <f t="shared" ref="E23:F23" si="0">$G$23*$G$8</f>
        <v>0.6945579772884789</v>
      </c>
      <c r="F23" s="283">
        <f t="shared" si="0"/>
        <v>0.6945579772884789</v>
      </c>
      <c r="G23" s="284">
        <f>'Delivery &gt;40km-Sept 2013'!E24*I23/1000</f>
        <v>0.59875687697282665</v>
      </c>
      <c r="H23" s="262" t="s">
        <v>129</v>
      </c>
      <c r="I23" s="259">
        <v>50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157.7899438271933</v>
      </c>
      <c r="E25" s="285">
        <f>E19+E21+E23</f>
        <v>160.51352149159626</v>
      </c>
      <c r="F25" s="285">
        <f>F19+F21+F23</f>
        <v>157.95128800551385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sheetPr codeName="Sheet306">
    <tabColor rgb="FF0000FF"/>
  </sheetPr>
  <dimension ref="A2:M68"/>
  <sheetViews>
    <sheetView topLeftCell="A22" workbookViewId="0">
      <selection activeCell="D49" sqref="D49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Olessos!G23</f>
        <v>0.59875687697282665</v>
      </c>
      <c r="D40" s="943"/>
      <c r="E40" s="880">
        <f>C40</f>
        <v>0.59875687697282665</v>
      </c>
      <c r="F40" s="943"/>
      <c r="G40" s="613">
        <f>C40</f>
        <v>0.59875687697282665</v>
      </c>
      <c r="H40" s="943"/>
    </row>
    <row r="41" spans="1:8" s="392" customFormat="1">
      <c r="A41" s="605"/>
      <c r="B41" s="617" t="s">
        <v>446</v>
      </c>
      <c r="C41" s="618">
        <f>SUM(C40)</f>
        <v>0.59875687697282665</v>
      </c>
      <c r="D41" s="618"/>
      <c r="E41" s="626">
        <f>SUM(E40)</f>
        <v>0.59875687697282665</v>
      </c>
      <c r="F41" s="944"/>
      <c r="G41" s="618">
        <f>SUM(G40)</f>
        <v>0.59875687697282665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168.8421867259664</v>
      </c>
      <c r="D43" s="610"/>
      <c r="E43" s="613">
        <f>E$37+E$42+E$41</f>
        <v>171.78738549347068</v>
      </c>
      <c r="F43" s="610"/>
      <c r="G43" s="236">
        <f>G$37+G$42+G$41</f>
        <v>168.99855770627764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156.98218672596641</v>
      </c>
      <c r="D46" s="610"/>
      <c r="E46" s="641">
        <f>E$43-E44-E45+F$38</f>
        <v>159.71738549347069</v>
      </c>
      <c r="F46" s="610"/>
      <c r="G46" s="642">
        <f>G$43-G44-G45+H$38</f>
        <v>157.12855770627763</v>
      </c>
      <c r="H46" s="573"/>
    </row>
    <row r="47" spans="1:8">
      <c r="B47" s="503" t="s">
        <v>445</v>
      </c>
      <c r="C47" s="644"/>
      <c r="D47" s="696" t="str">
        <f>CONCATENATE("+ ",ROUND((C$46*0.08),2))</f>
        <v>+ 12.56</v>
      </c>
      <c r="E47" s="644"/>
      <c r="F47" s="627" t="str">
        <f>CONCATENATE("+ ",ROUND((E$46*0.08),2))</f>
        <v>+ 12.78</v>
      </c>
      <c r="G47" s="645"/>
      <c r="H47" s="627" t="str">
        <f>CONCATENATE("+ ",ROUND((G$46*0.08),2))</f>
        <v>+ 12.57</v>
      </c>
    </row>
    <row r="48" spans="1:8" ht="15" thickBot="1">
      <c r="B48" s="646" t="s">
        <v>449</v>
      </c>
      <c r="C48" s="697" t="str">
        <f>D47</f>
        <v>+ 12.56</v>
      </c>
      <c r="D48" s="632"/>
      <c r="E48" s="631" t="str">
        <f>F47</f>
        <v>+ 12.78</v>
      </c>
      <c r="F48" s="632"/>
      <c r="G48" s="631" t="str">
        <f>H47</f>
        <v>+ 12.57</v>
      </c>
      <c r="H48" s="632"/>
    </row>
    <row r="49" spans="1:9" s="392" customFormat="1" ht="15" thickBot="1">
      <c r="B49" s="647" t="s">
        <v>452</v>
      </c>
      <c r="C49" s="648">
        <f>C$46+C$48+C$44+C$45</f>
        <v>169.54218672596642</v>
      </c>
      <c r="D49" s="649">
        <f>D38+D47</f>
        <v>0.70000000000000107</v>
      </c>
      <c r="E49" s="648">
        <f>E$46+E$48+E$44+E$45</f>
        <v>172.49738549347069</v>
      </c>
      <c r="F49" s="649">
        <f>F38+F47</f>
        <v>0.70999999999999908</v>
      </c>
      <c r="G49" s="650">
        <f>G$46+G$48+G$44+G$45</f>
        <v>169.69855770627763</v>
      </c>
      <c r="H49" s="651">
        <f>H38+H47</f>
        <v>0.70000000000000107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sheetPr codeName="Sheet307">
    <tabColor rgb="FF00CC00"/>
  </sheetPr>
  <dimension ref="B2:K31"/>
  <sheetViews>
    <sheetView topLeftCell="A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594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1.1251839232073357</v>
      </c>
      <c r="E23" s="283">
        <f t="shared" ref="E23:F23" si="0">$G$23*$G$8</f>
        <v>1.1251839232073357</v>
      </c>
      <c r="F23" s="283">
        <f t="shared" si="0"/>
        <v>1.1251839232073357</v>
      </c>
      <c r="G23" s="284">
        <f>'Delivery &gt;40km-Sept 2013'!E24*I23/1000</f>
        <v>0.96998614069597922</v>
      </c>
      <c r="H23" s="262" t="s">
        <v>129</v>
      </c>
      <c r="I23" s="259">
        <v>81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158.22056977311217</v>
      </c>
      <c r="E25" s="285">
        <f>E19+E21+E23</f>
        <v>160.94414743751514</v>
      </c>
      <c r="F25" s="285">
        <f>F19+F21+F23</f>
        <v>158.38191395143272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sheetPr codeName="Sheet308">
    <tabColor rgb="FF0000FF"/>
  </sheetPr>
  <dimension ref="A2:M68"/>
  <sheetViews>
    <sheetView topLeftCell="A25" workbookViewId="0">
      <selection activeCell="D58" sqref="D58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Kobujoi!G23</f>
        <v>0.96998614069597922</v>
      </c>
      <c r="D40" s="943"/>
      <c r="E40" s="880">
        <f>C40</f>
        <v>0.96998614069597922</v>
      </c>
      <c r="F40" s="943"/>
      <c r="G40" s="613">
        <f>C40</f>
        <v>0.96998614069597922</v>
      </c>
      <c r="H40" s="943"/>
    </row>
    <row r="41" spans="1:8" s="392" customFormat="1">
      <c r="A41" s="605"/>
      <c r="B41" s="617" t="s">
        <v>446</v>
      </c>
      <c r="C41" s="618">
        <f>SUM(C40)</f>
        <v>0.96998614069597922</v>
      </c>
      <c r="D41" s="618"/>
      <c r="E41" s="626">
        <f>SUM(E40)</f>
        <v>0.96998614069597922</v>
      </c>
      <c r="F41" s="944"/>
      <c r="G41" s="618">
        <f>SUM(G40)</f>
        <v>0.96998614069597922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169.21341598968954</v>
      </c>
      <c r="D43" s="610"/>
      <c r="E43" s="613">
        <f>E$37+E$42+E$41</f>
        <v>172.15861475719382</v>
      </c>
      <c r="F43" s="610"/>
      <c r="G43" s="236">
        <f>G$37+G$42+G$41</f>
        <v>169.36978697000077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157.35341598968955</v>
      </c>
      <c r="D46" s="610"/>
      <c r="E46" s="641">
        <f>E$43-E44-E45+F$38</f>
        <v>160.08861475719382</v>
      </c>
      <c r="F46" s="610"/>
      <c r="G46" s="642">
        <f>G$43-G44-G45+H$38</f>
        <v>157.49978697000077</v>
      </c>
      <c r="H46" s="573"/>
    </row>
    <row r="47" spans="1:8">
      <c r="B47" s="503" t="s">
        <v>445</v>
      </c>
      <c r="C47" s="644"/>
      <c r="D47" s="696" t="str">
        <f>CONCATENATE("+ ",ROUND((C$46*0.08),2))</f>
        <v>+ 12.59</v>
      </c>
      <c r="E47" s="644"/>
      <c r="F47" s="627" t="str">
        <f>CONCATENATE("+ ",ROUND((E$46*0.08),2))</f>
        <v>+ 12.81</v>
      </c>
      <c r="G47" s="645"/>
      <c r="H47" s="627" t="str">
        <f>CONCATENATE("+ ",ROUND((G$46*0.08),2))</f>
        <v>+ 12.6</v>
      </c>
    </row>
    <row r="48" spans="1:8" ht="15" thickBot="1">
      <c r="B48" s="646" t="s">
        <v>449</v>
      </c>
      <c r="C48" s="697" t="str">
        <f>D47</f>
        <v>+ 12.59</v>
      </c>
      <c r="D48" s="632"/>
      <c r="E48" s="631" t="str">
        <f>F47</f>
        <v>+ 12.81</v>
      </c>
      <c r="F48" s="632"/>
      <c r="G48" s="631" t="str">
        <f>H47</f>
        <v>+ 12.6</v>
      </c>
      <c r="H48" s="632"/>
    </row>
    <row r="49" spans="1:9" s="392" customFormat="1" ht="15" thickBot="1">
      <c r="B49" s="647" t="s">
        <v>452</v>
      </c>
      <c r="C49" s="648">
        <f>C$46+C$48+C$44+C$45</f>
        <v>169.94341598968956</v>
      </c>
      <c r="D49" s="649">
        <f>D38+D47</f>
        <v>0.73000000000000043</v>
      </c>
      <c r="E49" s="648">
        <f>E$46+E$48+E$44+E$45</f>
        <v>172.89861475719383</v>
      </c>
      <c r="F49" s="649">
        <f>F38+F47</f>
        <v>0.74000000000000021</v>
      </c>
      <c r="G49" s="650">
        <f>G$46+G$48+G$44+G$45</f>
        <v>170.09978697000076</v>
      </c>
      <c r="H49" s="651">
        <f>H38+H47</f>
        <v>0.73000000000000043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sheetPr codeName="Sheet309">
    <tabColor rgb="FF00CC00"/>
  </sheetPr>
  <dimension ref="B2:K31"/>
  <sheetViews>
    <sheetView topLeftCell="A5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595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1.2085308804819532</v>
      </c>
      <c r="E23" s="283">
        <f t="shared" ref="E23:F23" si="0">$G$23*$G$8</f>
        <v>1.2085308804819532</v>
      </c>
      <c r="F23" s="283">
        <f t="shared" si="0"/>
        <v>1.2085308804819532</v>
      </c>
      <c r="G23" s="284">
        <f>'Delivery &gt;40km-Sept 2013'!E24*I23/1000</f>
        <v>1.0418369659327185</v>
      </c>
      <c r="H23" s="262" t="s">
        <v>129</v>
      </c>
      <c r="I23" s="259">
        <v>87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158.30391673038679</v>
      </c>
      <c r="E25" s="285">
        <f>E19+E21+E23</f>
        <v>161.02749439478976</v>
      </c>
      <c r="F25" s="285">
        <f>F19+F21+F23</f>
        <v>158.46526090870734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sheetPr codeName="Sheet310">
    <tabColor rgb="FF0000FF"/>
  </sheetPr>
  <dimension ref="A2:M68"/>
  <sheetViews>
    <sheetView topLeftCell="A22" workbookViewId="0">
      <selection activeCell="E46" sqref="E46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Serem!G23</f>
        <v>1.0418369659327185</v>
      </c>
      <c r="D40" s="943"/>
      <c r="E40" s="880">
        <f>C40</f>
        <v>1.0418369659327185</v>
      </c>
      <c r="F40" s="943"/>
      <c r="G40" s="613">
        <f>C40</f>
        <v>1.0418369659327185</v>
      </c>
      <c r="H40" s="943"/>
    </row>
    <row r="41" spans="1:8" s="392" customFormat="1">
      <c r="A41" s="605"/>
      <c r="B41" s="617" t="s">
        <v>446</v>
      </c>
      <c r="C41" s="618">
        <f>SUM(C40)</f>
        <v>1.0418369659327185</v>
      </c>
      <c r="D41" s="618"/>
      <c r="E41" s="626">
        <f>SUM(E40)</f>
        <v>1.0418369659327185</v>
      </c>
      <c r="F41" s="944"/>
      <c r="G41" s="618">
        <f>SUM(G40)</f>
        <v>1.0418369659327185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169.2852668149263</v>
      </c>
      <c r="D43" s="610"/>
      <c r="E43" s="613">
        <f>E$37+E$42+E$41</f>
        <v>172.23046558243058</v>
      </c>
      <c r="F43" s="610"/>
      <c r="G43" s="236">
        <f>G$37+G$42+G$41</f>
        <v>169.44163779523754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157.42526681492632</v>
      </c>
      <c r="D46" s="610"/>
      <c r="E46" s="641">
        <f>E$43-E44-E45+F$38</f>
        <v>160.16046558243059</v>
      </c>
      <c r="F46" s="610"/>
      <c r="G46" s="642">
        <f>G$43-G44-G45+H$38</f>
        <v>157.57163779523754</v>
      </c>
      <c r="H46" s="573"/>
    </row>
    <row r="47" spans="1:8">
      <c r="B47" s="503" t="s">
        <v>445</v>
      </c>
      <c r="C47" s="644"/>
      <c r="D47" s="696" t="str">
        <f>CONCATENATE("+ ",ROUND((C$46*0.08),2))</f>
        <v>+ 12.59</v>
      </c>
      <c r="E47" s="644"/>
      <c r="F47" s="627" t="str">
        <f>CONCATENATE("+ ",ROUND((E$46*0.08),2))</f>
        <v>+ 12.81</v>
      </c>
      <c r="G47" s="645"/>
      <c r="H47" s="627" t="str">
        <f>CONCATENATE("+ ",ROUND((G$46*0.08),2))</f>
        <v>+ 12.61</v>
      </c>
    </row>
    <row r="48" spans="1:8" ht="15" thickBot="1">
      <c r="B48" s="646" t="s">
        <v>449</v>
      </c>
      <c r="C48" s="697" t="str">
        <f>D47</f>
        <v>+ 12.59</v>
      </c>
      <c r="D48" s="632"/>
      <c r="E48" s="631" t="str">
        <f>F47</f>
        <v>+ 12.81</v>
      </c>
      <c r="F48" s="632"/>
      <c r="G48" s="631" t="str">
        <f>H47</f>
        <v>+ 12.61</v>
      </c>
      <c r="H48" s="632"/>
    </row>
    <row r="49" spans="1:9" s="392" customFormat="1" ht="15" thickBot="1">
      <c r="B49" s="647" t="s">
        <v>452</v>
      </c>
      <c r="C49" s="648">
        <f>C$46+C$48+C$44+C$45</f>
        <v>170.01526681492632</v>
      </c>
      <c r="D49" s="649">
        <f>D38+D47</f>
        <v>0.73000000000000043</v>
      </c>
      <c r="E49" s="648">
        <f>E$46+E$48+E$44+E$45</f>
        <v>172.97046558243059</v>
      </c>
      <c r="F49" s="649">
        <f>F38+F47</f>
        <v>0.74000000000000021</v>
      </c>
      <c r="G49" s="650">
        <f>G$46+G$48+G$44+G$45</f>
        <v>170.18163779523752</v>
      </c>
      <c r="H49" s="651">
        <f>H38+H47</f>
        <v>0.74000000000000021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sheetPr codeName="Sheet311">
    <tabColor rgb="FF00CC00"/>
  </sheetPr>
  <dimension ref="B2:K31"/>
  <sheetViews>
    <sheetView topLeftCell="A6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596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0.62510217955963099</v>
      </c>
      <c r="E23" s="283">
        <f t="shared" ref="E23:F23" si="0">$G$23*$G$8</f>
        <v>0.62510217955963099</v>
      </c>
      <c r="F23" s="283">
        <f t="shared" si="0"/>
        <v>0.62510217955963099</v>
      </c>
      <c r="G23" s="284">
        <f>'Delivery &gt;40km-Sept 2013'!E24*I23/1000</f>
        <v>0.53888118927554396</v>
      </c>
      <c r="H23" s="262" t="s">
        <v>129</v>
      </c>
      <c r="I23" s="259">
        <v>45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157.72048802946446</v>
      </c>
      <c r="E25" s="285">
        <f>E19+E21+E23</f>
        <v>160.44406569386743</v>
      </c>
      <c r="F25" s="285">
        <f>F19+F21+F23</f>
        <v>157.88183220778501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1-000000000000}">
  <sheetPr codeName="Sheet312">
    <tabColor rgb="FF0000FF"/>
  </sheetPr>
  <dimension ref="A2:M68"/>
  <sheetViews>
    <sheetView topLeftCell="A22" workbookViewId="0">
      <selection activeCell="C46" sqref="C46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Kabiyet!G23</f>
        <v>0.53888118927554396</v>
      </c>
      <c r="D40" s="943"/>
      <c r="E40" s="880">
        <f>C40</f>
        <v>0.53888118927554396</v>
      </c>
      <c r="F40" s="943"/>
      <c r="G40" s="613">
        <f>C40</f>
        <v>0.53888118927554396</v>
      </c>
      <c r="H40" s="943"/>
    </row>
    <row r="41" spans="1:8" s="392" customFormat="1">
      <c r="A41" s="605"/>
      <c r="B41" s="617" t="s">
        <v>446</v>
      </c>
      <c r="C41" s="618">
        <f>SUM(C40)</f>
        <v>0.53888118927554396</v>
      </c>
      <c r="D41" s="618"/>
      <c r="E41" s="626">
        <f>SUM(E40)</f>
        <v>0.53888118927554396</v>
      </c>
      <c r="F41" s="944"/>
      <c r="G41" s="618">
        <f>SUM(G40)</f>
        <v>0.53888118927554396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168.78231103826911</v>
      </c>
      <c r="D43" s="610"/>
      <c r="E43" s="613">
        <f>E$37+E$42+E$41</f>
        <v>171.72750980577339</v>
      </c>
      <c r="F43" s="610"/>
      <c r="G43" s="236">
        <f>G$37+G$42+G$41</f>
        <v>168.93868201858035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156.92231103826913</v>
      </c>
      <c r="D46" s="610"/>
      <c r="E46" s="641">
        <f>E$43-E44-E45+F$38</f>
        <v>159.6575098057734</v>
      </c>
      <c r="F46" s="610"/>
      <c r="G46" s="642">
        <f>G$43-G44-G45+H$38</f>
        <v>157.06868201858035</v>
      </c>
      <c r="H46" s="573"/>
    </row>
    <row r="47" spans="1:8">
      <c r="B47" s="503" t="s">
        <v>445</v>
      </c>
      <c r="C47" s="644"/>
      <c r="D47" s="696" t="str">
        <f>CONCATENATE("+ ",ROUND((C$46*0.08),2))</f>
        <v>+ 12.55</v>
      </c>
      <c r="E47" s="644"/>
      <c r="F47" s="627" t="str">
        <f>CONCATENATE("+ ",ROUND((E$46*0.08),2))</f>
        <v>+ 12.77</v>
      </c>
      <c r="G47" s="645"/>
      <c r="H47" s="627" t="str">
        <f>CONCATENATE("+ ",ROUND((G$46*0.08),2))</f>
        <v>+ 12.57</v>
      </c>
    </row>
    <row r="48" spans="1:8" ht="15" thickBot="1">
      <c r="B48" s="646" t="s">
        <v>449</v>
      </c>
      <c r="C48" s="697" t="str">
        <f>D47</f>
        <v>+ 12.55</v>
      </c>
      <c r="D48" s="632"/>
      <c r="E48" s="631" t="str">
        <f>F47</f>
        <v>+ 12.77</v>
      </c>
      <c r="F48" s="632"/>
      <c r="G48" s="631" t="str">
        <f>H47</f>
        <v>+ 12.57</v>
      </c>
      <c r="H48" s="632"/>
    </row>
    <row r="49" spans="1:9" s="392" customFormat="1" ht="15" thickBot="1">
      <c r="B49" s="647" t="s">
        <v>452</v>
      </c>
      <c r="C49" s="648">
        <f>C$46+C$48+C$44+C$45</f>
        <v>169.47231103826914</v>
      </c>
      <c r="D49" s="649">
        <f>D38+D47</f>
        <v>0.69000000000000128</v>
      </c>
      <c r="E49" s="648">
        <f>E$46+E$48+E$44+E$45</f>
        <v>172.42750980577341</v>
      </c>
      <c r="F49" s="649">
        <f>F38+F47</f>
        <v>0.69999999999999929</v>
      </c>
      <c r="G49" s="650">
        <f>G$46+G$48+G$44+G$45</f>
        <v>169.63868201858034</v>
      </c>
      <c r="H49" s="651">
        <f>H38+H47</f>
        <v>0.70000000000000107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1-000000000000}">
  <sheetPr codeName="Sheet313">
    <tabColor rgb="FF00CC00"/>
  </sheetPr>
  <dimension ref="B2:K31"/>
  <sheetViews>
    <sheetView topLeftCell="A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597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1.0835104445700272</v>
      </c>
      <c r="E23" s="283">
        <f t="shared" ref="E23:F23" si="0">$G$23*$G$8</f>
        <v>1.0835104445700272</v>
      </c>
      <c r="F23" s="283">
        <f t="shared" si="0"/>
        <v>1.0835104445700272</v>
      </c>
      <c r="G23" s="284">
        <f>'Delivery &gt;40km-Sept 2013'!E24*I23/1000</f>
        <v>0.93406072807760965</v>
      </c>
      <c r="H23" s="262" t="s">
        <v>129</v>
      </c>
      <c r="I23" s="259">
        <v>78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158.17889629447487</v>
      </c>
      <c r="E25" s="285">
        <f>E19+E21+E23</f>
        <v>160.90247395887783</v>
      </c>
      <c r="F25" s="285">
        <f>F19+F21+F23</f>
        <v>158.34024047279541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1-000000000000}">
  <sheetPr codeName="Sheet314">
    <tabColor rgb="FF0000FF"/>
  </sheetPr>
  <dimension ref="A2:M68"/>
  <sheetViews>
    <sheetView topLeftCell="A19" workbookViewId="0">
      <selection activeCell="D58" sqref="D58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Cheptulu!G23</f>
        <v>0.93406072807760965</v>
      </c>
      <c r="D40" s="943"/>
      <c r="E40" s="880">
        <f>C40</f>
        <v>0.93406072807760965</v>
      </c>
      <c r="F40" s="943"/>
      <c r="G40" s="613">
        <f>C40</f>
        <v>0.93406072807760965</v>
      </c>
      <c r="H40" s="943"/>
    </row>
    <row r="41" spans="1:8" s="392" customFormat="1">
      <c r="A41" s="605"/>
      <c r="B41" s="617" t="s">
        <v>446</v>
      </c>
      <c r="C41" s="618">
        <f>SUM(C40)</f>
        <v>0.93406072807760965</v>
      </c>
      <c r="D41" s="618"/>
      <c r="E41" s="626">
        <f>SUM(E40)</f>
        <v>0.93406072807760965</v>
      </c>
      <c r="F41" s="944"/>
      <c r="G41" s="618">
        <f>SUM(G40)</f>
        <v>0.93406072807760965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169.17749057707118</v>
      </c>
      <c r="D43" s="610"/>
      <c r="E43" s="613">
        <f>E$37+E$42+E$41</f>
        <v>172.12268934457546</v>
      </c>
      <c r="F43" s="610"/>
      <c r="G43" s="236">
        <f>G$37+G$42+G$41</f>
        <v>169.33386155738242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157.31749057707117</v>
      </c>
      <c r="D46" s="610"/>
      <c r="E46" s="641">
        <f>E$43-E44-E45+F$38</f>
        <v>160.05268934457547</v>
      </c>
      <c r="F46" s="610"/>
      <c r="G46" s="642">
        <f>G$43-G44-G45+H$38</f>
        <v>157.46386155738242</v>
      </c>
      <c r="H46" s="573"/>
    </row>
    <row r="47" spans="1:8">
      <c r="B47" s="503" t="s">
        <v>445</v>
      </c>
      <c r="C47" s="644"/>
      <c r="D47" s="696" t="str">
        <f>CONCATENATE("+ ",ROUND((C$46*0.08),2))</f>
        <v>+ 12.59</v>
      </c>
      <c r="E47" s="644"/>
      <c r="F47" s="627" t="str">
        <f>CONCATENATE("+ ",ROUND((E$46*0.08),2))</f>
        <v>+ 12.8</v>
      </c>
      <c r="G47" s="645"/>
      <c r="H47" s="627" t="str">
        <f>CONCATENATE("+ ",ROUND((G$46*0.08),2))</f>
        <v>+ 12.6</v>
      </c>
    </row>
    <row r="48" spans="1:8" ht="15" thickBot="1">
      <c r="B48" s="646" t="s">
        <v>449</v>
      </c>
      <c r="C48" s="697" t="str">
        <f>D47</f>
        <v>+ 12.59</v>
      </c>
      <c r="D48" s="632"/>
      <c r="E48" s="631" t="str">
        <f>F47</f>
        <v>+ 12.8</v>
      </c>
      <c r="F48" s="632"/>
      <c r="G48" s="631" t="str">
        <f>H47</f>
        <v>+ 12.6</v>
      </c>
      <c r="H48" s="632"/>
    </row>
    <row r="49" spans="1:9" s="392" customFormat="1" ht="15" thickBot="1">
      <c r="B49" s="647" t="s">
        <v>452</v>
      </c>
      <c r="C49" s="648">
        <f>C$46+C$48+C$44+C$45</f>
        <v>169.90749057707117</v>
      </c>
      <c r="D49" s="649">
        <f>D38+D47</f>
        <v>0.73000000000000043</v>
      </c>
      <c r="E49" s="648">
        <f>E$46+E$48+E$44+E$45</f>
        <v>172.85268934457548</v>
      </c>
      <c r="F49" s="649">
        <f>F38+F47</f>
        <v>0.73000000000000043</v>
      </c>
      <c r="G49" s="650">
        <f>G$46+G$48+G$44+G$45</f>
        <v>170.06386155738241</v>
      </c>
      <c r="H49" s="651">
        <f>H38+H47</f>
        <v>0.73000000000000043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1-000000000000}">
  <sheetPr codeName="Sheet315">
    <tabColor rgb="FF00CC00"/>
  </sheetPr>
  <dimension ref="B2:K31"/>
  <sheetViews>
    <sheetView topLeftCell="A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598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1.666939145492349</v>
      </c>
      <c r="E23" s="283">
        <f t="shared" ref="E23:F23" si="0">$G$23*$G$8</f>
        <v>1.666939145492349</v>
      </c>
      <c r="F23" s="283">
        <f t="shared" si="0"/>
        <v>1.666939145492349</v>
      </c>
      <c r="G23" s="284">
        <f>'Delivery &gt;40km-Sept 2013'!E24*I23/1000</f>
        <v>1.4370165047347838</v>
      </c>
      <c r="H23" s="262" t="s">
        <v>129</v>
      </c>
      <c r="I23" s="259">
        <v>120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158.76232499539717</v>
      </c>
      <c r="E25" s="285">
        <f>E19+E21+E23</f>
        <v>161.48590265980013</v>
      </c>
      <c r="F25" s="285">
        <f>F19+F21+F23</f>
        <v>158.92366917371771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1-000000000000}">
  <sheetPr codeName="Sheet316">
    <tabColor rgb="FF0000FF"/>
  </sheetPr>
  <dimension ref="A2:M68"/>
  <sheetViews>
    <sheetView topLeftCell="A25" workbookViewId="0">
      <selection activeCell="D45" sqref="D45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Songor!G23</f>
        <v>1.4370165047347838</v>
      </c>
      <c r="D40" s="943"/>
      <c r="E40" s="880">
        <f>C40</f>
        <v>1.4370165047347838</v>
      </c>
      <c r="F40" s="943"/>
      <c r="G40" s="613">
        <f>C40</f>
        <v>1.4370165047347838</v>
      </c>
      <c r="H40" s="943"/>
    </row>
    <row r="41" spans="1:8" s="392" customFormat="1">
      <c r="A41" s="605"/>
      <c r="B41" s="617" t="s">
        <v>446</v>
      </c>
      <c r="C41" s="618">
        <f>SUM(C40)</f>
        <v>1.4370165047347838</v>
      </c>
      <c r="D41" s="618"/>
      <c r="E41" s="626">
        <f>SUM(E40)</f>
        <v>1.4370165047347838</v>
      </c>
      <c r="F41" s="944"/>
      <c r="G41" s="618">
        <f>SUM(G40)</f>
        <v>1.4370165047347838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169.68044635372834</v>
      </c>
      <c r="D43" s="610"/>
      <c r="E43" s="613">
        <f>E$37+E$42+E$41</f>
        <v>172.62564512123262</v>
      </c>
      <c r="F43" s="610"/>
      <c r="G43" s="236">
        <f>G$37+G$42+G$41</f>
        <v>169.83681733403958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157.82044635372836</v>
      </c>
      <c r="D46" s="610"/>
      <c r="E46" s="641">
        <f>E$43-E44-E45+F$38</f>
        <v>160.55564512123263</v>
      </c>
      <c r="F46" s="610"/>
      <c r="G46" s="642">
        <f>G$43-G44-G45+H$38</f>
        <v>157.96681733403958</v>
      </c>
      <c r="H46" s="573"/>
    </row>
    <row r="47" spans="1:8">
      <c r="B47" s="503" t="s">
        <v>445</v>
      </c>
      <c r="C47" s="644"/>
      <c r="D47" s="696" t="str">
        <f>CONCATENATE("+ ",ROUND((C$46*0.08),2))</f>
        <v>+ 12.63</v>
      </c>
      <c r="E47" s="644"/>
      <c r="F47" s="627" t="str">
        <f>CONCATENATE("+ ",ROUND((E$46*0.08),2))</f>
        <v>+ 12.84</v>
      </c>
      <c r="G47" s="645"/>
      <c r="H47" s="627" t="str">
        <f>CONCATENATE("+ ",ROUND((G$46*0.08),2))</f>
        <v>+ 12.64</v>
      </c>
    </row>
    <row r="48" spans="1:8" ht="15" thickBot="1">
      <c r="B48" s="646" t="s">
        <v>449</v>
      </c>
      <c r="C48" s="697" t="str">
        <f>D47</f>
        <v>+ 12.63</v>
      </c>
      <c r="D48" s="632"/>
      <c r="E48" s="631" t="str">
        <f>F47</f>
        <v>+ 12.84</v>
      </c>
      <c r="F48" s="632"/>
      <c r="G48" s="631" t="str">
        <f>H47</f>
        <v>+ 12.64</v>
      </c>
      <c r="H48" s="632"/>
    </row>
    <row r="49" spans="1:9" s="392" customFormat="1" ht="15" thickBot="1">
      <c r="B49" s="647" t="s">
        <v>452</v>
      </c>
      <c r="C49" s="648">
        <f>C$46+C$48+C$44+C$45</f>
        <v>170.45044635372835</v>
      </c>
      <c r="D49" s="649">
        <f>D38+D47</f>
        <v>0.77000000000000135</v>
      </c>
      <c r="E49" s="648">
        <f>E$46+E$48+E$44+E$45</f>
        <v>173.39564512123263</v>
      </c>
      <c r="F49" s="649">
        <f>F38+F47</f>
        <v>0.76999999999999957</v>
      </c>
      <c r="G49" s="650">
        <f>G$46+G$48+G$44+G$45</f>
        <v>170.60681733403959</v>
      </c>
      <c r="H49" s="651">
        <f>H38+H47</f>
        <v>0.77000000000000135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1-000000000000}">
  <sheetPr codeName="Sheet317">
    <tabColor rgb="FF00CC00"/>
  </sheetPr>
  <dimension ref="B2:K31"/>
  <sheetViews>
    <sheetView topLeftCell="A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599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1.2779866782108011</v>
      </c>
      <c r="E23" s="283">
        <f t="shared" ref="E23:F23" si="0">$G$23*$G$8</f>
        <v>1.2779866782108011</v>
      </c>
      <c r="F23" s="283">
        <f t="shared" si="0"/>
        <v>1.2779866782108011</v>
      </c>
      <c r="G23" s="284">
        <f>'Delivery &gt;40km-Sept 2013'!E24*I23/1000</f>
        <v>1.101712653630001</v>
      </c>
      <c r="H23" s="262" t="s">
        <v>129</v>
      </c>
      <c r="I23" s="259">
        <v>92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158.37337252811562</v>
      </c>
      <c r="E25" s="285">
        <f>E19+E21+E23</f>
        <v>161.09695019251859</v>
      </c>
      <c r="F25" s="285">
        <f>F19+F21+F23</f>
        <v>158.53471670643617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1-000000000000}">
  <sheetPr codeName="Sheet318">
    <tabColor rgb="FF0000FF"/>
  </sheetPr>
  <dimension ref="A2:M68"/>
  <sheetViews>
    <sheetView topLeftCell="A25" workbookViewId="0">
      <selection activeCell="D44" sqref="D44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Kapcherop!G23</f>
        <v>1.101712653630001</v>
      </c>
      <c r="D40" s="943"/>
      <c r="E40" s="880">
        <f>C40</f>
        <v>1.101712653630001</v>
      </c>
      <c r="F40" s="943"/>
      <c r="G40" s="613">
        <f>C40</f>
        <v>1.101712653630001</v>
      </c>
      <c r="H40" s="943"/>
    </row>
    <row r="41" spans="1:8" s="392" customFormat="1">
      <c r="A41" s="605"/>
      <c r="B41" s="617" t="s">
        <v>446</v>
      </c>
      <c r="C41" s="618">
        <f>SUM(C40)</f>
        <v>1.101712653630001</v>
      </c>
      <c r="D41" s="618"/>
      <c r="E41" s="626">
        <f>SUM(E40)</f>
        <v>1.101712653630001</v>
      </c>
      <c r="F41" s="944"/>
      <c r="G41" s="618">
        <f>SUM(G40)</f>
        <v>1.101712653630001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169.34514250262356</v>
      </c>
      <c r="D43" s="610"/>
      <c r="E43" s="613">
        <f>E$37+E$42+E$41</f>
        <v>172.29034127012784</v>
      </c>
      <c r="F43" s="610"/>
      <c r="G43" s="236">
        <f>G$37+G$42+G$41</f>
        <v>169.5015134829348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157.48514250262355</v>
      </c>
      <c r="D46" s="610"/>
      <c r="E46" s="641">
        <f>E$43-E44-E45+F$38</f>
        <v>160.22034127012785</v>
      </c>
      <c r="F46" s="610"/>
      <c r="G46" s="642">
        <f>G$43-G44-G45+H$38</f>
        <v>157.63151348293479</v>
      </c>
      <c r="H46" s="573"/>
    </row>
    <row r="47" spans="1:8">
      <c r="B47" s="503" t="s">
        <v>445</v>
      </c>
      <c r="C47" s="644"/>
      <c r="D47" s="696" t="str">
        <f>CONCATENATE("+ ",ROUND((C$46*0.08),2))</f>
        <v>+ 12.6</v>
      </c>
      <c r="E47" s="644"/>
      <c r="F47" s="627" t="str">
        <f>CONCATENATE("+ ",ROUND((E$46*0.08),2))</f>
        <v>+ 12.82</v>
      </c>
      <c r="G47" s="645"/>
      <c r="H47" s="627" t="str">
        <f>CONCATENATE("+ ",ROUND((G$46*0.08),2))</f>
        <v>+ 12.61</v>
      </c>
    </row>
    <row r="48" spans="1:8" ht="15" thickBot="1">
      <c r="B48" s="646" t="s">
        <v>449</v>
      </c>
      <c r="C48" s="697" t="str">
        <f>D47</f>
        <v>+ 12.6</v>
      </c>
      <c r="D48" s="632"/>
      <c r="E48" s="631" t="str">
        <f>F47</f>
        <v>+ 12.82</v>
      </c>
      <c r="F48" s="632"/>
      <c r="G48" s="631" t="str">
        <f>H47</f>
        <v>+ 12.61</v>
      </c>
      <c r="H48" s="632"/>
    </row>
    <row r="49" spans="1:9" s="392" customFormat="1" ht="15" thickBot="1">
      <c r="B49" s="647" t="s">
        <v>452</v>
      </c>
      <c r="C49" s="648">
        <f>C$46+C$48+C$44+C$45</f>
        <v>170.08514250262354</v>
      </c>
      <c r="D49" s="649">
        <f>D38+D47</f>
        <v>0.74000000000000021</v>
      </c>
      <c r="E49" s="648">
        <f>E$46+E$48+E$44+E$45</f>
        <v>173.04034127012784</v>
      </c>
      <c r="F49" s="649">
        <f>F38+F47</f>
        <v>0.75</v>
      </c>
      <c r="G49" s="650">
        <f>G$46+G$48+G$44+G$45</f>
        <v>170.24151348293481</v>
      </c>
      <c r="H49" s="651">
        <f>H38+H47</f>
        <v>0.74000000000000021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1-000000000000}">
  <sheetPr codeName="Sheet319">
    <tabColor rgb="FF00CC00"/>
  </sheetPr>
  <dimension ref="B2:K31"/>
  <sheetViews>
    <sheetView topLeftCell="A6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600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2.014218134136589</v>
      </c>
      <c r="E23" s="283">
        <f t="shared" ref="E23:F23" si="0">$G$23*$G$8</f>
        <v>2.014218134136589</v>
      </c>
      <c r="F23" s="283">
        <f t="shared" si="0"/>
        <v>2.014218134136589</v>
      </c>
      <c r="G23" s="284">
        <f>'Delivery &gt;40km-Sept 2013'!E24*I23/1000</f>
        <v>1.7363949432211974</v>
      </c>
      <c r="H23" s="262" t="s">
        <v>129</v>
      </c>
      <c r="I23" s="259">
        <v>145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159.10960398404143</v>
      </c>
      <c r="E25" s="285">
        <f>E19+E21+E23</f>
        <v>161.83318164844439</v>
      </c>
      <c r="F25" s="285">
        <f>F19+F21+F23</f>
        <v>159.27094816236198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1-000000000000}">
  <sheetPr codeName="Sheet320">
    <tabColor rgb="FF0000FF"/>
  </sheetPr>
  <dimension ref="A2:M68"/>
  <sheetViews>
    <sheetView topLeftCell="A22" workbookViewId="0">
      <selection activeCell="D43" sqref="D43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Sambalat!G23</f>
        <v>1.7363949432211974</v>
      </c>
      <c r="D40" s="943"/>
      <c r="E40" s="880">
        <f>C40</f>
        <v>1.7363949432211974</v>
      </c>
      <c r="F40" s="943"/>
      <c r="G40" s="613">
        <f>C40</f>
        <v>1.7363949432211974</v>
      </c>
      <c r="H40" s="943"/>
    </row>
    <row r="41" spans="1:8" s="392" customFormat="1">
      <c r="A41" s="605"/>
      <c r="B41" s="617" t="s">
        <v>446</v>
      </c>
      <c r="C41" s="618">
        <f>SUM(C40)</f>
        <v>1.7363949432211974</v>
      </c>
      <c r="D41" s="618"/>
      <c r="E41" s="626">
        <f>SUM(E40)</f>
        <v>1.7363949432211974</v>
      </c>
      <c r="F41" s="944"/>
      <c r="G41" s="618">
        <f>SUM(G40)</f>
        <v>1.7363949432211974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169.97982479221477</v>
      </c>
      <c r="D43" s="610"/>
      <c r="E43" s="613">
        <f>E$37+E$42+E$41</f>
        <v>172.92502355971905</v>
      </c>
      <c r="F43" s="610"/>
      <c r="G43" s="236">
        <f>G$37+G$42+G$41</f>
        <v>170.13619577252601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158.11982479221479</v>
      </c>
      <c r="D46" s="610"/>
      <c r="E46" s="641">
        <f>E$43-E44-E45+F$38</f>
        <v>160.85502355971906</v>
      </c>
      <c r="F46" s="610"/>
      <c r="G46" s="642">
        <f>G$43-G44-G45+H$38</f>
        <v>158.266195772526</v>
      </c>
      <c r="H46" s="573"/>
    </row>
    <row r="47" spans="1:8">
      <c r="B47" s="503" t="s">
        <v>445</v>
      </c>
      <c r="C47" s="644"/>
      <c r="D47" s="696" t="str">
        <f>CONCATENATE("+ ",ROUND((C$46*0.08),2))</f>
        <v>+ 12.65</v>
      </c>
      <c r="E47" s="644"/>
      <c r="F47" s="627" t="str">
        <f>CONCATENATE("+ ",ROUND((E$46*0.08),2))</f>
        <v>+ 12.87</v>
      </c>
      <c r="G47" s="645"/>
      <c r="H47" s="627" t="str">
        <f>CONCATENATE("+ ",ROUND((G$46*0.08),2))</f>
        <v>+ 12.66</v>
      </c>
    </row>
    <row r="48" spans="1:8" ht="15" thickBot="1">
      <c r="B48" s="646" t="s">
        <v>449</v>
      </c>
      <c r="C48" s="697" t="str">
        <f>D47</f>
        <v>+ 12.65</v>
      </c>
      <c r="D48" s="632"/>
      <c r="E48" s="631" t="str">
        <f>F47</f>
        <v>+ 12.87</v>
      </c>
      <c r="F48" s="632"/>
      <c r="G48" s="631" t="str">
        <f>H47</f>
        <v>+ 12.66</v>
      </c>
      <c r="H48" s="632"/>
    </row>
    <row r="49" spans="1:9" s="392" customFormat="1" ht="15" thickBot="1">
      <c r="B49" s="647" t="s">
        <v>452</v>
      </c>
      <c r="C49" s="648">
        <f>C$46+C$48+C$44+C$45</f>
        <v>170.76982479221479</v>
      </c>
      <c r="D49" s="649">
        <f>D38+D47</f>
        <v>0.79000000000000092</v>
      </c>
      <c r="E49" s="648">
        <f>E$46+E$48+E$44+E$45</f>
        <v>173.72502355971906</v>
      </c>
      <c r="F49" s="649">
        <f>F38+F47</f>
        <v>0.79999999999999893</v>
      </c>
      <c r="G49" s="650">
        <f>G$46+G$48+G$44+G$45</f>
        <v>170.926195772526</v>
      </c>
      <c r="H49" s="651">
        <f>H38+H47</f>
        <v>0.79000000000000092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1-000000000000}">
  <sheetPr codeName="Sheet321">
    <tabColor rgb="FF00CC00"/>
  </sheetPr>
  <dimension ref="B2:K31"/>
  <sheetViews>
    <sheetView topLeftCell="A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601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1.6391568264008101</v>
      </c>
      <c r="E23" s="283">
        <f t="shared" ref="E23:F23" si="0">$G$23*$G$8</f>
        <v>1.6391568264008101</v>
      </c>
      <c r="F23" s="283">
        <f t="shared" si="0"/>
        <v>1.6391568264008101</v>
      </c>
      <c r="G23" s="284">
        <f>'Delivery &gt;40km-Sept 2013'!E24*I23/1000</f>
        <v>1.4130662296558709</v>
      </c>
      <c r="H23" s="262" t="s">
        <v>129</v>
      </c>
      <c r="I23" s="259">
        <v>118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158.73454267630564</v>
      </c>
      <c r="E25" s="285">
        <f>E19+E21+E23</f>
        <v>161.4581203407086</v>
      </c>
      <c r="F25" s="285">
        <f>F19+F21+F23</f>
        <v>158.89588685462618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1-000000000000}">
  <sheetPr codeName="Sheet322">
    <tabColor rgb="FF0000FF"/>
  </sheetPr>
  <dimension ref="A2:M68"/>
  <sheetViews>
    <sheetView topLeftCell="A22" workbookViewId="0">
      <selection activeCell="D43" sqref="D43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Arror!G23</f>
        <v>1.4130662296558709</v>
      </c>
      <c r="D40" s="943"/>
      <c r="E40" s="880">
        <f>C40</f>
        <v>1.4130662296558709</v>
      </c>
      <c r="F40" s="943"/>
      <c r="G40" s="613">
        <f>C40</f>
        <v>1.4130662296558709</v>
      </c>
      <c r="H40" s="943"/>
    </row>
    <row r="41" spans="1:8" s="392" customFormat="1">
      <c r="A41" s="605"/>
      <c r="B41" s="617" t="s">
        <v>446</v>
      </c>
      <c r="C41" s="618">
        <f>SUM(C40)</f>
        <v>1.4130662296558709</v>
      </c>
      <c r="D41" s="618"/>
      <c r="E41" s="626">
        <f>SUM(E40)</f>
        <v>1.4130662296558709</v>
      </c>
      <c r="F41" s="944"/>
      <c r="G41" s="618">
        <f>SUM(G40)</f>
        <v>1.4130662296558709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169.65649607864944</v>
      </c>
      <c r="D43" s="610"/>
      <c r="E43" s="613">
        <f>E$37+E$42+E$41</f>
        <v>172.60169484615372</v>
      </c>
      <c r="F43" s="610"/>
      <c r="G43" s="236">
        <f>G$37+G$42+G$41</f>
        <v>169.81286705896068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157.79649607864945</v>
      </c>
      <c r="D46" s="610"/>
      <c r="E46" s="641">
        <f>E$43-E44-E45+F$38</f>
        <v>160.53169484615373</v>
      </c>
      <c r="F46" s="610"/>
      <c r="G46" s="642">
        <f>G$43-G44-G45+H$38</f>
        <v>157.94286705896067</v>
      </c>
      <c r="H46" s="573"/>
    </row>
    <row r="47" spans="1:8">
      <c r="B47" s="503" t="s">
        <v>445</v>
      </c>
      <c r="C47" s="644"/>
      <c r="D47" s="696" t="str">
        <f>CONCATENATE("+ ",ROUND((C$46*0.08),2))</f>
        <v>+ 12.62</v>
      </c>
      <c r="E47" s="644"/>
      <c r="F47" s="627" t="str">
        <f>CONCATENATE("+ ",ROUND((E$46*0.08),2))</f>
        <v>+ 12.84</v>
      </c>
      <c r="G47" s="645"/>
      <c r="H47" s="627" t="str">
        <f>CONCATENATE("+ ",ROUND((G$46*0.08),2))</f>
        <v>+ 12.64</v>
      </c>
    </row>
    <row r="48" spans="1:8" ht="15" thickBot="1">
      <c r="B48" s="646" t="s">
        <v>449</v>
      </c>
      <c r="C48" s="697" t="str">
        <f>D47</f>
        <v>+ 12.62</v>
      </c>
      <c r="D48" s="632"/>
      <c r="E48" s="631" t="str">
        <f>F47</f>
        <v>+ 12.84</v>
      </c>
      <c r="F48" s="632"/>
      <c r="G48" s="631" t="str">
        <f>H47</f>
        <v>+ 12.64</v>
      </c>
      <c r="H48" s="632"/>
    </row>
    <row r="49" spans="1:9" s="392" customFormat="1" ht="15" thickBot="1">
      <c r="B49" s="647" t="s">
        <v>452</v>
      </c>
      <c r="C49" s="648">
        <f>C$46+C$48+C$44+C$45</f>
        <v>170.41649607864946</v>
      </c>
      <c r="D49" s="649">
        <f>D38+D47</f>
        <v>0.75999999999999979</v>
      </c>
      <c r="E49" s="648">
        <f>E$46+E$48+E$44+E$45</f>
        <v>173.37169484615373</v>
      </c>
      <c r="F49" s="649">
        <f>F38+F47</f>
        <v>0.76999999999999957</v>
      </c>
      <c r="G49" s="650">
        <f>G$46+G$48+G$44+G$45</f>
        <v>170.58286705896069</v>
      </c>
      <c r="H49" s="651">
        <f>H38+H47</f>
        <v>0.77000000000000135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1-000000000000}">
  <sheetPr codeName="Sheet323">
    <tabColor rgb="FF00CC00"/>
  </sheetPr>
  <dimension ref="B2:K31"/>
  <sheetViews>
    <sheetView topLeftCell="A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602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1.8614153791331234</v>
      </c>
      <c r="E23" s="283">
        <f t="shared" ref="E23:F23" si="0">$G$23*$G$8</f>
        <v>1.8614153791331234</v>
      </c>
      <c r="F23" s="283">
        <f t="shared" si="0"/>
        <v>1.8614153791331234</v>
      </c>
      <c r="G23" s="284">
        <f>'Delivery &gt;40km-Sept 2013'!E24*I23/1000</f>
        <v>1.6046684302871754</v>
      </c>
      <c r="H23" s="262" t="s">
        <v>129</v>
      </c>
      <c r="I23" s="259">
        <v>134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158.95680122903795</v>
      </c>
      <c r="E25" s="285">
        <f>E19+E21+E23</f>
        <v>161.68037889344092</v>
      </c>
      <c r="F25" s="285">
        <f>F19+F21+F23</f>
        <v>159.1181454073585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1-000000000000}">
  <sheetPr codeName="Sheet324">
    <tabColor rgb="FF0000FF"/>
  </sheetPr>
  <dimension ref="A2:M68"/>
  <sheetViews>
    <sheetView topLeftCell="A40" workbookViewId="0">
      <selection activeCell="E46" sqref="E46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Tot!G23</f>
        <v>1.6046684302871754</v>
      </c>
      <c r="D40" s="943"/>
      <c r="E40" s="880">
        <f>C40</f>
        <v>1.6046684302871754</v>
      </c>
      <c r="F40" s="943"/>
      <c r="G40" s="613">
        <f>C40</f>
        <v>1.6046684302871754</v>
      </c>
      <c r="H40" s="943"/>
    </row>
    <row r="41" spans="1:8" s="392" customFormat="1">
      <c r="A41" s="605"/>
      <c r="B41" s="617" t="s">
        <v>446</v>
      </c>
      <c r="C41" s="618">
        <f>SUM(C40)</f>
        <v>1.6046684302871754</v>
      </c>
      <c r="D41" s="618"/>
      <c r="E41" s="626">
        <f>SUM(E40)</f>
        <v>1.6046684302871754</v>
      </c>
      <c r="F41" s="944"/>
      <c r="G41" s="618">
        <f>SUM(G40)</f>
        <v>1.6046684302871754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169.84809827928075</v>
      </c>
      <c r="D43" s="610"/>
      <c r="E43" s="613">
        <f>E$37+E$42+E$41</f>
        <v>172.79329704678503</v>
      </c>
      <c r="F43" s="610"/>
      <c r="G43" s="236">
        <f>G$37+G$42+G$41</f>
        <v>170.00446925959199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157.98809827928073</v>
      </c>
      <c r="D46" s="610"/>
      <c r="E46" s="641">
        <f>E$43-E44-E45+F$38</f>
        <v>160.72329704678504</v>
      </c>
      <c r="F46" s="610"/>
      <c r="G46" s="642">
        <f>G$43-G44-G45+H$38</f>
        <v>158.13446925959198</v>
      </c>
      <c r="H46" s="573"/>
    </row>
    <row r="47" spans="1:8">
      <c r="B47" s="503" t="s">
        <v>445</v>
      </c>
      <c r="C47" s="644"/>
      <c r="D47" s="696" t="str">
        <f>CONCATENATE("+ ",ROUND((C$46*0.08),2))</f>
        <v>+ 12.64</v>
      </c>
      <c r="E47" s="644"/>
      <c r="F47" s="627" t="str">
        <f>CONCATENATE("+ ",ROUND((E$46*0.08),2))</f>
        <v>+ 12.86</v>
      </c>
      <c r="G47" s="645"/>
      <c r="H47" s="627" t="str">
        <f>CONCATENATE("+ ",ROUND((G$46*0.08),2))</f>
        <v>+ 12.65</v>
      </c>
    </row>
    <row r="48" spans="1:8" ht="15" thickBot="1">
      <c r="B48" s="646" t="s">
        <v>449</v>
      </c>
      <c r="C48" s="697" t="str">
        <f>D47</f>
        <v>+ 12.64</v>
      </c>
      <c r="D48" s="632"/>
      <c r="E48" s="631" t="str">
        <f>F47</f>
        <v>+ 12.86</v>
      </c>
      <c r="F48" s="632"/>
      <c r="G48" s="631" t="str">
        <f>H47</f>
        <v>+ 12.65</v>
      </c>
      <c r="H48" s="632"/>
    </row>
    <row r="49" spans="1:9" s="392" customFormat="1" ht="15" thickBot="1">
      <c r="B49" s="647" t="s">
        <v>452</v>
      </c>
      <c r="C49" s="648">
        <f>C$46+C$48+C$44+C$45</f>
        <v>170.62809827928072</v>
      </c>
      <c r="D49" s="649">
        <f>D38+D47</f>
        <v>0.78000000000000114</v>
      </c>
      <c r="E49" s="648">
        <f>E$46+E$48+E$44+E$45</f>
        <v>173.58329704678505</v>
      </c>
      <c r="F49" s="649">
        <f>F38+F47</f>
        <v>0.78999999999999915</v>
      </c>
      <c r="G49" s="650">
        <f>G$46+G$48+G$44+G$45</f>
        <v>170.78446925959199</v>
      </c>
      <c r="H49" s="651">
        <f>H38+H47</f>
        <v>0.78000000000000114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1-000000000000}">
  <sheetPr codeName="Sheet325">
    <tabColor rgb="FF00CC00"/>
  </sheetPr>
  <dimension ref="B2:K31"/>
  <sheetViews>
    <sheetView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603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0.8334695727461745</v>
      </c>
      <c r="E23" s="283">
        <f t="shared" ref="E23:F23" si="0">$G$23*$G$8</f>
        <v>0.8334695727461745</v>
      </c>
      <c r="F23" s="283">
        <f t="shared" si="0"/>
        <v>0.8334695727461745</v>
      </c>
      <c r="G23" s="284">
        <f>'Delivery &gt;40km-Sept 2013'!E24*I23/1000</f>
        <v>0.71850825236739191</v>
      </c>
      <c r="H23" s="262" t="s">
        <v>129</v>
      </c>
      <c r="I23" s="259">
        <v>60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157.928855422651</v>
      </c>
      <c r="E25" s="285">
        <f>E19+E21+E23</f>
        <v>160.65243308705396</v>
      </c>
      <c r="F25" s="285">
        <f>F19+F21+F23</f>
        <v>158.09019960097154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1-000000000000}">
  <sheetPr codeName="Sheet326">
    <tabColor rgb="FF0000FF"/>
  </sheetPr>
  <dimension ref="A2:M68"/>
  <sheetViews>
    <sheetView topLeftCell="A31" workbookViewId="0">
      <selection activeCell="A31" sqref="A1:XFD1048576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Kaptarakwa!G23</f>
        <v>0.71850825236739191</v>
      </c>
      <c r="D40" s="943"/>
      <c r="E40" s="880">
        <f>C40</f>
        <v>0.71850825236739191</v>
      </c>
      <c r="F40" s="943"/>
      <c r="G40" s="613">
        <f>C40</f>
        <v>0.71850825236739191</v>
      </c>
      <c r="H40" s="943"/>
    </row>
    <row r="41" spans="1:8" s="392" customFormat="1">
      <c r="A41" s="605"/>
      <c r="B41" s="617" t="s">
        <v>446</v>
      </c>
      <c r="C41" s="618">
        <f>SUM(C40)</f>
        <v>0.71850825236739191</v>
      </c>
      <c r="D41" s="618"/>
      <c r="E41" s="626">
        <f>SUM(E40)</f>
        <v>0.71850825236739191</v>
      </c>
      <c r="F41" s="944"/>
      <c r="G41" s="618">
        <f>SUM(G40)</f>
        <v>0.71850825236739191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168.96193810136097</v>
      </c>
      <c r="D43" s="610"/>
      <c r="E43" s="613">
        <f>E$37+E$42+E$41</f>
        <v>171.90713686886525</v>
      </c>
      <c r="F43" s="610"/>
      <c r="G43" s="236">
        <f>G$37+G$42+G$41</f>
        <v>169.11830908167221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157.10193810136099</v>
      </c>
      <c r="D46" s="610"/>
      <c r="E46" s="641">
        <f>E$43-E44-E45+F$38</f>
        <v>159.83713686886526</v>
      </c>
      <c r="F46" s="610"/>
      <c r="G46" s="642">
        <f>G$43-G44-G45+H$38</f>
        <v>157.2483090816722</v>
      </c>
      <c r="H46" s="573"/>
    </row>
    <row r="47" spans="1:8">
      <c r="B47" s="503" t="s">
        <v>445</v>
      </c>
      <c r="C47" s="644"/>
      <c r="D47" s="696" t="str">
        <f>CONCATENATE("+ ",ROUND((C$46*0.08),2))</f>
        <v>+ 12.57</v>
      </c>
      <c r="E47" s="644"/>
      <c r="F47" s="627" t="str">
        <f>CONCATENATE("+ ",ROUND((E$46*0.08),2))</f>
        <v>+ 12.79</v>
      </c>
      <c r="G47" s="645"/>
      <c r="H47" s="627" t="str">
        <f>CONCATENATE("+ ",ROUND((G$46*0.08),2))</f>
        <v>+ 12.58</v>
      </c>
    </row>
    <row r="48" spans="1:8" ht="15" thickBot="1">
      <c r="B48" s="646" t="s">
        <v>449</v>
      </c>
      <c r="C48" s="697" t="str">
        <f>D47</f>
        <v>+ 12.57</v>
      </c>
      <c r="D48" s="632"/>
      <c r="E48" s="631" t="str">
        <f>F47</f>
        <v>+ 12.79</v>
      </c>
      <c r="F48" s="632"/>
      <c r="G48" s="631" t="str">
        <f>H47</f>
        <v>+ 12.58</v>
      </c>
      <c r="H48" s="632"/>
    </row>
    <row r="49" spans="1:9" s="392" customFormat="1" ht="15" thickBot="1">
      <c r="B49" s="647" t="s">
        <v>452</v>
      </c>
      <c r="C49" s="648">
        <f>C$46+C$48+C$44+C$45</f>
        <v>169.67193810136098</v>
      </c>
      <c r="D49" s="649">
        <f>D38+D47</f>
        <v>0.71000000000000085</v>
      </c>
      <c r="E49" s="648">
        <f>E$46+E$48+E$44+E$45</f>
        <v>172.62713686886525</v>
      </c>
      <c r="F49" s="649">
        <f>F38+F47</f>
        <v>0.71999999999999886</v>
      </c>
      <c r="G49" s="650">
        <f>G$46+G$48+G$44+G$45</f>
        <v>169.82830908167222</v>
      </c>
      <c r="H49" s="651">
        <f>H38+H47</f>
        <v>0.71000000000000085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1-000000000000}">
  <sheetPr codeName="Sheet327">
    <tabColor rgb="FF00CC00"/>
  </sheetPr>
  <dimension ref="B2:K31"/>
  <sheetViews>
    <sheetView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793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4.000653949181638</v>
      </c>
      <c r="E23" s="283">
        <f t="shared" ref="E23:F23" si="0">$G$23*$G$8</f>
        <v>4.000653949181638</v>
      </c>
      <c r="F23" s="283">
        <f t="shared" si="0"/>
        <v>4.000653949181638</v>
      </c>
      <c r="G23" s="284">
        <f>'Delivery &gt;40km-Sept 2013'!E24*I23/1000</f>
        <v>3.4488396113634816</v>
      </c>
      <c r="H23" s="262" t="s">
        <v>129</v>
      </c>
      <c r="I23" s="259">
        <v>288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161.09603979908647</v>
      </c>
      <c r="E25" s="285">
        <f>E19+E21+E23</f>
        <v>163.81961746348944</v>
      </c>
      <c r="F25" s="285">
        <f>F19+F21+F23</f>
        <v>161.25738397740702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1-000000000000}">
  <sheetPr codeName="Sheet328"/>
  <dimension ref="A2:M68"/>
  <sheetViews>
    <sheetView topLeftCell="A12" workbookViewId="0">
      <selection activeCell="G26" sqref="G26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Eldoret!D11/1.16</f>
        <v>0</v>
      </c>
      <c r="D25" s="623"/>
      <c r="E25" s="602">
        <f>Eldoret!E11/1.16</f>
        <v>0</v>
      </c>
      <c r="F25" s="624"/>
      <c r="G25" s="602">
        <f>Eldoret!F11/1.16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Kapese!G23</f>
        <v>3.4488396113634816</v>
      </c>
      <c r="D40" s="943"/>
      <c r="E40" s="880">
        <f>C40</f>
        <v>3.4488396113634816</v>
      </c>
      <c r="F40" s="943"/>
      <c r="G40" s="613">
        <f>C40</f>
        <v>3.4488396113634816</v>
      </c>
      <c r="H40" s="943"/>
    </row>
    <row r="41" spans="1:8" s="392" customFormat="1">
      <c r="A41" s="605"/>
      <c r="B41" s="617" t="s">
        <v>446</v>
      </c>
      <c r="C41" s="618">
        <f>SUM(C40)</f>
        <v>3.4488396113634816</v>
      </c>
      <c r="D41" s="618"/>
      <c r="E41" s="626">
        <f>SUM(E40)</f>
        <v>3.4488396113634816</v>
      </c>
      <c r="F41" s="944"/>
      <c r="G41" s="618">
        <f>SUM(G40)</f>
        <v>3.4488396113634816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171.69226946035704</v>
      </c>
      <c r="D43" s="610"/>
      <c r="E43" s="613">
        <f>E$37+E$42+E$41</f>
        <v>174.63746822786132</v>
      </c>
      <c r="F43" s="610"/>
      <c r="G43" s="236">
        <f>G$37+G$42+G$41</f>
        <v>171.84864044066828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159.83226946035705</v>
      </c>
      <c r="D46" s="610"/>
      <c r="E46" s="641">
        <f>E$43-E44-E45+F$38</f>
        <v>162.56746822786133</v>
      </c>
      <c r="F46" s="610"/>
      <c r="G46" s="642">
        <f>G$43-G44-G45+H$38</f>
        <v>159.97864044066827</v>
      </c>
      <c r="H46" s="573"/>
    </row>
    <row r="47" spans="1:8">
      <c r="B47" s="503" t="s">
        <v>445</v>
      </c>
      <c r="C47" s="644"/>
      <c r="D47" s="696" t="str">
        <f>CONCATENATE("+ ",ROUND((C$46*0.08),2))</f>
        <v>+ 12.79</v>
      </c>
      <c r="E47" s="644"/>
      <c r="F47" s="627" t="str">
        <f>CONCATENATE("+ ",ROUND((E$46*0.08),2))</f>
        <v>+ 13.01</v>
      </c>
      <c r="G47" s="645"/>
      <c r="H47" s="627" t="str">
        <f>CONCATENATE("+ ",ROUND((G$46*0.08),2))</f>
        <v>+ 12.8</v>
      </c>
    </row>
    <row r="48" spans="1:8" ht="15" thickBot="1">
      <c r="B48" s="646" t="s">
        <v>449</v>
      </c>
      <c r="C48" s="697" t="str">
        <f>D47</f>
        <v>+ 12.79</v>
      </c>
      <c r="D48" s="632"/>
      <c r="E48" s="631" t="str">
        <f>F47</f>
        <v>+ 13.01</v>
      </c>
      <c r="F48" s="632"/>
      <c r="G48" s="631" t="str">
        <f>H47</f>
        <v>+ 12.8</v>
      </c>
      <c r="H48" s="632"/>
    </row>
    <row r="49" spans="1:9" s="392" customFormat="1" ht="15" thickBot="1">
      <c r="B49" s="647" t="s">
        <v>452</v>
      </c>
      <c r="C49" s="648">
        <f>C$46+C$48+C$44+C$45</f>
        <v>172.62226946035705</v>
      </c>
      <c r="D49" s="649">
        <f>D38+D47</f>
        <v>0.92999999999999972</v>
      </c>
      <c r="E49" s="648">
        <f>E$46+E$48+E$44+E$45</f>
        <v>175.57746822786132</v>
      </c>
      <c r="F49" s="649">
        <f>F38+F47</f>
        <v>0.9399999999999995</v>
      </c>
      <c r="G49" s="650">
        <f>G$46+G$48+G$44+G$45</f>
        <v>172.77864044066828</v>
      </c>
      <c r="H49" s="651">
        <f>H38+H47</f>
        <v>0.93000000000000149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1-000000000000}">
  <sheetPr codeName="Sheet329"/>
  <dimension ref="B2:K31"/>
  <sheetViews>
    <sheetView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792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3.347769450530468</v>
      </c>
      <c r="E23" s="283">
        <f t="shared" ref="E23:F23" si="0">$G$23*$G$8</f>
        <v>3.347769450530468</v>
      </c>
      <c r="F23" s="283">
        <f t="shared" si="0"/>
        <v>3.347769450530468</v>
      </c>
      <c r="G23" s="284">
        <f>'Delivery &gt;40km-Sept 2013'!E24*I23/1000</f>
        <v>2.8860081470090244</v>
      </c>
      <c r="H23" s="262" t="s">
        <v>129</v>
      </c>
      <c r="I23" s="259">
        <v>241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160.44315530043531</v>
      </c>
      <c r="E25" s="285">
        <f>E19+E21+E23</f>
        <v>163.16673296483827</v>
      </c>
      <c r="F25" s="285">
        <f>F19+F21+F23</f>
        <v>160.60449947875586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1-000000000000}">
  <sheetPr codeName="Sheet330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Kalemngorok!G23</f>
        <v>2.8860081470090244</v>
      </c>
      <c r="D40" s="943"/>
      <c r="E40" s="880">
        <f>C40</f>
        <v>2.8860081470090244</v>
      </c>
      <c r="F40" s="943"/>
      <c r="G40" s="613">
        <f>C40</f>
        <v>2.8860081470090244</v>
      </c>
      <c r="H40" s="943"/>
    </row>
    <row r="41" spans="1:8" s="392" customFormat="1">
      <c r="A41" s="605"/>
      <c r="B41" s="617" t="s">
        <v>446</v>
      </c>
      <c r="C41" s="618">
        <f>SUM(C40)</f>
        <v>2.8860081470090244</v>
      </c>
      <c r="D41" s="618"/>
      <c r="E41" s="626">
        <f>SUM(E40)</f>
        <v>2.8860081470090244</v>
      </c>
      <c r="F41" s="944"/>
      <c r="G41" s="618">
        <f>SUM(G40)</f>
        <v>2.8860081470090244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171.12943799600259</v>
      </c>
      <c r="D43" s="610"/>
      <c r="E43" s="613">
        <f>E$37+E$42+E$41</f>
        <v>174.07463676350687</v>
      </c>
      <c r="F43" s="610"/>
      <c r="G43" s="236">
        <f>G$37+G$42+G$41</f>
        <v>171.28580897631383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159.26943799600258</v>
      </c>
      <c r="D46" s="610"/>
      <c r="E46" s="641">
        <f>E$43-E44-E45+F$38</f>
        <v>162.00463676350688</v>
      </c>
      <c r="F46" s="610"/>
      <c r="G46" s="642">
        <f>G$43-G44-G45+H$38</f>
        <v>159.41580897631383</v>
      </c>
      <c r="H46" s="573"/>
    </row>
    <row r="47" spans="1:8">
      <c r="B47" s="503" t="s">
        <v>445</v>
      </c>
      <c r="C47" s="644"/>
      <c r="D47" s="696" t="str">
        <f>CONCATENATE("+ ",ROUND((C$46*0.08),2))</f>
        <v>+ 12.74</v>
      </c>
      <c r="E47" s="644"/>
      <c r="F47" s="627" t="str">
        <f>CONCATENATE("+ ",ROUND((E$46*0.08),2))</f>
        <v>+ 12.96</v>
      </c>
      <c r="G47" s="645"/>
      <c r="H47" s="627" t="str">
        <f>CONCATENATE("+ ",ROUND((G$46*0.08),2))</f>
        <v>+ 12.75</v>
      </c>
    </row>
    <row r="48" spans="1:8" ht="15" thickBot="1">
      <c r="B48" s="646" t="s">
        <v>449</v>
      </c>
      <c r="C48" s="697" t="str">
        <f>D47</f>
        <v>+ 12.74</v>
      </c>
      <c r="D48" s="632"/>
      <c r="E48" s="631" t="str">
        <f>F47</f>
        <v>+ 12.96</v>
      </c>
      <c r="F48" s="632"/>
      <c r="G48" s="631" t="str">
        <f>H47</f>
        <v>+ 12.75</v>
      </c>
      <c r="H48" s="632"/>
    </row>
    <row r="49" spans="1:9" s="392" customFormat="1" ht="15" thickBot="1">
      <c r="B49" s="647" t="s">
        <v>452</v>
      </c>
      <c r="C49" s="648">
        <f>C$46+C$48+C$44+C$45</f>
        <v>172.00943799600259</v>
      </c>
      <c r="D49" s="649">
        <f>D38+D47</f>
        <v>0.88000000000000078</v>
      </c>
      <c r="E49" s="648">
        <f>E$46+E$48+E$44+E$45</f>
        <v>174.96463676350689</v>
      </c>
      <c r="F49" s="649">
        <f>F38+F47</f>
        <v>0.89000000000000057</v>
      </c>
      <c r="G49" s="650">
        <f>G$46+G$48+G$44+G$45</f>
        <v>172.16580897631383</v>
      </c>
      <c r="H49" s="651">
        <f>H38+H47</f>
        <v>0.88000000000000078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1-000000000000}">
  <sheetPr codeName="Sheet331"/>
  <dimension ref="B2:K31"/>
  <sheetViews>
    <sheetView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791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2.2503678464146715</v>
      </c>
      <c r="E23" s="283">
        <f t="shared" ref="E23:F23" si="0">$G$23*$G$8</f>
        <v>2.2503678464146715</v>
      </c>
      <c r="F23" s="283">
        <f t="shared" si="0"/>
        <v>2.2503678464146715</v>
      </c>
      <c r="G23" s="284">
        <f>'Delivery &gt;40km-Sept 2013'!E24*I23/1000</f>
        <v>1.9399722813919584</v>
      </c>
      <c r="H23" s="262" t="s">
        <v>129</v>
      </c>
      <c r="I23" s="259">
        <v>162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159.34575369631949</v>
      </c>
      <c r="E25" s="285">
        <f>E19+E21+E23</f>
        <v>162.06933136072246</v>
      </c>
      <c r="F25" s="285">
        <f>F19+F21+F23</f>
        <v>159.50709787464004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1-000000000000}">
  <sheetPr codeName="Sheet332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Marich!G23</f>
        <v>1.9399722813919584</v>
      </c>
      <c r="D40" s="943"/>
      <c r="E40" s="880">
        <f>C40</f>
        <v>1.9399722813919584</v>
      </c>
      <c r="F40" s="943"/>
      <c r="G40" s="613">
        <f>C40</f>
        <v>1.9399722813919584</v>
      </c>
      <c r="H40" s="943"/>
    </row>
    <row r="41" spans="1:8" s="392" customFormat="1">
      <c r="A41" s="605"/>
      <c r="B41" s="617" t="s">
        <v>446</v>
      </c>
      <c r="C41" s="618">
        <f>SUM(C40)</f>
        <v>1.9399722813919584</v>
      </c>
      <c r="D41" s="618"/>
      <c r="E41" s="626">
        <f>SUM(E40)</f>
        <v>1.9399722813919584</v>
      </c>
      <c r="F41" s="944"/>
      <c r="G41" s="618">
        <f>SUM(G40)</f>
        <v>1.9399722813919584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170.18340213038553</v>
      </c>
      <c r="D43" s="610"/>
      <c r="E43" s="613">
        <f>E$37+E$42+E$41</f>
        <v>173.12860089788981</v>
      </c>
      <c r="F43" s="610"/>
      <c r="G43" s="236">
        <f>G$37+G$42+G$41</f>
        <v>170.33977311069677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158.32340213038555</v>
      </c>
      <c r="D46" s="610"/>
      <c r="E46" s="641">
        <f>E$43-E44-E45+F$38</f>
        <v>161.05860089788982</v>
      </c>
      <c r="F46" s="610"/>
      <c r="G46" s="642">
        <f>G$43-G44-G45+H$38</f>
        <v>158.46977311069676</v>
      </c>
      <c r="H46" s="573"/>
    </row>
    <row r="47" spans="1:8">
      <c r="B47" s="503" t="s">
        <v>445</v>
      </c>
      <c r="C47" s="644"/>
      <c r="D47" s="696" t="str">
        <f>CONCATENATE("+ ",ROUND((C$46*0.08),2))</f>
        <v>+ 12.67</v>
      </c>
      <c r="E47" s="644"/>
      <c r="F47" s="627" t="str">
        <f>CONCATENATE("+ ",ROUND((E$46*0.08),2))</f>
        <v>+ 12.88</v>
      </c>
      <c r="G47" s="645"/>
      <c r="H47" s="627" t="str">
        <f>CONCATENATE("+ ",ROUND((G$46*0.08),2))</f>
        <v>+ 12.68</v>
      </c>
    </row>
    <row r="48" spans="1:8" ht="15" thickBot="1">
      <c r="B48" s="646" t="s">
        <v>449</v>
      </c>
      <c r="C48" s="697" t="str">
        <f>D47</f>
        <v>+ 12.67</v>
      </c>
      <c r="D48" s="632"/>
      <c r="E48" s="631" t="str">
        <f>F47</f>
        <v>+ 12.88</v>
      </c>
      <c r="F48" s="632"/>
      <c r="G48" s="631" t="str">
        <f>H47</f>
        <v>+ 12.68</v>
      </c>
      <c r="H48" s="632"/>
    </row>
    <row r="49" spans="1:9" s="392" customFormat="1" ht="15" thickBot="1">
      <c r="B49" s="647" t="s">
        <v>452</v>
      </c>
      <c r="C49" s="648">
        <f>C$46+C$48+C$44+C$45</f>
        <v>170.99340213038553</v>
      </c>
      <c r="D49" s="649">
        <f>D38+D47</f>
        <v>0.8100000000000005</v>
      </c>
      <c r="E49" s="648">
        <f>E$46+E$48+E$44+E$45</f>
        <v>173.93860089788981</v>
      </c>
      <c r="F49" s="649">
        <f>F38+F47</f>
        <v>0.8100000000000005</v>
      </c>
      <c r="G49" s="650">
        <f>G$46+G$48+G$44+G$45</f>
        <v>171.14977311069677</v>
      </c>
      <c r="H49" s="651">
        <f>H38+H47</f>
        <v>0.8100000000000005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1-000000000000}">
  <sheetPr codeName="Sheet333"/>
  <dimension ref="B2:K31"/>
  <sheetViews>
    <sheetView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790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2.7782319091539156</v>
      </c>
      <c r="E23" s="283">
        <f t="shared" ref="E23:F23" si="0">$G$23*$G$8</f>
        <v>2.7782319091539156</v>
      </c>
      <c r="F23" s="283">
        <f t="shared" si="0"/>
        <v>2.7782319091539156</v>
      </c>
      <c r="G23" s="284">
        <f>'Delivery &gt;40km-Sept 2013'!E24*I23/1000</f>
        <v>2.3950275078913066</v>
      </c>
      <c r="H23" s="262" t="s">
        <v>129</v>
      </c>
      <c r="I23" s="259">
        <v>200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159.87361775905873</v>
      </c>
      <c r="E25" s="285">
        <f>E19+E21+E23</f>
        <v>162.5971954234617</v>
      </c>
      <c r="F25" s="285">
        <f>F19+F21+F23</f>
        <v>160.03496193737928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1-000000000000}">
  <sheetPr codeName="Sheet334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Alale!G23</f>
        <v>2.3950275078913066</v>
      </c>
      <c r="D40" s="943"/>
      <c r="E40" s="880">
        <f>C40</f>
        <v>2.3950275078913066</v>
      </c>
      <c r="F40" s="943"/>
      <c r="G40" s="613">
        <f>C40</f>
        <v>2.3950275078913066</v>
      </c>
      <c r="H40" s="943"/>
    </row>
    <row r="41" spans="1:8" s="392" customFormat="1">
      <c r="A41" s="605"/>
      <c r="B41" s="617" t="s">
        <v>446</v>
      </c>
      <c r="C41" s="618">
        <f>SUM(C40)</f>
        <v>2.3950275078913066</v>
      </c>
      <c r="D41" s="618"/>
      <c r="E41" s="626">
        <f>SUM(E40)</f>
        <v>2.3950275078913066</v>
      </c>
      <c r="F41" s="944"/>
      <c r="G41" s="618">
        <f>SUM(G40)</f>
        <v>2.3950275078913066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170.63845735688489</v>
      </c>
      <c r="D43" s="610"/>
      <c r="E43" s="613">
        <f>E$37+E$42+E$41</f>
        <v>173.58365612438917</v>
      </c>
      <c r="F43" s="610"/>
      <c r="G43" s="236">
        <f>G$37+G$42+G$41</f>
        <v>170.79482833719612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158.77845735688487</v>
      </c>
      <c r="D46" s="610"/>
      <c r="E46" s="641">
        <f>E$43-E44-E45+F$38</f>
        <v>161.51365612438917</v>
      </c>
      <c r="F46" s="610"/>
      <c r="G46" s="642">
        <f>G$43-G44-G45+H$38</f>
        <v>158.92482833719612</v>
      </c>
      <c r="H46" s="573"/>
    </row>
    <row r="47" spans="1:8">
      <c r="B47" s="503" t="s">
        <v>445</v>
      </c>
      <c r="C47" s="644"/>
      <c r="D47" s="696" t="str">
        <f>CONCATENATE("+ ",ROUND((C$46*0.08),2))</f>
        <v>+ 12.7</v>
      </c>
      <c r="E47" s="644"/>
      <c r="F47" s="627" t="str">
        <f>CONCATENATE("+ ",ROUND((E$46*0.08),2))</f>
        <v>+ 12.92</v>
      </c>
      <c r="G47" s="645"/>
      <c r="H47" s="627" t="str">
        <f>CONCATENATE("+ ",ROUND((G$46*0.08),2))</f>
        <v>+ 12.71</v>
      </c>
    </row>
    <row r="48" spans="1:8" ht="15" thickBot="1">
      <c r="B48" s="646" t="s">
        <v>449</v>
      </c>
      <c r="C48" s="697" t="str">
        <f>D47</f>
        <v>+ 12.7</v>
      </c>
      <c r="D48" s="632"/>
      <c r="E48" s="631" t="str">
        <f>F47</f>
        <v>+ 12.92</v>
      </c>
      <c r="F48" s="632"/>
      <c r="G48" s="631" t="str">
        <f>H47</f>
        <v>+ 12.71</v>
      </c>
      <c r="H48" s="632"/>
    </row>
    <row r="49" spans="1:9" s="392" customFormat="1" ht="15" thickBot="1">
      <c r="B49" s="647" t="s">
        <v>452</v>
      </c>
      <c r="C49" s="648">
        <f>C$46+C$48+C$44+C$45</f>
        <v>171.47845735688486</v>
      </c>
      <c r="D49" s="649">
        <f>D38+D47</f>
        <v>0.83999999999999986</v>
      </c>
      <c r="E49" s="648">
        <f>E$46+E$48+E$44+E$45</f>
        <v>174.43365612438916</v>
      </c>
      <c r="F49" s="649">
        <f>F38+F47</f>
        <v>0.84999999999999964</v>
      </c>
      <c r="G49" s="650">
        <f>G$46+G$48+G$44+G$45</f>
        <v>171.63482833719613</v>
      </c>
      <c r="H49" s="651">
        <f>H38+H47</f>
        <v>0.84000000000000163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1-000000000000}">
  <sheetPr codeName="Sheet335"/>
  <dimension ref="B2:K31"/>
  <sheetViews>
    <sheetView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789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2.4170617609639065</v>
      </c>
      <c r="E23" s="283">
        <f t="shared" ref="E23:F23" si="0">$G$23*$G$8</f>
        <v>2.4170617609639065</v>
      </c>
      <c r="F23" s="283">
        <f t="shared" si="0"/>
        <v>2.4170617609639065</v>
      </c>
      <c r="G23" s="284">
        <f>'Delivery &gt;40km-Sept 2013'!E24*I23/1000</f>
        <v>2.0836739318654369</v>
      </c>
      <c r="H23" s="262" t="s">
        <v>129</v>
      </c>
      <c r="I23" s="259">
        <v>174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159.51244761086875</v>
      </c>
      <c r="E25" s="285">
        <f>E19+E21+E23</f>
        <v>162.23602527527171</v>
      </c>
      <c r="F25" s="285">
        <f>F19+F21+F23</f>
        <v>159.67379178918929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1-000000000000}">
  <sheetPr codeName="Sheet336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Kunyao!G23</f>
        <v>2.0836739318654369</v>
      </c>
      <c r="D40" s="943"/>
      <c r="E40" s="880">
        <f>C40</f>
        <v>2.0836739318654369</v>
      </c>
      <c r="F40" s="943"/>
      <c r="G40" s="613">
        <f>C40</f>
        <v>2.0836739318654369</v>
      </c>
      <c r="H40" s="943"/>
    </row>
    <row r="41" spans="1:8" s="392" customFormat="1">
      <c r="A41" s="605"/>
      <c r="B41" s="617" t="s">
        <v>446</v>
      </c>
      <c r="C41" s="618">
        <f>SUM(C40)</f>
        <v>2.0836739318654369</v>
      </c>
      <c r="D41" s="618"/>
      <c r="E41" s="626">
        <f>SUM(E40)</f>
        <v>2.0836739318654369</v>
      </c>
      <c r="F41" s="944"/>
      <c r="G41" s="618">
        <f>SUM(G40)</f>
        <v>2.0836739318654369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170.32710378085901</v>
      </c>
      <c r="D43" s="610"/>
      <c r="E43" s="613">
        <f>E$37+E$42+E$41</f>
        <v>173.27230254836329</v>
      </c>
      <c r="F43" s="610"/>
      <c r="G43" s="236">
        <f>G$37+G$42+G$41</f>
        <v>170.48347476117024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158.46710378085902</v>
      </c>
      <c r="D46" s="610"/>
      <c r="E46" s="641">
        <f>E$43-E44-E45+F$38</f>
        <v>161.20230254836329</v>
      </c>
      <c r="F46" s="610"/>
      <c r="G46" s="642">
        <f>G$43-G44-G45+H$38</f>
        <v>158.61347476117024</v>
      </c>
      <c r="H46" s="573"/>
    </row>
    <row r="47" spans="1:8">
      <c r="B47" s="503" t="s">
        <v>445</v>
      </c>
      <c r="C47" s="644"/>
      <c r="D47" s="696" t="str">
        <f>CONCATENATE("+ ",ROUND((C$46*0.08),2))</f>
        <v>+ 12.68</v>
      </c>
      <c r="E47" s="644"/>
      <c r="F47" s="627" t="str">
        <f>CONCATENATE("+ ",ROUND((E$46*0.08),2))</f>
        <v>+ 12.9</v>
      </c>
      <c r="G47" s="645"/>
      <c r="H47" s="627" t="str">
        <f>CONCATENATE("+ ",ROUND((G$46*0.08),2))</f>
        <v>+ 12.69</v>
      </c>
    </row>
    <row r="48" spans="1:8" ht="15" thickBot="1">
      <c r="B48" s="646" t="s">
        <v>449</v>
      </c>
      <c r="C48" s="697" t="str">
        <f>D47</f>
        <v>+ 12.68</v>
      </c>
      <c r="D48" s="632"/>
      <c r="E48" s="631" t="str">
        <f>F47</f>
        <v>+ 12.9</v>
      </c>
      <c r="F48" s="632"/>
      <c r="G48" s="631" t="str">
        <f>H47</f>
        <v>+ 12.69</v>
      </c>
      <c r="H48" s="632"/>
    </row>
    <row r="49" spans="1:9" s="392" customFormat="1" ht="15" thickBot="1">
      <c r="B49" s="647" t="s">
        <v>452</v>
      </c>
      <c r="C49" s="648">
        <f>C$46+C$48+C$44+C$45</f>
        <v>171.14710378085903</v>
      </c>
      <c r="D49" s="649">
        <f>D38+D47</f>
        <v>0.82000000000000028</v>
      </c>
      <c r="E49" s="648">
        <f>E$46+E$48+E$44+E$45</f>
        <v>174.1023025483633</v>
      </c>
      <c r="F49" s="649">
        <f>F38+F47</f>
        <v>0.83000000000000007</v>
      </c>
      <c r="G49" s="650">
        <f>G$46+G$48+G$44+G$45</f>
        <v>171.30347476117024</v>
      </c>
      <c r="H49" s="651">
        <f>H38+H47</f>
        <v>0.82000000000000028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1-000000000000}">
  <sheetPr codeName="Sheet337"/>
  <dimension ref="B2:K31"/>
  <sheetViews>
    <sheetView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788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1.97254465549928</v>
      </c>
      <c r="E23" s="283">
        <f t="shared" ref="E23:F23" si="0">$G$23*$G$8</f>
        <v>1.97254465549928</v>
      </c>
      <c r="F23" s="283">
        <f t="shared" si="0"/>
        <v>1.97254465549928</v>
      </c>
      <c r="G23" s="284">
        <f>'Delivery &gt;40km-Sept 2013'!E24*I23/1000</f>
        <v>1.7004695306028277</v>
      </c>
      <c r="H23" s="262" t="s">
        <v>129</v>
      </c>
      <c r="I23" s="259">
        <v>142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159.06793050540412</v>
      </c>
      <c r="E25" s="285">
        <f>E19+E21+E23</f>
        <v>161.79150816980709</v>
      </c>
      <c r="F25" s="285">
        <f>F19+F21+F23</f>
        <v>159.22927468372467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1-000000000000}">
  <sheetPr codeName="Sheet338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Asilong!G23</f>
        <v>1.7004695306028277</v>
      </c>
      <c r="D40" s="943"/>
      <c r="E40" s="880">
        <f>C40</f>
        <v>1.7004695306028277</v>
      </c>
      <c r="F40" s="943"/>
      <c r="G40" s="613">
        <f>C40</f>
        <v>1.7004695306028277</v>
      </c>
      <c r="H40" s="943"/>
    </row>
    <row r="41" spans="1:8" s="392" customFormat="1">
      <c r="A41" s="605"/>
      <c r="B41" s="617" t="s">
        <v>446</v>
      </c>
      <c r="C41" s="618">
        <f>SUM(C40)</f>
        <v>1.7004695306028277</v>
      </c>
      <c r="D41" s="618"/>
      <c r="E41" s="626">
        <f>SUM(E40)</f>
        <v>1.7004695306028277</v>
      </c>
      <c r="F41" s="944"/>
      <c r="G41" s="618">
        <f>SUM(G40)</f>
        <v>1.7004695306028277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169.94389937959639</v>
      </c>
      <c r="D43" s="610"/>
      <c r="E43" s="613">
        <f>E$37+E$42+E$41</f>
        <v>172.88909814710067</v>
      </c>
      <c r="F43" s="610"/>
      <c r="G43" s="236">
        <f>G$37+G$42+G$41</f>
        <v>170.10027035990763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158.0838993795964</v>
      </c>
      <c r="D46" s="610"/>
      <c r="E46" s="641">
        <f>E$43-E44-E45+F$38</f>
        <v>160.81909814710068</v>
      </c>
      <c r="F46" s="610"/>
      <c r="G46" s="642">
        <f>G$43-G44-G45+H$38</f>
        <v>158.23027035990762</v>
      </c>
      <c r="H46" s="573"/>
    </row>
    <row r="47" spans="1:8">
      <c r="B47" s="503" t="s">
        <v>445</v>
      </c>
      <c r="C47" s="644"/>
      <c r="D47" s="696" t="str">
        <f>CONCATENATE("+ ",ROUND((C$46*0.08),2))</f>
        <v>+ 12.65</v>
      </c>
      <c r="E47" s="644"/>
      <c r="F47" s="627" t="str">
        <f>CONCATENATE("+ ",ROUND((E$46*0.08),2))</f>
        <v>+ 12.87</v>
      </c>
      <c r="G47" s="645"/>
      <c r="H47" s="627" t="str">
        <f>CONCATENATE("+ ",ROUND((G$46*0.08),2))</f>
        <v>+ 12.66</v>
      </c>
    </row>
    <row r="48" spans="1:8" ht="15" thickBot="1">
      <c r="B48" s="646" t="s">
        <v>449</v>
      </c>
      <c r="C48" s="697" t="str">
        <f>D47</f>
        <v>+ 12.65</v>
      </c>
      <c r="D48" s="632"/>
      <c r="E48" s="631" t="str">
        <f>F47</f>
        <v>+ 12.87</v>
      </c>
      <c r="F48" s="632"/>
      <c r="G48" s="631" t="str">
        <f>H47</f>
        <v>+ 12.66</v>
      </c>
      <c r="H48" s="632"/>
    </row>
    <row r="49" spans="1:9" s="392" customFormat="1" ht="15" thickBot="1">
      <c r="B49" s="647" t="s">
        <v>452</v>
      </c>
      <c r="C49" s="648">
        <f>C$46+C$48+C$44+C$45</f>
        <v>170.73389937959641</v>
      </c>
      <c r="D49" s="649">
        <f>D38+D47</f>
        <v>0.79000000000000092</v>
      </c>
      <c r="E49" s="648">
        <f>E$46+E$48+E$44+E$45</f>
        <v>173.68909814710068</v>
      </c>
      <c r="F49" s="649">
        <f>F38+F47</f>
        <v>0.79999999999999893</v>
      </c>
      <c r="G49" s="650">
        <f>G$46+G$48+G$44+G$45</f>
        <v>170.89027035990762</v>
      </c>
      <c r="H49" s="651">
        <f>H38+H47</f>
        <v>0.79000000000000092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1-000000000000}">
  <sheetPr codeName="Sheet339"/>
  <dimension ref="B2:K31"/>
  <sheetViews>
    <sheetView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787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2.014218134136589</v>
      </c>
      <c r="E23" s="283">
        <f t="shared" ref="E23:F23" si="0">$G$23*$G$8</f>
        <v>2.014218134136589</v>
      </c>
      <c r="F23" s="283">
        <f t="shared" si="0"/>
        <v>2.014218134136589</v>
      </c>
      <c r="G23" s="284">
        <f>'Delivery &gt;40km-Sept 2013'!E24*I23/1000</f>
        <v>1.7363949432211974</v>
      </c>
      <c r="H23" s="262" t="s">
        <v>129</v>
      </c>
      <c r="I23" s="259">
        <v>145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159.10960398404143</v>
      </c>
      <c r="E25" s="285">
        <f>E19+E21+E23</f>
        <v>161.83318164844439</v>
      </c>
      <c r="F25" s="285">
        <f>F19+F21+F23</f>
        <v>159.27094816236198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1-000000000000}">
  <sheetPr codeName="Sheet340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Orolwo!G23</f>
        <v>1.7363949432211974</v>
      </c>
      <c r="D40" s="943"/>
      <c r="E40" s="880">
        <f>C40</f>
        <v>1.7363949432211974</v>
      </c>
      <c r="F40" s="943"/>
      <c r="G40" s="613">
        <f>C40</f>
        <v>1.7363949432211974</v>
      </c>
      <c r="H40" s="943"/>
    </row>
    <row r="41" spans="1:8" s="392" customFormat="1">
      <c r="A41" s="605"/>
      <c r="B41" s="617" t="s">
        <v>446</v>
      </c>
      <c r="C41" s="618">
        <f>SUM(C40)</f>
        <v>1.7363949432211974</v>
      </c>
      <c r="D41" s="618"/>
      <c r="E41" s="626">
        <f>SUM(E40)</f>
        <v>1.7363949432211974</v>
      </c>
      <c r="F41" s="944"/>
      <c r="G41" s="618">
        <f>SUM(G40)</f>
        <v>1.7363949432211974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169.97982479221477</v>
      </c>
      <c r="D43" s="610"/>
      <c r="E43" s="613">
        <f>E$37+E$42+E$41</f>
        <v>172.92502355971905</v>
      </c>
      <c r="F43" s="610"/>
      <c r="G43" s="236">
        <f>G$37+G$42+G$41</f>
        <v>170.13619577252601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158.11982479221479</v>
      </c>
      <c r="D46" s="610"/>
      <c r="E46" s="641">
        <f>E$43-E44-E45+F$38</f>
        <v>160.85502355971906</v>
      </c>
      <c r="F46" s="610"/>
      <c r="G46" s="642">
        <f>G$43-G44-G45+H$38</f>
        <v>158.266195772526</v>
      </c>
      <c r="H46" s="573"/>
    </row>
    <row r="47" spans="1:8">
      <c r="B47" s="503" t="s">
        <v>445</v>
      </c>
      <c r="C47" s="644"/>
      <c r="D47" s="696" t="str">
        <f>CONCATENATE("+ ",ROUND((C$46*0.08),2))</f>
        <v>+ 12.65</v>
      </c>
      <c r="E47" s="644"/>
      <c r="F47" s="627" t="str">
        <f>CONCATENATE("+ ",ROUND((E$46*0.08),2))</f>
        <v>+ 12.87</v>
      </c>
      <c r="G47" s="645"/>
      <c r="H47" s="627" t="str">
        <f>CONCATENATE("+ ",ROUND((G$46*0.08),2))</f>
        <v>+ 12.66</v>
      </c>
    </row>
    <row r="48" spans="1:8" ht="15" thickBot="1">
      <c r="B48" s="646" t="s">
        <v>449</v>
      </c>
      <c r="C48" s="697" t="str">
        <f>D47</f>
        <v>+ 12.65</v>
      </c>
      <c r="D48" s="632"/>
      <c r="E48" s="631" t="str">
        <f>F47</f>
        <v>+ 12.87</v>
      </c>
      <c r="F48" s="632"/>
      <c r="G48" s="631" t="str">
        <f>H47</f>
        <v>+ 12.66</v>
      </c>
      <c r="H48" s="632"/>
    </row>
    <row r="49" spans="1:9" s="392" customFormat="1" ht="15" thickBot="1">
      <c r="B49" s="647" t="s">
        <v>452</v>
      </c>
      <c r="C49" s="648">
        <f>C$46+C$48+C$44+C$45</f>
        <v>170.76982479221479</v>
      </c>
      <c r="D49" s="649">
        <f>D38+D47</f>
        <v>0.79000000000000092</v>
      </c>
      <c r="E49" s="648">
        <f>E$46+E$48+E$44+E$45</f>
        <v>173.72502355971906</v>
      </c>
      <c r="F49" s="649">
        <f>F38+F47</f>
        <v>0.79999999999999893</v>
      </c>
      <c r="G49" s="650">
        <f>G$46+G$48+G$44+G$45</f>
        <v>170.926195772526</v>
      </c>
      <c r="H49" s="651">
        <f>H38+H47</f>
        <v>0.79000000000000092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1-000000000000}">
  <sheetPr codeName="Sheet341"/>
  <dimension ref="B2:K31"/>
  <sheetViews>
    <sheetView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786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1.9586534959535105</v>
      </c>
      <c r="E23" s="283">
        <f t="shared" ref="E23:F23" si="0">$G$23*$G$8</f>
        <v>1.9586534959535105</v>
      </c>
      <c r="F23" s="283">
        <f t="shared" si="0"/>
        <v>1.9586534959535105</v>
      </c>
      <c r="G23" s="284">
        <f>'Delivery &gt;40km-Sept 2013'!E24*I23/1000</f>
        <v>1.6884943930633711</v>
      </c>
      <c r="H23" s="262" t="s">
        <v>129</v>
      </c>
      <c r="I23" s="259">
        <v>141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159.05403934585834</v>
      </c>
      <c r="E25" s="285">
        <f>E19+E21+E23</f>
        <v>161.77761701026131</v>
      </c>
      <c r="F25" s="285">
        <f>F19+F21+F23</f>
        <v>159.21538352417889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1-000000000000}">
  <sheetPr codeName="Sheet342"/>
  <dimension ref="A2:M68"/>
  <sheetViews>
    <sheetView topLeftCell="C31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Serbit!G23</f>
        <v>1.6884943930633711</v>
      </c>
      <c r="D40" s="943"/>
      <c r="E40" s="880">
        <f>C40</f>
        <v>1.6884943930633711</v>
      </c>
      <c r="F40" s="943"/>
      <c r="G40" s="613">
        <f>C40</f>
        <v>1.6884943930633711</v>
      </c>
      <c r="H40" s="943"/>
    </row>
    <row r="41" spans="1:8" s="392" customFormat="1">
      <c r="A41" s="605"/>
      <c r="B41" s="617" t="s">
        <v>446</v>
      </c>
      <c r="C41" s="618">
        <f>SUM(C40)</f>
        <v>1.6884943930633711</v>
      </c>
      <c r="D41" s="618"/>
      <c r="E41" s="626">
        <f>SUM(E40)</f>
        <v>1.6884943930633711</v>
      </c>
      <c r="F41" s="944"/>
      <c r="G41" s="618">
        <f>SUM(G40)</f>
        <v>1.6884943930633711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169.93192424205694</v>
      </c>
      <c r="D43" s="610"/>
      <c r="E43" s="613">
        <f>E$37+E$42+E$41</f>
        <v>172.87712300956122</v>
      </c>
      <c r="F43" s="610"/>
      <c r="G43" s="236">
        <f>G$37+G$42+G$41</f>
        <v>170.08829522236817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158.07192424205692</v>
      </c>
      <c r="D46" s="610"/>
      <c r="E46" s="641">
        <f>E$43-E44-E45+F$38</f>
        <v>160.80712300956122</v>
      </c>
      <c r="F46" s="610"/>
      <c r="G46" s="642">
        <f>G$43-G44-G45+H$38</f>
        <v>158.21829522236817</v>
      </c>
      <c r="H46" s="573"/>
    </row>
    <row r="47" spans="1:8">
      <c r="B47" s="503" t="s">
        <v>445</v>
      </c>
      <c r="C47" s="644"/>
      <c r="D47" s="696" t="str">
        <f>CONCATENATE("+ ",ROUND((C$46*0.08),2))</f>
        <v>+ 12.65</v>
      </c>
      <c r="E47" s="644"/>
      <c r="F47" s="627" t="str">
        <f>CONCATENATE("+ ",ROUND((E$46*0.08),2))</f>
        <v>+ 12.86</v>
      </c>
      <c r="G47" s="645"/>
      <c r="H47" s="627" t="str">
        <f>CONCATENATE("+ ",ROUND((G$46*0.08),2))</f>
        <v>+ 12.66</v>
      </c>
    </row>
    <row r="48" spans="1:8" ht="15" thickBot="1">
      <c r="B48" s="646" t="s">
        <v>449</v>
      </c>
      <c r="C48" s="697" t="str">
        <f>D47</f>
        <v>+ 12.65</v>
      </c>
      <c r="D48" s="632"/>
      <c r="E48" s="631" t="str">
        <f>F47</f>
        <v>+ 12.86</v>
      </c>
      <c r="F48" s="632"/>
      <c r="G48" s="631" t="str">
        <f>H47</f>
        <v>+ 12.66</v>
      </c>
      <c r="H48" s="632"/>
    </row>
    <row r="49" spans="1:9" s="392" customFormat="1" ht="15" thickBot="1">
      <c r="B49" s="647" t="s">
        <v>452</v>
      </c>
      <c r="C49" s="648">
        <f>C$46+C$48+C$44+C$45</f>
        <v>170.72192424205693</v>
      </c>
      <c r="D49" s="649">
        <f>D38+D47</f>
        <v>0.79000000000000092</v>
      </c>
      <c r="E49" s="648">
        <f>E$46+E$48+E$44+E$45</f>
        <v>173.66712300956124</v>
      </c>
      <c r="F49" s="649">
        <f>F38+F47</f>
        <v>0.78999999999999915</v>
      </c>
      <c r="G49" s="650">
        <f>G$46+G$48+G$44+G$45</f>
        <v>170.87829522236817</v>
      </c>
      <c r="H49" s="651">
        <f>H38+H47</f>
        <v>0.79000000000000092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1-000000000000}">
  <sheetPr codeName="Sheet343"/>
  <dimension ref="B2:K31"/>
  <sheetViews>
    <sheetView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785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1.8614153791331234</v>
      </c>
      <c r="E23" s="283">
        <f t="shared" ref="E23:F23" si="0">$G$23*$G$8</f>
        <v>1.8614153791331234</v>
      </c>
      <c r="F23" s="283">
        <f t="shared" si="0"/>
        <v>1.8614153791331234</v>
      </c>
      <c r="G23" s="284">
        <f>'Delivery &gt;40km-Sept 2013'!E24*I23/1000</f>
        <v>1.6046684302871754</v>
      </c>
      <c r="H23" s="262" t="s">
        <v>129</v>
      </c>
      <c r="I23" s="259">
        <v>134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158.95680122903795</v>
      </c>
      <c r="E25" s="285">
        <f>E19+E21+E23</f>
        <v>161.68037889344092</v>
      </c>
      <c r="F25" s="285">
        <f>F19+F21+F23</f>
        <v>159.1181454073585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1-000000000000}">
  <sheetPr codeName="Sheet344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Morpus!G23</f>
        <v>1.6046684302871754</v>
      </c>
      <c r="D40" s="943"/>
      <c r="E40" s="880">
        <f>C40</f>
        <v>1.6046684302871754</v>
      </c>
      <c r="F40" s="943"/>
      <c r="G40" s="613">
        <f>C40</f>
        <v>1.6046684302871754</v>
      </c>
      <c r="H40" s="943"/>
    </row>
    <row r="41" spans="1:8" s="392" customFormat="1">
      <c r="A41" s="605"/>
      <c r="B41" s="617" t="s">
        <v>446</v>
      </c>
      <c r="C41" s="618">
        <f>SUM(C40)</f>
        <v>1.6046684302871754</v>
      </c>
      <c r="D41" s="618"/>
      <c r="E41" s="626">
        <f>SUM(E40)</f>
        <v>1.6046684302871754</v>
      </c>
      <c r="F41" s="944"/>
      <c r="G41" s="618">
        <f>SUM(G40)</f>
        <v>1.6046684302871754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169.84809827928075</v>
      </c>
      <c r="D43" s="610"/>
      <c r="E43" s="613">
        <f>E$37+E$42+E$41</f>
        <v>172.79329704678503</v>
      </c>
      <c r="F43" s="610"/>
      <c r="G43" s="236">
        <f>G$37+G$42+G$41</f>
        <v>170.00446925959199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157.98809827928073</v>
      </c>
      <c r="D46" s="610"/>
      <c r="E46" s="641">
        <f>E$43-E44-E45+F$38</f>
        <v>160.72329704678504</v>
      </c>
      <c r="F46" s="610"/>
      <c r="G46" s="642">
        <f>G$43-G44-G45+H$38</f>
        <v>158.13446925959198</v>
      </c>
      <c r="H46" s="573"/>
    </row>
    <row r="47" spans="1:8">
      <c r="B47" s="503" t="s">
        <v>445</v>
      </c>
      <c r="C47" s="644"/>
      <c r="D47" s="696" t="str">
        <f>CONCATENATE("+ ",ROUND((C$46*0.08),2))</f>
        <v>+ 12.64</v>
      </c>
      <c r="E47" s="644"/>
      <c r="F47" s="627" t="str">
        <f>CONCATENATE("+ ",ROUND((E$46*0.08),2))</f>
        <v>+ 12.86</v>
      </c>
      <c r="G47" s="645"/>
      <c r="H47" s="627" t="str">
        <f>CONCATENATE("+ ",ROUND((G$46*0.08),2))</f>
        <v>+ 12.65</v>
      </c>
    </row>
    <row r="48" spans="1:8" ht="15" thickBot="1">
      <c r="B48" s="646" t="s">
        <v>449</v>
      </c>
      <c r="C48" s="697" t="str">
        <f>D47</f>
        <v>+ 12.64</v>
      </c>
      <c r="D48" s="632"/>
      <c r="E48" s="631" t="str">
        <f>F47</f>
        <v>+ 12.86</v>
      </c>
      <c r="F48" s="632"/>
      <c r="G48" s="631" t="str">
        <f>H47</f>
        <v>+ 12.65</v>
      </c>
      <c r="H48" s="632"/>
    </row>
    <row r="49" spans="1:9" s="392" customFormat="1" ht="15" thickBot="1">
      <c r="B49" s="647" t="s">
        <v>452</v>
      </c>
      <c r="C49" s="648">
        <f>C$46+C$48+C$44+C$45</f>
        <v>170.62809827928072</v>
      </c>
      <c r="D49" s="649">
        <f>D38+D47</f>
        <v>0.78000000000000114</v>
      </c>
      <c r="E49" s="648">
        <f>E$46+E$48+E$44+E$45</f>
        <v>173.58329704678505</v>
      </c>
      <c r="F49" s="649">
        <f>F38+F47</f>
        <v>0.78999999999999915</v>
      </c>
      <c r="G49" s="650">
        <f>G$46+G$48+G$44+G$45</f>
        <v>170.78446925959199</v>
      </c>
      <c r="H49" s="651">
        <f>H38+H47</f>
        <v>0.78000000000000114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1-000000000000}">
  <sheetPr codeName="Sheet345"/>
  <dimension ref="B2:K31"/>
  <sheetViews>
    <sheetView topLeftCell="A2"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784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1.7363949432211971</v>
      </c>
      <c r="E23" s="283">
        <f t="shared" ref="E23:F23" si="0">$G$23*$G$8</f>
        <v>1.7363949432211971</v>
      </c>
      <c r="F23" s="283">
        <f t="shared" si="0"/>
        <v>1.7363949432211971</v>
      </c>
      <c r="G23" s="284">
        <f>'Delivery &gt;40km-Sept 2013'!E24*I23/1000</f>
        <v>1.4968921924320666</v>
      </c>
      <c r="H23" s="262" t="s">
        <v>129</v>
      </c>
      <c r="I23" s="259">
        <v>125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158.83178079312603</v>
      </c>
      <c r="E25" s="285">
        <f>E19+E21+E23</f>
        <v>161.555358457529</v>
      </c>
      <c r="F25" s="285">
        <f>F19+F21+F23</f>
        <v>158.99312497144658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1-000000000000}">
  <sheetPr codeName="Sheet346"/>
  <dimension ref="A2:M68"/>
  <sheetViews>
    <sheetView topLeftCell="C32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Chepkorniswo!G23</f>
        <v>1.4968921924320666</v>
      </c>
      <c r="D40" s="943"/>
      <c r="E40" s="880">
        <f>C40</f>
        <v>1.4968921924320666</v>
      </c>
      <c r="F40" s="943"/>
      <c r="G40" s="613">
        <f>C40</f>
        <v>1.4968921924320666</v>
      </c>
      <c r="H40" s="943"/>
    </row>
    <row r="41" spans="1:8" s="392" customFormat="1">
      <c r="A41" s="605"/>
      <c r="B41" s="617" t="s">
        <v>446</v>
      </c>
      <c r="C41" s="618">
        <f>SUM(C40)</f>
        <v>1.4968921924320666</v>
      </c>
      <c r="D41" s="618"/>
      <c r="E41" s="626">
        <f>SUM(E40)</f>
        <v>1.4968921924320666</v>
      </c>
      <c r="F41" s="944"/>
      <c r="G41" s="618">
        <f>SUM(G40)</f>
        <v>1.4968921924320666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169.74032204142563</v>
      </c>
      <c r="D43" s="610"/>
      <c r="E43" s="613">
        <f>E$37+E$42+E$41</f>
        <v>172.68552080892991</v>
      </c>
      <c r="F43" s="610"/>
      <c r="G43" s="236">
        <f>G$37+G$42+G$41</f>
        <v>169.89669302173687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157.88032204142564</v>
      </c>
      <c r="D46" s="610"/>
      <c r="E46" s="641">
        <f>E$43-E44-E45+F$38</f>
        <v>160.61552080892992</v>
      </c>
      <c r="F46" s="610"/>
      <c r="G46" s="642">
        <f>G$43-G44-G45+H$38</f>
        <v>158.02669302173686</v>
      </c>
      <c r="H46" s="573"/>
    </row>
    <row r="47" spans="1:8">
      <c r="B47" s="503" t="s">
        <v>445</v>
      </c>
      <c r="C47" s="644"/>
      <c r="D47" s="696" t="str">
        <f>CONCATENATE("+ ",ROUND((C$46*0.08),2))</f>
        <v>+ 12.63</v>
      </c>
      <c r="E47" s="644"/>
      <c r="F47" s="627" t="str">
        <f>CONCATENATE("+ ",ROUND((E$46*0.08),2))</f>
        <v>+ 12.85</v>
      </c>
      <c r="G47" s="645"/>
      <c r="H47" s="627" t="str">
        <f>CONCATENATE("+ ",ROUND((G$46*0.08),2))</f>
        <v>+ 12.64</v>
      </c>
    </row>
    <row r="48" spans="1:8" ht="15" thickBot="1">
      <c r="B48" s="646" t="s">
        <v>449</v>
      </c>
      <c r="C48" s="697" t="str">
        <f>D47</f>
        <v>+ 12.63</v>
      </c>
      <c r="D48" s="632"/>
      <c r="E48" s="631" t="str">
        <f>F47</f>
        <v>+ 12.85</v>
      </c>
      <c r="F48" s="632"/>
      <c r="G48" s="631" t="str">
        <f>H47</f>
        <v>+ 12.64</v>
      </c>
      <c r="H48" s="632"/>
    </row>
    <row r="49" spans="1:9" s="392" customFormat="1" ht="15" thickBot="1">
      <c r="B49" s="647" t="s">
        <v>452</v>
      </c>
      <c r="C49" s="648">
        <f>C$46+C$48+C$44+C$45</f>
        <v>170.51032204142564</v>
      </c>
      <c r="D49" s="649">
        <f>D38+D47</f>
        <v>0.77000000000000135</v>
      </c>
      <c r="E49" s="648">
        <f>E$46+E$48+E$44+E$45</f>
        <v>173.46552080892991</v>
      </c>
      <c r="F49" s="649">
        <f>F38+F47</f>
        <v>0.77999999999999936</v>
      </c>
      <c r="G49" s="650">
        <f>G$46+G$48+G$44+G$45</f>
        <v>170.66669302173688</v>
      </c>
      <c r="H49" s="651">
        <f>H38+H47</f>
        <v>0.77000000000000135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1-000000000000}">
  <sheetPr codeName="Sheet347"/>
  <dimension ref="B2:K31"/>
  <sheetViews>
    <sheetView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783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1.680830305038119</v>
      </c>
      <c r="E23" s="283">
        <f t="shared" ref="E23:F23" si="0">$G$23*$G$8</f>
        <v>1.680830305038119</v>
      </c>
      <c r="F23" s="283">
        <f t="shared" si="0"/>
        <v>1.680830305038119</v>
      </c>
      <c r="G23" s="284">
        <f>'Delivery &gt;40km-Sept 2013'!E24*I23/1000</f>
        <v>1.4489916422742406</v>
      </c>
      <c r="H23" s="262" t="s">
        <v>129</v>
      </c>
      <c r="I23" s="259">
        <v>121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158.77621615494294</v>
      </c>
      <c r="E25" s="285">
        <f>E19+E21+E23</f>
        <v>161.49979381934591</v>
      </c>
      <c r="F25" s="285">
        <f>F19+F21+F23</f>
        <v>158.93756033326349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1-000000000000}">
  <sheetPr codeName="Sheet348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Kaibichbich!G23</f>
        <v>1.4489916422742406</v>
      </c>
      <c r="D40" s="943"/>
      <c r="E40" s="880">
        <f>C40</f>
        <v>1.4489916422742406</v>
      </c>
      <c r="F40" s="943"/>
      <c r="G40" s="613">
        <f>C40</f>
        <v>1.4489916422742406</v>
      </c>
      <c r="H40" s="943"/>
    </row>
    <row r="41" spans="1:8" s="392" customFormat="1">
      <c r="A41" s="605"/>
      <c r="B41" s="617" t="s">
        <v>446</v>
      </c>
      <c r="C41" s="618">
        <f>SUM(C40)</f>
        <v>1.4489916422742406</v>
      </c>
      <c r="D41" s="618"/>
      <c r="E41" s="626">
        <f>SUM(E40)</f>
        <v>1.4489916422742406</v>
      </c>
      <c r="F41" s="944"/>
      <c r="G41" s="618">
        <f>SUM(G40)</f>
        <v>1.4489916422742406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169.69242149126782</v>
      </c>
      <c r="D43" s="610"/>
      <c r="E43" s="613">
        <f>E$37+E$42+E$41</f>
        <v>172.6376202587721</v>
      </c>
      <c r="F43" s="610"/>
      <c r="G43" s="236">
        <f>G$37+G$42+G$41</f>
        <v>169.84879247157906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157.83242149126784</v>
      </c>
      <c r="D46" s="610"/>
      <c r="E46" s="641">
        <f>E$43-E44-E45+F$38</f>
        <v>160.56762025877211</v>
      </c>
      <c r="F46" s="610"/>
      <c r="G46" s="642">
        <f>G$43-G44-G45+H$38</f>
        <v>157.97879247157906</v>
      </c>
      <c r="H46" s="573"/>
    </row>
    <row r="47" spans="1:8">
      <c r="B47" s="503" t="s">
        <v>445</v>
      </c>
      <c r="C47" s="644"/>
      <c r="D47" s="696" t="str">
        <f>CONCATENATE("+ ",ROUND((C$46*0.08),2))</f>
        <v>+ 12.63</v>
      </c>
      <c r="E47" s="644"/>
      <c r="F47" s="627" t="str">
        <f>CONCATENATE("+ ",ROUND((E$46*0.08),2))</f>
        <v>+ 12.85</v>
      </c>
      <c r="G47" s="645"/>
      <c r="H47" s="627" t="str">
        <f>CONCATENATE("+ ",ROUND((G$46*0.08),2))</f>
        <v>+ 12.64</v>
      </c>
    </row>
    <row r="48" spans="1:8" ht="15" thickBot="1">
      <c r="B48" s="646" t="s">
        <v>449</v>
      </c>
      <c r="C48" s="697" t="str">
        <f>D47</f>
        <v>+ 12.63</v>
      </c>
      <c r="D48" s="632"/>
      <c r="E48" s="631" t="str">
        <f>F47</f>
        <v>+ 12.85</v>
      </c>
      <c r="F48" s="632"/>
      <c r="G48" s="631" t="str">
        <f>H47</f>
        <v>+ 12.64</v>
      </c>
      <c r="H48" s="632"/>
    </row>
    <row r="49" spans="1:9" s="392" customFormat="1" ht="15" thickBot="1">
      <c r="B49" s="647" t="s">
        <v>452</v>
      </c>
      <c r="C49" s="648">
        <f>C$46+C$48+C$44+C$45</f>
        <v>170.46242149126783</v>
      </c>
      <c r="D49" s="649">
        <f>D38+D47</f>
        <v>0.77000000000000135</v>
      </c>
      <c r="E49" s="648">
        <f>E$46+E$48+E$44+E$45</f>
        <v>173.4176202587721</v>
      </c>
      <c r="F49" s="649">
        <f>F38+F47</f>
        <v>0.77999999999999936</v>
      </c>
      <c r="G49" s="650">
        <f>G$46+G$48+G$44+G$45</f>
        <v>170.61879247157907</v>
      </c>
      <c r="H49" s="651">
        <f>H38+H47</f>
        <v>0.77000000000000135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1-000000000000}">
  <sheetPr codeName="Sheet349"/>
  <dimension ref="B2:K31"/>
  <sheetViews>
    <sheetView topLeftCell="A2" workbookViewId="0">
      <selection activeCell="C3" sqref="C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782</v>
      </c>
      <c r="G2" s="160"/>
    </row>
    <row r="3" spans="2:11">
      <c r="C3" s="258" t="s">
        <v>27</v>
      </c>
      <c r="G3" s="160"/>
    </row>
    <row r="4" spans="2:11">
      <c r="C4" s="259" t="str">
        <f>Nakuru!C4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Eldoret!G8</f>
        <v>1.1599999999999999</v>
      </c>
      <c r="H8" s="262" t="str">
        <f>Nakuru!I8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4.4095891999999992</v>
      </c>
      <c r="E9" s="269">
        <f>$G$10*$G$9*$G$8</f>
        <v>4.4095891999999992</v>
      </c>
      <c r="F9" s="269">
        <f>$G$10*G6*$G$8</f>
        <v>4.4095891999999992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90"/>
      <c r="E10" s="274"/>
      <c r="F10" s="274"/>
      <c r="G10" s="272">
        <f>Eldoret!G10</f>
        <v>3.8013699999999999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Eldoret!D11</f>
        <v>0</v>
      </c>
      <c r="E11" s="269">
        <f>Eldoret!E11</f>
        <v>0</v>
      </c>
      <c r="F11" s="269">
        <f>Eldoret!F11</f>
        <v>0</v>
      </c>
      <c r="G11" s="273">
        <f>'Bridging - Sept 2013'!E23*G14/1000</f>
        <v>7.2750971638155377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798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Eldoret!D17</f>
        <v>3.54</v>
      </c>
      <c r="E17" s="280">
        <f>Eldoret!E17</f>
        <v>3.51</v>
      </c>
      <c r="F17" s="280">
        <f>Eldoret!F17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148.90538584990483</v>
      </c>
      <c r="E19" s="282">
        <f>SUM(E7:E18)</f>
        <v>151.6289635143078</v>
      </c>
      <c r="F19" s="282">
        <f>SUM(F7:F18)</f>
        <v>149.06673002822538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Eldoret!D21</f>
        <v>8.19</v>
      </c>
      <c r="E21" s="168">
        <f>Eldoret!E21</f>
        <v>8.19</v>
      </c>
      <c r="F21" s="168">
        <f>Eldoret!F21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1.3891159545769578</v>
      </c>
      <c r="E23" s="283">
        <f t="shared" ref="E23:F23" si="0">$G$23*$G$8</f>
        <v>1.3891159545769578</v>
      </c>
      <c r="F23" s="283">
        <f t="shared" si="0"/>
        <v>1.3891159545769578</v>
      </c>
      <c r="G23" s="284">
        <f>'Delivery &gt;40km-Sept 2013'!E24*I23/1000</f>
        <v>1.1975137539456533</v>
      </c>
      <c r="H23" s="262" t="s">
        <v>129</v>
      </c>
      <c r="I23" s="259">
        <v>100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158.48450180448179</v>
      </c>
      <c r="E25" s="285">
        <f>E19+E21+E23</f>
        <v>161.20807946888476</v>
      </c>
      <c r="F25" s="285">
        <f>F19+F21+F23</f>
        <v>158.64584598280234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94"/>
      <c r="E27" s="694"/>
      <c r="F27" s="694"/>
    </row>
    <row r="28" spans="3:11">
      <c r="D28" s="694"/>
      <c r="E28" s="694"/>
      <c r="F28" s="694"/>
    </row>
    <row r="29" spans="3:11">
      <c r="D29" s="694"/>
      <c r="E29" s="694"/>
      <c r="F29" s="694"/>
    </row>
    <row r="31" spans="3:11">
      <c r="E31" s="210"/>
    </row>
  </sheetData>
  <pageMargins left="0.7" right="0.7" top="0.75" bottom="0.75" header="0.3" footer="0.3"/>
  <drawing r:id="rId1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1-000000000000}">
  <sheetPr codeName="Sheet350"/>
  <dimension ref="A2:M68"/>
  <sheetViews>
    <sheetView topLeftCell="A43" workbookViewId="0">
      <selection activeCell="C40" sqref="C40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3.8671186890483997</v>
      </c>
      <c r="D21" s="573"/>
      <c r="E21" s="618">
        <f>SUM(E$22:E$23)</f>
        <v>3.8684030925701443</v>
      </c>
      <c r="F21" s="621"/>
      <c r="G21" s="618">
        <f>SUM(G$22:G$23)</f>
        <v>3.8672079413472096</v>
      </c>
      <c r="H21" s="573"/>
    </row>
    <row r="22" spans="1:8">
      <c r="A22" s="605"/>
      <c r="B22" s="614" t="s">
        <v>455</v>
      </c>
      <c r="C22" s="613">
        <f>SUM(C$24:C$25)</f>
        <v>3.8013699999999999</v>
      </c>
      <c r="D22" s="573"/>
      <c r="E22" s="613">
        <f>SUM(E$24:E$25)</f>
        <v>3.8013699999999999</v>
      </c>
      <c r="F22" s="621"/>
      <c r="G22" s="613">
        <f>SUM(G$24:G$25)</f>
        <v>3.8013699999999999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Eldoret!G10</f>
        <v>3.8013699999999999</v>
      </c>
      <c r="D24" s="623"/>
      <c r="E24" s="602">
        <f>C24</f>
        <v>3.8013699999999999</v>
      </c>
      <c r="F24" s="624"/>
      <c r="G24" s="602">
        <f>E24</f>
        <v>3.8013699999999999</v>
      </c>
      <c r="H24" s="573"/>
    </row>
    <row r="25" spans="1:8">
      <c r="A25" s="605"/>
      <c r="B25" s="622" t="s">
        <v>465</v>
      </c>
      <c r="C25" s="602">
        <f>Eldoret!D11/1.14</f>
        <v>0</v>
      </c>
      <c r="D25" s="623"/>
      <c r="E25" s="602">
        <f>Eldoret!E11/1.14</f>
        <v>0</v>
      </c>
      <c r="F25" s="624"/>
      <c r="G25" s="602">
        <f>Eldoret!F11/1.14</f>
        <v>0</v>
      </c>
      <c r="H25" s="573"/>
    </row>
    <row r="26" spans="1:8">
      <c r="A26" s="605"/>
      <c r="B26" s="622" t="s">
        <v>334</v>
      </c>
      <c r="C26" s="602">
        <f>Eldoret!D13</f>
        <v>6.5748689048399672E-2</v>
      </c>
      <c r="D26" s="623"/>
      <c r="E26" s="602">
        <f>Eldoret!E13</f>
        <v>6.703309257014424E-2</v>
      </c>
      <c r="F26" s="624"/>
      <c r="G26" s="602">
        <f>Eldoret!F13</f>
        <v>6.5837941347209814E-2</v>
      </c>
      <c r="H26" s="573"/>
    </row>
    <row r="27" spans="1:8">
      <c r="A27" s="605"/>
      <c r="B27" s="622" t="s">
        <v>332</v>
      </c>
      <c r="C27" s="602">
        <f>Eldoret!D15</f>
        <v>0</v>
      </c>
      <c r="D27" s="623"/>
      <c r="E27" s="602">
        <f>Eldoret!E15</f>
        <v>0</v>
      </c>
      <c r="F27" s="624"/>
      <c r="G27" s="602">
        <f>Eldoret!F15</f>
        <v>0</v>
      </c>
      <c r="H27" s="573"/>
    </row>
    <row r="28" spans="1:8">
      <c r="A28" s="605" t="s">
        <v>404</v>
      </c>
      <c r="B28" s="620" t="s">
        <v>427</v>
      </c>
      <c r="C28" s="618">
        <f>Eldoret!D17</f>
        <v>3.54</v>
      </c>
      <c r="D28" s="625"/>
      <c r="E28" s="626">
        <f>Eldoret!E17</f>
        <v>3.51</v>
      </c>
      <c r="F28" s="625"/>
      <c r="G28" s="618">
        <f>Eldoret!F17</f>
        <v>3.51</v>
      </c>
      <c r="H28" s="573"/>
    </row>
    <row r="29" spans="1:8">
      <c r="A29" s="605"/>
      <c r="B29" s="620" t="s">
        <v>440</v>
      </c>
      <c r="C29" s="618">
        <f>C$9+C$20+C$22+C$23+C$28</f>
        <v>148.19342984899359</v>
      </c>
      <c r="D29" s="625"/>
      <c r="E29" s="626">
        <f>E$9+E$20+E$22+E$23+E$28</f>
        <v>150.92862861649786</v>
      </c>
      <c r="F29" s="625"/>
      <c r="G29" s="618">
        <f>G$9+G$20+G$22+G$23+G$28</f>
        <v>148.33980082930481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148.19342984899359</v>
      </c>
      <c r="D31" s="629"/>
      <c r="E31" s="628">
        <f>E$9+E$20+E$21+E$28</f>
        <v>150.92862861649786</v>
      </c>
      <c r="F31" s="629"/>
      <c r="G31" s="606">
        <f>G$9+G$20+G$21+G$28</f>
        <v>148.33980082930481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160.05342984899357</v>
      </c>
      <c r="D33" s="634">
        <f>D8+D10+D30</f>
        <v>4.525729895232983</v>
      </c>
      <c r="E33" s="635">
        <f>E31+E32</f>
        <v>162.99862861649785</v>
      </c>
      <c r="F33" s="634">
        <f>F8+F10+F30</f>
        <v>3.7372551479421627</v>
      </c>
      <c r="G33" s="634">
        <f>G31+G32</f>
        <v>160.20980082930481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160.05342984899357</v>
      </c>
      <c r="D37" s="573"/>
      <c r="E37" s="236">
        <f>E33</f>
        <v>162.99862861649785</v>
      </c>
      <c r="F37" s="573"/>
      <c r="G37" s="236">
        <f>G33</f>
        <v>160.20980082930481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Keringet!G23</f>
        <v>1.1975137539456533</v>
      </c>
      <c r="D40" s="943"/>
      <c r="E40" s="880">
        <f>C40</f>
        <v>1.1975137539456533</v>
      </c>
      <c r="F40" s="943"/>
      <c r="G40" s="613">
        <f>C40</f>
        <v>1.1975137539456533</v>
      </c>
      <c r="H40" s="943"/>
    </row>
    <row r="41" spans="1:8" s="392" customFormat="1">
      <c r="A41" s="605"/>
      <c r="B41" s="617" t="s">
        <v>446</v>
      </c>
      <c r="C41" s="618">
        <f>SUM(C40)</f>
        <v>1.1975137539456533</v>
      </c>
      <c r="D41" s="618"/>
      <c r="E41" s="626">
        <f>SUM(E40)</f>
        <v>1.1975137539456533</v>
      </c>
      <c r="F41" s="944"/>
      <c r="G41" s="618">
        <f>SUM(G40)</f>
        <v>1.1975137539456533</v>
      </c>
      <c r="H41" s="944"/>
    </row>
    <row r="42" spans="1:8">
      <c r="A42" s="605" t="s">
        <v>642</v>
      </c>
      <c r="B42" s="503" t="s">
        <v>426</v>
      </c>
      <c r="C42" s="236">
        <f>Eldoret!D21</f>
        <v>8.19</v>
      </c>
      <c r="D42" s="573"/>
      <c r="E42" s="236">
        <f>Eldoret!E21</f>
        <v>8.19</v>
      </c>
      <c r="F42" s="573"/>
      <c r="G42" s="236">
        <f>Eldoret!F21</f>
        <v>8.19</v>
      </c>
      <c r="H42" s="629"/>
    </row>
    <row r="43" spans="1:8">
      <c r="B43" s="620" t="s">
        <v>447</v>
      </c>
      <c r="C43" s="613">
        <f>C$37+C$42+C$41</f>
        <v>169.44094360293923</v>
      </c>
      <c r="D43" s="610"/>
      <c r="E43" s="613">
        <f>E$37+E$42+E$41</f>
        <v>172.38614237044351</v>
      </c>
      <c r="F43" s="610"/>
      <c r="G43" s="236">
        <f>G$37+G$42+G$41</f>
        <v>169.59731458325047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157.58094360293921</v>
      </c>
      <c r="D46" s="610"/>
      <c r="E46" s="641">
        <f>E$43-E44-E45+F$38</f>
        <v>160.31614237044352</v>
      </c>
      <c r="F46" s="610"/>
      <c r="G46" s="642">
        <f>G$43-G44-G45+H$38</f>
        <v>157.72731458325046</v>
      </c>
      <c r="H46" s="573"/>
    </row>
    <row r="47" spans="1:8">
      <c r="B47" s="503" t="s">
        <v>445</v>
      </c>
      <c r="C47" s="644"/>
      <c r="D47" s="696" t="str">
        <f>CONCATENATE("+ ",ROUND((C$46*0.08),2))</f>
        <v>+ 12.61</v>
      </c>
      <c r="E47" s="644"/>
      <c r="F47" s="627" t="str">
        <f>CONCATENATE("+ ",ROUND((E$46*0.08),2))</f>
        <v>+ 12.83</v>
      </c>
      <c r="G47" s="645"/>
      <c r="H47" s="627" t="str">
        <f>CONCATENATE("+ ",ROUND((G$46*0.08),2))</f>
        <v>+ 12.62</v>
      </c>
    </row>
    <row r="48" spans="1:8" ht="15" thickBot="1">
      <c r="B48" s="646" t="s">
        <v>449</v>
      </c>
      <c r="C48" s="697" t="str">
        <f>D47</f>
        <v>+ 12.61</v>
      </c>
      <c r="D48" s="632"/>
      <c r="E48" s="631" t="str">
        <f>F47</f>
        <v>+ 12.83</v>
      </c>
      <c r="F48" s="632"/>
      <c r="G48" s="631" t="str">
        <f>H47</f>
        <v>+ 12.62</v>
      </c>
      <c r="H48" s="632"/>
    </row>
    <row r="49" spans="1:9" s="392" customFormat="1" ht="15" thickBot="1">
      <c r="B49" s="647" t="s">
        <v>452</v>
      </c>
      <c r="C49" s="648">
        <f>C$46+C$48+C$44+C$45</f>
        <v>170.19094360293923</v>
      </c>
      <c r="D49" s="649">
        <f>D38+D47</f>
        <v>0.75</v>
      </c>
      <c r="E49" s="648">
        <f>E$46+E$48+E$44+E$45</f>
        <v>173.14614237044353</v>
      </c>
      <c r="F49" s="649">
        <f>F38+F47</f>
        <v>0.75999999999999979</v>
      </c>
      <c r="G49" s="650">
        <f>G$46+G$48+G$44+G$45</f>
        <v>170.34731458325047</v>
      </c>
      <c r="H49" s="651">
        <f>H38+H47</f>
        <v>0.75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1-000000000000}">
  <sheetPr codeName="Sheet351">
    <tabColor rgb="FFFF0000"/>
  </sheetPr>
  <dimension ref="B2:L33"/>
  <sheetViews>
    <sheetView topLeftCell="A15" workbookViewId="0">
      <selection activeCell="D27" sqref="D27:F27"/>
    </sheetView>
  </sheetViews>
  <sheetFormatPr defaultColWidth="9.1796875" defaultRowHeight="14.5"/>
  <cols>
    <col min="1" max="1" width="9.1796875" style="159"/>
    <col min="2" max="2" width="28.26953125" style="159" bestFit="1" customWidth="1"/>
    <col min="3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13.81640625" style="159" customWidth="1"/>
    <col min="9" max="9" width="56" style="159" bestFit="1" customWidth="1"/>
    <col min="10" max="16384" width="9.1796875" style="159"/>
  </cols>
  <sheetData>
    <row r="2" spans="2:12">
      <c r="C2" s="258" t="s">
        <v>149</v>
      </c>
      <c r="G2" s="160"/>
      <c r="H2" s="160"/>
    </row>
    <row r="3" spans="2:12">
      <c r="C3" s="258" t="s">
        <v>27</v>
      </c>
      <c r="G3" s="160"/>
      <c r="H3" s="160"/>
    </row>
    <row r="4" spans="2:12">
      <c r="C4" s="259" t="str">
        <f>Eldoret!C4</f>
        <v>March 15 - April 14, 2023</v>
      </c>
      <c r="D4" s="258"/>
      <c r="E4" s="160"/>
      <c r="F4" s="160"/>
      <c r="G4" s="260"/>
      <c r="H4" s="260"/>
    </row>
    <row r="5" spans="2:12" ht="15" thickBot="1">
      <c r="C5" s="160"/>
      <c r="D5" s="160"/>
      <c r="E5" s="160"/>
      <c r="F5" s="160"/>
      <c r="G5" s="261"/>
      <c r="H5" s="261"/>
      <c r="I5" s="262"/>
      <c r="J5" s="262"/>
      <c r="K5" s="262"/>
      <c r="L5" s="262"/>
    </row>
    <row r="6" spans="2:12" ht="15" thickBot="1">
      <c r="C6" s="288"/>
      <c r="D6" s="169" t="s">
        <v>0</v>
      </c>
      <c r="E6" s="169" t="s">
        <v>1</v>
      </c>
      <c r="F6" s="169" t="s">
        <v>3</v>
      </c>
      <c r="G6" s="265">
        <v>1</v>
      </c>
      <c r="H6" s="852"/>
      <c r="I6" s="289" t="s">
        <v>167</v>
      </c>
      <c r="J6" s="262"/>
      <c r="K6" s="262"/>
      <c r="L6" s="262"/>
    </row>
    <row r="7" spans="2:12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160"/>
      <c r="I7" s="262" t="s">
        <v>26</v>
      </c>
      <c r="J7" s="262"/>
      <c r="K7" s="262"/>
      <c r="L7" s="262"/>
    </row>
    <row r="8" spans="2:12" ht="15" thickBot="1">
      <c r="C8" s="263"/>
      <c r="D8" s="263"/>
      <c r="E8" s="263"/>
      <c r="F8" s="263"/>
      <c r="G8" s="268">
        <v>1.1599999999999999</v>
      </c>
      <c r="H8" s="268"/>
      <c r="I8" s="262" t="str">
        <f>Eldoret!I8</f>
        <v>Weighted average cost (KPRL + KOSF)</v>
      </c>
      <c r="J8" s="262"/>
      <c r="K8" s="262"/>
      <c r="L8" s="262"/>
    </row>
    <row r="9" spans="2:12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853"/>
      <c r="I9" s="289" t="s">
        <v>166</v>
      </c>
      <c r="J9" s="262"/>
      <c r="K9" s="262"/>
      <c r="L9" s="262"/>
    </row>
    <row r="10" spans="2:12" ht="15" thickBot="1">
      <c r="C10" s="263"/>
      <c r="D10" s="271"/>
      <c r="E10" s="274"/>
      <c r="F10" s="274"/>
      <c r="G10" s="272">
        <v>3.7976899999999998</v>
      </c>
      <c r="H10" s="854"/>
      <c r="I10" s="262" t="s">
        <v>30</v>
      </c>
      <c r="J10" s="262"/>
      <c r="K10" s="262"/>
      <c r="L10" s="262"/>
    </row>
    <row r="11" spans="2:12" ht="15" thickBot="1">
      <c r="C11" s="227" t="s">
        <v>20</v>
      </c>
      <c r="D11" s="269">
        <f>$G$11*$G$12*$G$8</f>
        <v>0</v>
      </c>
      <c r="E11" s="269">
        <f>$G$11*$G$12*$G$8</f>
        <v>0</v>
      </c>
      <c r="F11" s="269">
        <v>0</v>
      </c>
      <c r="G11" s="273">
        <f>'Bridging - Sept 2013'!E23*G14/1000</f>
        <v>7.5850637096422648</v>
      </c>
      <c r="H11" s="297"/>
      <c r="I11" s="262" t="s">
        <v>272</v>
      </c>
      <c r="J11" s="262"/>
      <c r="K11" s="262"/>
      <c r="L11" s="262"/>
    </row>
    <row r="12" spans="2:12">
      <c r="C12" s="263"/>
      <c r="D12" s="274"/>
      <c r="E12" s="274"/>
      <c r="F12" s="274"/>
      <c r="G12" s="665">
        <f>1-G9</f>
        <v>0</v>
      </c>
      <c r="H12" s="665"/>
      <c r="I12" s="275" t="s">
        <v>168</v>
      </c>
      <c r="J12" s="262"/>
      <c r="K12" s="262"/>
      <c r="L12" s="262"/>
    </row>
    <row r="13" spans="2:12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78"/>
      <c r="I13" s="262" t="s">
        <v>25</v>
      </c>
      <c r="J13" s="262"/>
      <c r="K13" s="262"/>
      <c r="L13" s="262"/>
    </row>
    <row r="14" spans="2:12" ht="15" thickBot="1">
      <c r="C14" s="263"/>
      <c r="D14" s="274"/>
      <c r="E14" s="274"/>
      <c r="F14" s="274"/>
      <c r="G14" s="279">
        <v>832</v>
      </c>
      <c r="H14" s="279">
        <v>795</v>
      </c>
      <c r="I14" s="262" t="s">
        <v>35</v>
      </c>
      <c r="J14" s="262"/>
      <c r="K14" s="262"/>
      <c r="L14" s="262"/>
    </row>
    <row r="15" spans="2:12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78"/>
      <c r="I15" s="262" t="s">
        <v>29</v>
      </c>
      <c r="J15" s="262"/>
      <c r="K15" s="262"/>
      <c r="L15" s="262"/>
    </row>
    <row r="16" spans="2:12">
      <c r="C16" s="263"/>
      <c r="D16" s="263"/>
      <c r="E16" s="263"/>
      <c r="F16" s="263"/>
      <c r="G16" s="278">
        <v>0</v>
      </c>
      <c r="H16" s="278"/>
      <c r="I16" s="262"/>
      <c r="J16" s="262"/>
      <c r="K16" s="262"/>
      <c r="L16" s="262"/>
    </row>
    <row r="17" spans="2:12">
      <c r="C17" s="263" t="s">
        <v>20</v>
      </c>
      <c r="D17" s="280">
        <f>3.05+0.49</f>
        <v>3.54</v>
      </c>
      <c r="E17" s="280">
        <f>3.05+0.46</f>
        <v>3.51</v>
      </c>
      <c r="F17" s="280">
        <f>3.05+0.46</f>
        <v>3.51</v>
      </c>
      <c r="G17" s="281"/>
      <c r="H17" s="281"/>
      <c r="I17" s="262" t="s">
        <v>24</v>
      </c>
      <c r="J17" s="262"/>
      <c r="K17" s="262"/>
      <c r="L17" s="262"/>
    </row>
    <row r="18" spans="2:12">
      <c r="C18" s="263"/>
      <c r="D18" s="263"/>
      <c r="E18" s="263"/>
      <c r="F18" s="263"/>
      <c r="G18" s="160"/>
      <c r="H18" s="160"/>
      <c r="I18" s="262"/>
      <c r="J18" s="262"/>
      <c r="K18" s="262"/>
      <c r="L18" s="262"/>
    </row>
    <row r="19" spans="2:12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160"/>
      <c r="I19" s="262" t="s">
        <v>23</v>
      </c>
      <c r="J19" s="262"/>
      <c r="K19" s="262"/>
      <c r="L19" s="262"/>
    </row>
    <row r="20" spans="2:12">
      <c r="C20" s="263"/>
      <c r="D20" s="263"/>
      <c r="E20" s="263"/>
      <c r="F20" s="263"/>
      <c r="G20" s="160"/>
      <c r="H20" s="160"/>
      <c r="I20" s="262"/>
      <c r="J20" s="262"/>
      <c r="K20" s="262"/>
      <c r="L20" s="262"/>
    </row>
    <row r="21" spans="2:12">
      <c r="C21" s="263" t="s">
        <v>20</v>
      </c>
      <c r="D21" s="168">
        <f>4.05+4.14</f>
        <v>8.19</v>
      </c>
      <c r="E21" s="168">
        <f>4.05+4.14</f>
        <v>8.19</v>
      </c>
      <c r="F21" s="168">
        <f>4.05+4.14</f>
        <v>8.19</v>
      </c>
      <c r="G21" s="160"/>
      <c r="H21" s="160"/>
      <c r="I21" s="262" t="s">
        <v>22</v>
      </c>
      <c r="J21" s="262"/>
      <c r="K21" s="262"/>
      <c r="L21" s="262"/>
    </row>
    <row r="22" spans="2:12" ht="15" thickBot="1">
      <c r="C22" s="263"/>
      <c r="D22" s="168"/>
      <c r="E22" s="168"/>
      <c r="F22" s="168"/>
      <c r="G22" s="160"/>
      <c r="H22" s="160"/>
      <c r="I22" s="262"/>
      <c r="J22" s="262"/>
      <c r="K22" s="262"/>
      <c r="L22" s="262"/>
    </row>
    <row r="23" spans="2:12" ht="15" thickBot="1">
      <c r="C23" s="263" t="s">
        <v>20</v>
      </c>
      <c r="D23" s="283">
        <f>$G$23*$G$8</f>
        <v>0.62360663649487535</v>
      </c>
      <c r="E23" s="283">
        <f t="shared" ref="E23:F23" si="0">$G$23*$G$8</f>
        <v>0.62360663649487535</v>
      </c>
      <c r="F23" s="283">
        <f t="shared" si="0"/>
        <v>0.62360663649487535</v>
      </c>
      <c r="G23" s="284">
        <f>Eldoret!G23</f>
        <v>0.53759192801282363</v>
      </c>
      <c r="H23" s="855"/>
      <c r="I23" s="262" t="s">
        <v>21</v>
      </c>
      <c r="J23" s="262"/>
      <c r="K23" s="262"/>
      <c r="L23" s="262"/>
    </row>
    <row r="24" spans="2:12">
      <c r="C24" s="263"/>
      <c r="D24" s="263"/>
      <c r="E24" s="263"/>
      <c r="F24" s="263"/>
      <c r="G24" s="160"/>
      <c r="H24" s="160"/>
      <c r="I24" s="262"/>
      <c r="J24" s="262"/>
      <c r="K24" s="262"/>
      <c r="L24" s="262"/>
    </row>
    <row r="25" spans="2:12">
      <c r="C25" s="263" t="s">
        <v>20</v>
      </c>
      <c r="D25" s="285">
        <f>D19+D21+D23</f>
        <v>157.71472368639971</v>
      </c>
      <c r="E25" s="285">
        <f>E19+E21+E23</f>
        <v>160.43830135080267</v>
      </c>
      <c r="F25" s="285">
        <f>F19+F21+F23</f>
        <v>157.87606786472026</v>
      </c>
      <c r="G25" s="160"/>
      <c r="H25" s="160"/>
      <c r="I25" s="262" t="s">
        <v>19</v>
      </c>
      <c r="J25" s="262"/>
      <c r="K25" s="262"/>
      <c r="L25" s="262"/>
    </row>
    <row r="26" spans="2:12" ht="15" thickBot="1">
      <c r="C26" s="160"/>
      <c r="D26" s="286"/>
      <c r="E26" s="160"/>
      <c r="F26" s="160"/>
      <c r="G26" s="160"/>
      <c r="H26" s="160"/>
    </row>
    <row r="27" spans="2:12" ht="15" thickBot="1">
      <c r="B27" s="678" t="str">
        <f>Mombasa!B28</f>
        <v>February 15 - March 14 2023</v>
      </c>
      <c r="C27" s="691" t="str">
        <f>C25</f>
        <v>Kshs/lt</v>
      </c>
      <c r="D27" s="679">
        <v>154.22983727511968</v>
      </c>
      <c r="E27" s="680">
        <v>160.78047514569829</v>
      </c>
      <c r="F27" s="681">
        <v>154.10388584420301</v>
      </c>
      <c r="I27" s="159" t="s">
        <v>63</v>
      </c>
    </row>
    <row r="28" spans="2:12" ht="8.25" customHeight="1" thickBot="1">
      <c r="B28" s="392"/>
      <c r="C28" s="392"/>
      <c r="D28" s="675"/>
      <c r="E28" s="676"/>
      <c r="F28" s="677"/>
    </row>
    <row r="29" spans="2:12" ht="15" thickBot="1">
      <c r="B29" s="682" t="s">
        <v>44</v>
      </c>
      <c r="C29" s="692" t="str">
        <f>C27</f>
        <v>Kshs/lt</v>
      </c>
      <c r="D29" s="683">
        <f>D25-D27</f>
        <v>3.48488641128003</v>
      </c>
      <c r="E29" s="684">
        <f>E25-E27</f>
        <v>-0.34217379489561495</v>
      </c>
      <c r="F29" s="693">
        <f>F25-F27</f>
        <v>3.7721820205172492</v>
      </c>
    </row>
    <row r="30" spans="2:12" ht="8.25" customHeight="1" thickBot="1">
      <c r="B30" s="392"/>
      <c r="C30" s="392"/>
      <c r="D30" s="685"/>
      <c r="E30" s="686"/>
      <c r="F30" s="687"/>
    </row>
    <row r="31" spans="2:12" ht="15" thickBot="1">
      <c r="B31" s="682" t="s">
        <v>44</v>
      </c>
      <c r="C31" s="692" t="s">
        <v>159</v>
      </c>
      <c r="D31" s="688">
        <f>D29/D27*100</f>
        <v>2.2595410024738518</v>
      </c>
      <c r="E31" s="689">
        <f>E29/E27*100</f>
        <v>-0.2128204899167882</v>
      </c>
      <c r="F31" s="690">
        <f>F29/F27*100</f>
        <v>2.4478175873714667</v>
      </c>
    </row>
    <row r="33" spans="3:6">
      <c r="C33" s="288"/>
      <c r="D33" s="169" t="s">
        <v>0</v>
      </c>
      <c r="E33" s="169" t="s">
        <v>1</v>
      </c>
      <c r="F33" s="169" t="s">
        <v>3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9226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9226" r:id="rId4"/>
      </mc:Fallback>
    </mc:AlternateContent>
  </oleObjects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1-000000000000}">
  <sheetPr codeName="Sheet352">
    <tabColor rgb="FF0070C0"/>
  </sheetPr>
  <dimension ref="A2:M70"/>
  <sheetViews>
    <sheetView topLeftCell="A47" workbookViewId="0">
      <selection activeCell="E65" sqref="E65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18.54296875" style="159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Kisumu!G23</f>
        <v>0.53759192801282363</v>
      </c>
      <c r="D40" s="943"/>
      <c r="E40" s="880">
        <f>C40</f>
        <v>0.53759192801282363</v>
      </c>
      <c r="F40" s="943"/>
      <c r="G40" s="613">
        <f>C40</f>
        <v>0.53759192801282363</v>
      </c>
      <c r="H40" s="943"/>
    </row>
    <row r="41" spans="1:8" s="392" customFormat="1">
      <c r="A41" s="605"/>
      <c r="B41" s="617" t="s">
        <v>446</v>
      </c>
      <c r="C41" s="618">
        <f>SUM(C40)</f>
        <v>0.53759192801282363</v>
      </c>
      <c r="D41" s="618"/>
      <c r="E41" s="626">
        <f>SUM(E40)</f>
        <v>0.53759192801282363</v>
      </c>
      <c r="F41" s="944"/>
      <c r="G41" s="618">
        <f>SUM(G40)</f>
        <v>0.53759192801282363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168.77734177700643</v>
      </c>
      <c r="D43" s="610"/>
      <c r="E43" s="613">
        <f>E$37+E$42+E$41</f>
        <v>171.72254054451068</v>
      </c>
      <c r="F43" s="610"/>
      <c r="G43" s="236">
        <f>G$37+G$42+G$41</f>
        <v>168.93371275731764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156.91734177700641</v>
      </c>
      <c r="D46" s="610"/>
      <c r="E46" s="641">
        <f>E$43-E44-E45+F$38</f>
        <v>159.65254054451069</v>
      </c>
      <c r="F46" s="610"/>
      <c r="G46" s="642">
        <f>G$43-G44-G45+H$38</f>
        <v>157.06371275731763</v>
      </c>
      <c r="H46" s="573"/>
    </row>
    <row r="47" spans="1:8">
      <c r="B47" s="503" t="s">
        <v>445</v>
      </c>
      <c r="C47" s="644"/>
      <c r="D47" s="696" t="str">
        <f>CONCATENATE("+ ",ROUND((C$46*0.08),2))</f>
        <v>+ 12.55</v>
      </c>
      <c r="E47" s="644"/>
      <c r="F47" s="627" t="str">
        <f>CONCATENATE("+ ",ROUND((E$46*0.08),2))</f>
        <v>+ 12.77</v>
      </c>
      <c r="G47" s="645"/>
      <c r="H47" s="627" t="str">
        <f>CONCATENATE("+ ",ROUND((G$46*0.08),2))</f>
        <v>+ 12.57</v>
      </c>
    </row>
    <row r="48" spans="1:8" ht="15" thickBot="1">
      <c r="B48" s="646" t="s">
        <v>449</v>
      </c>
      <c r="C48" s="697" t="str">
        <f>D47</f>
        <v>+ 12.55</v>
      </c>
      <c r="D48" s="632"/>
      <c r="E48" s="631" t="str">
        <f>F47</f>
        <v>+ 12.77</v>
      </c>
      <c r="F48" s="632"/>
      <c r="G48" s="631" t="str">
        <f>H47</f>
        <v>+ 12.57</v>
      </c>
      <c r="H48" s="632"/>
    </row>
    <row r="49" spans="1:9" s="392" customFormat="1" ht="15" thickBot="1">
      <c r="B49" s="647" t="s">
        <v>452</v>
      </c>
      <c r="C49" s="648">
        <f>C$46+C$48+C$44+C$45</f>
        <v>169.46734177700642</v>
      </c>
      <c r="D49" s="649">
        <f>D38+D47</f>
        <v>0.69000000000000128</v>
      </c>
      <c r="E49" s="648">
        <f>E$46+E$48+E$44+E$45</f>
        <v>172.4225405445107</v>
      </c>
      <c r="F49" s="649">
        <f>F38+F47</f>
        <v>0.69999999999999929</v>
      </c>
      <c r="G49" s="650">
        <f>G$46+G$48+G$44+G$45</f>
        <v>169.63371275731762</v>
      </c>
      <c r="H49" s="651">
        <f>H38+H47</f>
        <v>0.70000000000000107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 ht="15" thickBot="1">
      <c r="C59" s="888"/>
      <c r="D59" s="888"/>
      <c r="E59" s="888"/>
    </row>
    <row r="60" spans="1:9" ht="15" thickBot="1">
      <c r="C60" s="668" t="s">
        <v>0</v>
      </c>
      <c r="D60" s="669" t="s">
        <v>1</v>
      </c>
      <c r="E60" s="670" t="s">
        <v>155</v>
      </c>
      <c r="G60" s="162"/>
      <c r="H60" s="162"/>
      <c r="I60" s="162"/>
    </row>
    <row r="61" spans="1:9" ht="15" thickBot="1">
      <c r="B61" s="671" t="str">
        <f>Kisumu!C4</f>
        <v>March 15 - April 14, 2023</v>
      </c>
      <c r="C61" s="672">
        <f>C49</f>
        <v>169.46734177700642</v>
      </c>
      <c r="D61" s="673">
        <f>E49</f>
        <v>172.4225405445107</v>
      </c>
      <c r="E61" s="674">
        <f>G49</f>
        <v>169.63371275731762</v>
      </c>
    </row>
    <row r="62" spans="1:9" ht="15" thickBot="1">
      <c r="C62" s="675"/>
      <c r="D62" s="676"/>
      <c r="E62" s="677"/>
    </row>
    <row r="63" spans="1:9" ht="15" thickBot="1">
      <c r="B63" s="678" t="str">
        <f>Kisumu!B27</f>
        <v>February 15 - March 14 2023</v>
      </c>
      <c r="C63" s="679">
        <v>165.69717150805715</v>
      </c>
      <c r="D63" s="679">
        <v>172.79876587829804</v>
      </c>
      <c r="E63" s="679">
        <v>165.56005905939202</v>
      </c>
    </row>
    <row r="64" spans="1:9" ht="15" thickBot="1">
      <c r="B64" s="392"/>
      <c r="C64" s="675"/>
      <c r="D64" s="676"/>
      <c r="E64" s="677"/>
    </row>
    <row r="65" spans="2:5" ht="15" thickBot="1">
      <c r="B65" s="682" t="s">
        <v>474</v>
      </c>
      <c r="C65" s="683">
        <f>C61-C63</f>
        <v>3.770170268949272</v>
      </c>
      <c r="D65" s="683">
        <f>D61-D63</f>
        <v>-0.37622533378734602</v>
      </c>
      <c r="E65" s="684">
        <f>E61-E63</f>
        <v>4.0736536979256073</v>
      </c>
    </row>
    <row r="66" spans="2:5" ht="15" thickBot="1">
      <c r="B66" s="392"/>
      <c r="C66" s="685"/>
      <c r="D66" s="686"/>
      <c r="E66" s="687"/>
    </row>
    <row r="67" spans="2:5" ht="15" thickBot="1">
      <c r="B67" s="682" t="s">
        <v>475</v>
      </c>
      <c r="C67" s="1034">
        <f>C65/C63</f>
        <v>2.275337734878561E-2</v>
      </c>
      <c r="D67" s="1034">
        <f t="shared" ref="D67:E67" si="0">D65/D63</f>
        <v>-2.1772454905859746E-3</v>
      </c>
      <c r="E67" s="1034">
        <f t="shared" si="0"/>
        <v>2.4605292611451952E-2</v>
      </c>
    </row>
    <row r="68" spans="2:5">
      <c r="B68" s="953"/>
      <c r="C68" s="954"/>
      <c r="D68" s="954"/>
      <c r="E68" s="954"/>
    </row>
    <row r="70" spans="2:5">
      <c r="C70" s="162"/>
      <c r="D70" s="162"/>
      <c r="E70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1-000000000000}">
  <sheetPr codeName="Sheet353">
    <tabColor rgb="FF00CC00"/>
  </sheetPr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90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4"/>
      <c r="F10" s="274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Kisumu!D21</f>
        <v>8.19</v>
      </c>
      <c r="E21" s="168">
        <f>Kisumu!E21</f>
        <v>8.19</v>
      </c>
      <c r="F21" s="168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0.67649946987897858</v>
      </c>
      <c r="E23" s="283">
        <f t="shared" ref="E23:F23" si="0">$G$23*$G$8</f>
        <v>0.67649946987897858</v>
      </c>
      <c r="F23" s="283">
        <f t="shared" si="0"/>
        <v>0.67649946987897858</v>
      </c>
      <c r="G23" s="284">
        <f>'Delivery &gt;40km-Sept 2013'!E24*I23/1000</f>
        <v>0.58318919817153325</v>
      </c>
      <c r="H23" s="262" t="s">
        <v>130</v>
      </c>
      <c r="I23" s="908">
        <v>48.7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157.76761651978381</v>
      </c>
      <c r="E25" s="285">
        <f>E19+E21+E23</f>
        <v>160.49119418418678</v>
      </c>
      <c r="F25" s="285">
        <f>F19+F21+F23</f>
        <v>157.92896069810436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67594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67594" r:id="rId4"/>
      </mc:Fallback>
    </mc:AlternateContent>
  </oleObjects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1-000000000000}">
  <sheetPr codeName="Sheet354">
    <tabColor rgb="FF0070C0"/>
  </sheetPr>
  <dimension ref="A2:M68"/>
  <sheetViews>
    <sheetView topLeftCell="A25" workbookViewId="0">
      <selection activeCell="F61" sqref="F6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Kakamega!G23</f>
        <v>0.58318919817153325</v>
      </c>
      <c r="D40" s="943"/>
      <c r="E40" s="880">
        <f>C40</f>
        <v>0.58318919817153325</v>
      </c>
      <c r="F40" s="943"/>
      <c r="G40" s="613">
        <f>C40</f>
        <v>0.58318919817153325</v>
      </c>
      <c r="H40" s="943"/>
    </row>
    <row r="41" spans="1:8" s="392" customFormat="1">
      <c r="A41" s="605"/>
      <c r="B41" s="617" t="s">
        <v>446</v>
      </c>
      <c r="C41" s="618">
        <f>SUM(C40)</f>
        <v>0.58318919817153325</v>
      </c>
      <c r="D41" s="618"/>
      <c r="E41" s="626">
        <f>SUM(E40)</f>
        <v>0.58318919817153325</v>
      </c>
      <c r="F41" s="944"/>
      <c r="G41" s="618">
        <f>SUM(G40)</f>
        <v>0.58318919817153325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168.82293904716514</v>
      </c>
      <c r="D43" s="610"/>
      <c r="E43" s="613">
        <f>E$37+E$42+E$41</f>
        <v>171.76813781466939</v>
      </c>
      <c r="F43" s="610"/>
      <c r="G43" s="236">
        <f>G$37+G$42+G$41</f>
        <v>168.97931002747634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156.96293904716515</v>
      </c>
      <c r="D46" s="610"/>
      <c r="E46" s="641">
        <f>E$43-E44-E45+F$38</f>
        <v>159.69813781466939</v>
      </c>
      <c r="F46" s="610"/>
      <c r="G46" s="642">
        <f>G$43-G44-G45+H$38</f>
        <v>157.10931002747634</v>
      </c>
      <c r="H46" s="573"/>
    </row>
    <row r="47" spans="1:8">
      <c r="B47" s="503" t="s">
        <v>445</v>
      </c>
      <c r="C47" s="644"/>
      <c r="D47" s="696" t="str">
        <f>CONCATENATE("+ ",ROUND((C$46*0.08),2))</f>
        <v>+ 12.56</v>
      </c>
      <c r="E47" s="644"/>
      <c r="F47" s="627" t="str">
        <f>CONCATENATE("+ ",ROUND((E$46*0.08),2))</f>
        <v>+ 12.78</v>
      </c>
      <c r="G47" s="645"/>
      <c r="H47" s="627" t="str">
        <f>CONCATENATE("+ ",ROUND((G$46*0.08),2))</f>
        <v>+ 12.57</v>
      </c>
    </row>
    <row r="48" spans="1:8" ht="15" thickBot="1">
      <c r="B48" s="646" t="s">
        <v>449</v>
      </c>
      <c r="C48" s="697" t="str">
        <f>D47</f>
        <v>+ 12.56</v>
      </c>
      <c r="D48" s="632"/>
      <c r="E48" s="631" t="str">
        <f>F47</f>
        <v>+ 12.78</v>
      </c>
      <c r="F48" s="632"/>
      <c r="G48" s="631" t="str">
        <f>H47</f>
        <v>+ 12.57</v>
      </c>
      <c r="H48" s="632"/>
    </row>
    <row r="49" spans="1:9" s="392" customFormat="1" ht="15" thickBot="1">
      <c r="B49" s="647" t="s">
        <v>452</v>
      </c>
      <c r="C49" s="648">
        <f>C$46+C$48+C$44+C$45</f>
        <v>169.52293904716515</v>
      </c>
      <c r="D49" s="649">
        <f>D38+D47</f>
        <v>0.70000000000000107</v>
      </c>
      <c r="E49" s="648">
        <f>E$46+E$48+E$44+E$45</f>
        <v>172.4781378146694</v>
      </c>
      <c r="F49" s="649">
        <f>F38+F47</f>
        <v>0.70999999999999908</v>
      </c>
      <c r="G49" s="650">
        <f>G$46+G$48+G$44+G$45</f>
        <v>169.67931002747633</v>
      </c>
      <c r="H49" s="651">
        <f>H38+H47</f>
        <v>0.70000000000000107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1-000000000000}">
  <sheetPr codeName="Sheet355">
    <tabColor rgb="FF00CC00"/>
  </sheetPr>
  <dimension ref="B2:K31"/>
  <sheetViews>
    <sheetView topLeftCell="A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640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4"/>
      <c r="F10" s="274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Kisumu!D21</f>
        <v>8.19</v>
      </c>
      <c r="E21" s="168">
        <f>Kisumu!E21</f>
        <v>8.19</v>
      </c>
      <c r="F21" s="168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0.97238116820387033</v>
      </c>
      <c r="E23" s="283">
        <f t="shared" ref="E23:F23" si="0">$G$23*$G$8</f>
        <v>0.97238116820387033</v>
      </c>
      <c r="F23" s="283">
        <f t="shared" si="0"/>
        <v>0.97238116820387033</v>
      </c>
      <c r="G23" s="284">
        <f>'Delivery &gt;40km-Sept 2013'!E24*I23/1000</f>
        <v>0.83825962776195728</v>
      </c>
      <c r="H23" s="262" t="s">
        <v>130</v>
      </c>
      <c r="I23" s="908">
        <v>70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158.06349821810869</v>
      </c>
      <c r="E25" s="285">
        <f>E19+E21+E23</f>
        <v>160.78707588251166</v>
      </c>
      <c r="F25" s="285">
        <f>F19+F21+F23</f>
        <v>158.22484239642924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1-000000000000}">
  <sheetPr codeName="Sheet356">
    <tabColor rgb="FF0000FF"/>
  </sheetPr>
  <dimension ref="A2:M68"/>
  <sheetViews>
    <sheetView topLeftCell="A19" workbookViewId="0">
      <selection activeCell="F61" sqref="F6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Mumias!G23</f>
        <v>0.83825962776195728</v>
      </c>
      <c r="D40" s="943"/>
      <c r="E40" s="880">
        <f>C40</f>
        <v>0.83825962776195728</v>
      </c>
      <c r="F40" s="943"/>
      <c r="G40" s="613">
        <f>C40</f>
        <v>0.83825962776195728</v>
      </c>
      <c r="H40" s="943"/>
    </row>
    <row r="41" spans="1:8" s="392" customFormat="1">
      <c r="A41" s="605"/>
      <c r="B41" s="617" t="s">
        <v>446</v>
      </c>
      <c r="C41" s="618">
        <f>SUM(C40)</f>
        <v>0.83825962776195728</v>
      </c>
      <c r="D41" s="618"/>
      <c r="E41" s="626">
        <f>SUM(E40)</f>
        <v>0.83825962776195728</v>
      </c>
      <c r="F41" s="944"/>
      <c r="G41" s="618">
        <f>SUM(G40)</f>
        <v>0.83825962776195728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169.07800947675557</v>
      </c>
      <c r="D43" s="610"/>
      <c r="E43" s="613">
        <f>E$37+E$42+E$41</f>
        <v>172.02320824425982</v>
      </c>
      <c r="F43" s="610"/>
      <c r="G43" s="236">
        <f>G$37+G$42+G$41</f>
        <v>169.23438045706678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157.21800947675558</v>
      </c>
      <c r="D46" s="610"/>
      <c r="E46" s="641">
        <f>E$43-E44-E45+F$38</f>
        <v>159.95320824425983</v>
      </c>
      <c r="F46" s="610"/>
      <c r="G46" s="642">
        <f>G$43-G44-G45+H$38</f>
        <v>157.36438045706677</v>
      </c>
      <c r="H46" s="573"/>
    </row>
    <row r="47" spans="1:8">
      <c r="B47" s="503" t="s">
        <v>445</v>
      </c>
      <c r="C47" s="644"/>
      <c r="D47" s="696" t="str">
        <f>CONCATENATE("+ ",ROUND((C$46*0.08),2))</f>
        <v>+ 12.58</v>
      </c>
      <c r="E47" s="644"/>
      <c r="F47" s="627" t="str">
        <f>CONCATENATE("+ ",ROUND((E$46*0.08),2))</f>
        <v>+ 12.8</v>
      </c>
      <c r="G47" s="645"/>
      <c r="H47" s="627" t="str">
        <f>CONCATENATE("+ ",ROUND((G$46*0.08),2))</f>
        <v>+ 12.59</v>
      </c>
    </row>
    <row r="48" spans="1:8" ht="15" thickBot="1">
      <c r="B48" s="646" t="s">
        <v>449</v>
      </c>
      <c r="C48" s="697" t="str">
        <f>D47</f>
        <v>+ 12.58</v>
      </c>
      <c r="D48" s="632"/>
      <c r="E48" s="631" t="str">
        <f>F47</f>
        <v>+ 12.8</v>
      </c>
      <c r="F48" s="632"/>
      <c r="G48" s="631" t="str">
        <f>H47</f>
        <v>+ 12.59</v>
      </c>
      <c r="H48" s="632"/>
    </row>
    <row r="49" spans="1:9" s="392" customFormat="1" ht="15" thickBot="1">
      <c r="B49" s="647" t="s">
        <v>452</v>
      </c>
      <c r="C49" s="648">
        <f>C$46+C$48+C$44+C$45</f>
        <v>169.7980094767556</v>
      </c>
      <c r="D49" s="649">
        <f>D38+D47</f>
        <v>0.72000000000000064</v>
      </c>
      <c r="E49" s="648">
        <f>E$46+E$48+E$44+E$45</f>
        <v>172.75320824425984</v>
      </c>
      <c r="F49" s="649">
        <f>F38+F47</f>
        <v>0.73000000000000043</v>
      </c>
      <c r="G49" s="650">
        <f>G$46+G$48+G$44+G$45</f>
        <v>169.95438045706678</v>
      </c>
      <c r="H49" s="651">
        <f>H38+H47</f>
        <v>0.72000000000000064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1-000000000000}">
  <sheetPr codeName="Sheet357">
    <tabColor rgb="FF00CC00"/>
  </sheetPr>
  <dimension ref="B2:K31"/>
  <sheetViews>
    <sheetView topLeftCell="A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132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4"/>
      <c r="F10" s="274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Kisumu!D21</f>
        <v>8.19</v>
      </c>
      <c r="E21" s="168">
        <f>Kisumu!E21</f>
        <v>8.19</v>
      </c>
      <c r="F21" s="168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0.98071586393133192</v>
      </c>
      <c r="E23" s="283">
        <f t="shared" ref="E23:F23" si="0">$G$23*$G$8</f>
        <v>0.98071586393133192</v>
      </c>
      <c r="F23" s="283">
        <f t="shared" si="0"/>
        <v>0.98071586393133192</v>
      </c>
      <c r="G23" s="284">
        <f>'Delivery &gt;40km-Sept 2013'!E24*I23/1000</f>
        <v>0.84544471028563106</v>
      </c>
      <c r="H23" s="262" t="s">
        <v>130</v>
      </c>
      <c r="I23" s="908">
        <v>70.599999999999994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158.07183291383615</v>
      </c>
      <c r="E25" s="285">
        <f>E19+E21+E23</f>
        <v>160.79541057823911</v>
      </c>
      <c r="F25" s="285">
        <f>F19+F21+F23</f>
        <v>158.23317709215669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5482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105482" r:id="rId4"/>
      </mc:Fallback>
    </mc:AlternateContent>
  </oleObjects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1-000000000000}">
  <sheetPr codeName="Sheet358">
    <tabColor rgb="FF0070C0"/>
  </sheetPr>
  <dimension ref="A2:M68"/>
  <sheetViews>
    <sheetView topLeftCell="A19" workbookViewId="0">
      <selection activeCell="E45" sqref="E45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Siaya!G23</f>
        <v>0.84544471028563106</v>
      </c>
      <c r="D40" s="943"/>
      <c r="E40" s="880">
        <f>C40</f>
        <v>0.84544471028563106</v>
      </c>
      <c r="F40" s="943"/>
      <c r="G40" s="613">
        <f>C40</f>
        <v>0.84544471028563106</v>
      </c>
      <c r="H40" s="943"/>
    </row>
    <row r="41" spans="1:8" s="392" customFormat="1">
      <c r="A41" s="605"/>
      <c r="B41" s="617" t="s">
        <v>446</v>
      </c>
      <c r="C41" s="618">
        <f>SUM(C40)</f>
        <v>0.84544471028563106</v>
      </c>
      <c r="D41" s="618"/>
      <c r="E41" s="626">
        <f>SUM(E40)</f>
        <v>0.84544471028563106</v>
      </c>
      <c r="F41" s="944"/>
      <c r="G41" s="618">
        <f>SUM(G40)</f>
        <v>0.84544471028563106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169.08519455927922</v>
      </c>
      <c r="D43" s="610"/>
      <c r="E43" s="613">
        <f>E$37+E$42+E$41</f>
        <v>172.03039332678347</v>
      </c>
      <c r="F43" s="610"/>
      <c r="G43" s="236">
        <f>G$37+G$42+G$41</f>
        <v>169.24156553959043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157.2251945592792</v>
      </c>
      <c r="D46" s="610"/>
      <c r="E46" s="641">
        <f>E$43-E44-E45+F$38</f>
        <v>159.96039332678347</v>
      </c>
      <c r="F46" s="610"/>
      <c r="G46" s="642">
        <f>G$43-G44-G45+H$38</f>
        <v>157.37156553959042</v>
      </c>
      <c r="H46" s="573"/>
    </row>
    <row r="47" spans="1:8">
      <c r="B47" s="503" t="s">
        <v>445</v>
      </c>
      <c r="C47" s="644"/>
      <c r="D47" s="696" t="str">
        <f>CONCATENATE("+ ",ROUND((C$46*0.08),2))</f>
        <v>+ 12.58</v>
      </c>
      <c r="E47" s="644"/>
      <c r="F47" s="627" t="str">
        <f>CONCATENATE("+ ",ROUND((E$46*0.08),2))</f>
        <v>+ 12.8</v>
      </c>
      <c r="G47" s="645"/>
      <c r="H47" s="627" t="str">
        <f>CONCATENATE("+ ",ROUND((G$46*0.08),2))</f>
        <v>+ 12.59</v>
      </c>
    </row>
    <row r="48" spans="1:8" ht="15" thickBot="1">
      <c r="B48" s="646" t="s">
        <v>449</v>
      </c>
      <c r="C48" s="697" t="str">
        <f>D47</f>
        <v>+ 12.58</v>
      </c>
      <c r="D48" s="632"/>
      <c r="E48" s="631" t="str">
        <f>F47</f>
        <v>+ 12.8</v>
      </c>
      <c r="F48" s="632"/>
      <c r="G48" s="631" t="str">
        <f>H47</f>
        <v>+ 12.59</v>
      </c>
      <c r="H48" s="632"/>
    </row>
    <row r="49" spans="1:9" s="392" customFormat="1" ht="15" thickBot="1">
      <c r="B49" s="647" t="s">
        <v>452</v>
      </c>
      <c r="C49" s="648">
        <f>C$46+C$48+C$44+C$45</f>
        <v>169.80519455927922</v>
      </c>
      <c r="D49" s="649">
        <f>D38+D47</f>
        <v>0.72000000000000064</v>
      </c>
      <c r="E49" s="648">
        <f>E$46+E$48+E$44+E$45</f>
        <v>172.76039332678349</v>
      </c>
      <c r="F49" s="649">
        <f>F38+F47</f>
        <v>0.73000000000000043</v>
      </c>
      <c r="G49" s="650">
        <f>G$46+G$48+G$44+G$45</f>
        <v>169.96156553959042</v>
      </c>
      <c r="H49" s="651">
        <f>H38+H47</f>
        <v>0.72000000000000064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1-000000000000}">
  <sheetPr codeName="Sheet359">
    <tabColor rgb="FF00CC00"/>
  </sheetPr>
  <dimension ref="B2:K31"/>
  <sheetViews>
    <sheetView topLeftCell="B6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89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Kisumu!D21</f>
        <v>8.19</v>
      </c>
      <c r="E21" s="168">
        <f>Kisumu!E21</f>
        <v>8.19</v>
      </c>
      <c r="F21" s="168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1.1696356337537983</v>
      </c>
      <c r="E23" s="283">
        <f t="shared" ref="E23:F23" si="0">$G$23*$G$8</f>
        <v>1.1696356337537983</v>
      </c>
      <c r="F23" s="283">
        <f t="shared" si="0"/>
        <v>1.1696356337537983</v>
      </c>
      <c r="G23" s="284">
        <f>'Delivery &gt;40km-Sept 2013'!E24*I23/1000</f>
        <v>1.00830658082224</v>
      </c>
      <c r="H23" s="262" t="s">
        <v>130</v>
      </c>
      <c r="I23" s="908">
        <v>84.2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158.26075268365861</v>
      </c>
      <c r="E25" s="285">
        <f>E19+E21+E23</f>
        <v>160.98433034806158</v>
      </c>
      <c r="F25" s="285">
        <f>F19+F21+F23</f>
        <v>158.42209686197916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71690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71690" r:id="rId4"/>
      </mc:Fallback>
    </mc:AlternateContent>
  </oleObjects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1-000000000000}">
  <sheetPr codeName="Sheet360">
    <tabColor rgb="FF0070C0"/>
  </sheetPr>
  <dimension ref="A2:M68"/>
  <sheetViews>
    <sheetView topLeftCell="A20" workbookViewId="0">
      <selection activeCell="C77" sqref="C77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Kericho!G23</f>
        <v>1.00830658082224</v>
      </c>
      <c r="D40" s="943"/>
      <c r="E40" s="880">
        <f>C40</f>
        <v>1.00830658082224</v>
      </c>
      <c r="F40" s="943"/>
      <c r="G40" s="613">
        <f>C40</f>
        <v>1.00830658082224</v>
      </c>
      <c r="H40" s="943"/>
    </row>
    <row r="41" spans="1:8" s="392" customFormat="1">
      <c r="A41" s="605"/>
      <c r="B41" s="617" t="s">
        <v>446</v>
      </c>
      <c r="C41" s="618">
        <f>SUM(C40)</f>
        <v>1.00830658082224</v>
      </c>
      <c r="D41" s="618"/>
      <c r="E41" s="626">
        <f>SUM(E40)</f>
        <v>1.00830658082224</v>
      </c>
      <c r="F41" s="944"/>
      <c r="G41" s="618">
        <f>SUM(G40)</f>
        <v>1.00830658082224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169.24805642981585</v>
      </c>
      <c r="D43" s="610"/>
      <c r="E43" s="613">
        <f>E$37+E$42+E$41</f>
        <v>172.1932551973201</v>
      </c>
      <c r="F43" s="610"/>
      <c r="G43" s="236">
        <f>G$37+G$42+G$41</f>
        <v>169.40442741012706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157.38805642981583</v>
      </c>
      <c r="D46" s="610"/>
      <c r="E46" s="641">
        <f>E$43-E44-E45+F$38</f>
        <v>160.12325519732011</v>
      </c>
      <c r="F46" s="610"/>
      <c r="G46" s="642">
        <f>G$43-G44-G45+H$38</f>
        <v>157.53442741012705</v>
      </c>
      <c r="H46" s="573"/>
    </row>
    <row r="47" spans="1:8">
      <c r="B47" s="503" t="s">
        <v>445</v>
      </c>
      <c r="C47" s="644"/>
      <c r="D47" s="696" t="str">
        <f>CONCATENATE("+ ",ROUND((C$46*0.08),2))</f>
        <v>+ 12.59</v>
      </c>
      <c r="E47" s="644"/>
      <c r="F47" s="627" t="str">
        <f>CONCATENATE("+ ",ROUND((E$46*0.08),2))</f>
        <v>+ 12.81</v>
      </c>
      <c r="G47" s="645"/>
      <c r="H47" s="627" t="str">
        <f>CONCATENATE("+ ",ROUND((G$46*0.08),2))</f>
        <v>+ 12.6</v>
      </c>
    </row>
    <row r="48" spans="1:8" ht="15" thickBot="1">
      <c r="B48" s="646" t="s">
        <v>449</v>
      </c>
      <c r="C48" s="697" t="str">
        <f>D47</f>
        <v>+ 12.59</v>
      </c>
      <c r="D48" s="632"/>
      <c r="E48" s="631" t="str">
        <f>F47</f>
        <v>+ 12.81</v>
      </c>
      <c r="F48" s="632"/>
      <c r="G48" s="631" t="str">
        <f>H47</f>
        <v>+ 12.6</v>
      </c>
      <c r="H48" s="632"/>
    </row>
    <row r="49" spans="1:9" s="392" customFormat="1" ht="15" thickBot="1">
      <c r="B49" s="647" t="s">
        <v>452</v>
      </c>
      <c r="C49" s="648">
        <f>C$46+C$48+C$44+C$45</f>
        <v>169.97805642981584</v>
      </c>
      <c r="D49" s="649">
        <f>D38+D47</f>
        <v>0.73000000000000043</v>
      </c>
      <c r="E49" s="648">
        <f>E$46+E$48+E$44+E$45</f>
        <v>172.93325519732011</v>
      </c>
      <c r="F49" s="649">
        <f>F38+F47</f>
        <v>0.74000000000000021</v>
      </c>
      <c r="G49" s="650">
        <f>G$46+G$48+G$44+G$45</f>
        <v>170.13442741012705</v>
      </c>
      <c r="H49" s="651">
        <f>H38+H47</f>
        <v>0.73000000000000043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1-000000000000}">
  <sheetPr codeName="Sheet361">
    <tabColor rgb="FF00CC00"/>
  </sheetPr>
  <dimension ref="B2:K31"/>
  <sheetViews>
    <sheetView topLeftCell="C6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135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Kisumu!D21</f>
        <v>8.19</v>
      </c>
      <c r="E21" s="168">
        <f>Kisumu!E21</f>
        <v>8.19</v>
      </c>
      <c r="F21" s="168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1.2363131995734926</v>
      </c>
      <c r="E23" s="283">
        <f t="shared" ref="E23:F23" si="0">$G$23*$G$8</f>
        <v>1.2363131995734926</v>
      </c>
      <c r="F23" s="283">
        <f t="shared" si="0"/>
        <v>1.2363131995734926</v>
      </c>
      <c r="G23" s="284">
        <f>'Delivery &gt;40km-Sept 2013'!E24*I23/1000</f>
        <v>1.0657872410116316</v>
      </c>
      <c r="H23" s="262" t="s">
        <v>130</v>
      </c>
      <c r="I23" s="259">
        <v>89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158.32743024947831</v>
      </c>
      <c r="E25" s="285">
        <f>E19+E21+E23</f>
        <v>161.05100791388128</v>
      </c>
      <c r="F25" s="285">
        <f>F19+F21+F23</f>
        <v>158.48877442779886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38250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138250" r:id="rId4"/>
      </mc:Fallback>
    </mc:AlternateContent>
  </oleObjects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1-000000000000}">
  <sheetPr codeName="Sheet362">
    <tabColor rgb="FF0070C0"/>
  </sheetPr>
  <dimension ref="A2:M68"/>
  <sheetViews>
    <sheetView topLeftCell="A22" workbookViewId="0">
      <selection activeCell="E59" sqref="E59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Nyamira!G23</f>
        <v>1.0657872410116316</v>
      </c>
      <c r="D40" s="943"/>
      <c r="E40" s="880">
        <f>C40</f>
        <v>1.0657872410116316</v>
      </c>
      <c r="F40" s="943"/>
      <c r="G40" s="613">
        <f>C40</f>
        <v>1.0657872410116316</v>
      </c>
      <c r="H40" s="943"/>
    </row>
    <row r="41" spans="1:8" s="392" customFormat="1">
      <c r="A41" s="605"/>
      <c r="B41" s="617" t="s">
        <v>446</v>
      </c>
      <c r="C41" s="618">
        <f>SUM(C40)</f>
        <v>1.0657872410116316</v>
      </c>
      <c r="D41" s="618"/>
      <c r="E41" s="626">
        <f>SUM(E40)</f>
        <v>1.0657872410116316</v>
      </c>
      <c r="F41" s="944"/>
      <c r="G41" s="618">
        <f>SUM(G40)</f>
        <v>1.0657872410116316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169.30553709000523</v>
      </c>
      <c r="D43" s="610"/>
      <c r="E43" s="613">
        <f>E$37+E$42+E$41</f>
        <v>172.25073585750948</v>
      </c>
      <c r="F43" s="610"/>
      <c r="G43" s="236">
        <f>G$37+G$42+G$41</f>
        <v>169.46190807031644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157.44553709000525</v>
      </c>
      <c r="D46" s="610"/>
      <c r="E46" s="641">
        <f>E$43-E44-E45+F$38</f>
        <v>160.18073585750949</v>
      </c>
      <c r="F46" s="610"/>
      <c r="G46" s="642">
        <f>G$43-G44-G45+H$38</f>
        <v>157.59190807031644</v>
      </c>
      <c r="H46" s="573"/>
    </row>
    <row r="47" spans="1:8">
      <c r="B47" s="503" t="s">
        <v>445</v>
      </c>
      <c r="C47" s="644"/>
      <c r="D47" s="696" t="str">
        <f>CONCATENATE("+ ",ROUND((C$46*0.08),2))</f>
        <v>+ 12.6</v>
      </c>
      <c r="E47" s="644"/>
      <c r="F47" s="627" t="str">
        <f>CONCATENATE("+ ",ROUND((E$46*0.08),2))</f>
        <v>+ 12.81</v>
      </c>
      <c r="G47" s="645"/>
      <c r="H47" s="627" t="str">
        <f>CONCATENATE("+ ",ROUND((G$46*0.08),2))</f>
        <v>+ 12.61</v>
      </c>
    </row>
    <row r="48" spans="1:8" ht="15" thickBot="1">
      <c r="B48" s="646" t="s">
        <v>449</v>
      </c>
      <c r="C48" s="697" t="str">
        <f>D47</f>
        <v>+ 12.6</v>
      </c>
      <c r="D48" s="632"/>
      <c r="E48" s="631" t="str">
        <f>F47</f>
        <v>+ 12.81</v>
      </c>
      <c r="F48" s="632"/>
      <c r="G48" s="631" t="str">
        <f>H47</f>
        <v>+ 12.61</v>
      </c>
      <c r="H48" s="632"/>
    </row>
    <row r="49" spans="1:9" s="392" customFormat="1" ht="15" thickBot="1">
      <c r="B49" s="647" t="s">
        <v>452</v>
      </c>
      <c r="C49" s="648">
        <f>C$46+C$48+C$44+C$45</f>
        <v>170.04553709000524</v>
      </c>
      <c r="D49" s="649">
        <f>D38+D47</f>
        <v>0.74000000000000021</v>
      </c>
      <c r="E49" s="648">
        <f>E$46+E$48+E$44+E$45</f>
        <v>172.99073585750949</v>
      </c>
      <c r="F49" s="649">
        <f>F38+F47</f>
        <v>0.74000000000000021</v>
      </c>
      <c r="G49" s="650">
        <f>G$46+G$48+G$44+G$45</f>
        <v>170.20190807031645</v>
      </c>
      <c r="H49" s="651">
        <f>H38+H47</f>
        <v>0.74000000000000021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1-000000000000}">
  <sheetPr codeName="Sheet363">
    <tabColor rgb="FF00CC00"/>
  </sheetPr>
  <dimension ref="B2:K31"/>
  <sheetViews>
    <sheetView topLeftCell="A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193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Kisumu!D21</f>
        <v>8.19</v>
      </c>
      <c r="E21" s="168">
        <f>Kisumu!E21</f>
        <v>8.19</v>
      </c>
      <c r="F21" s="168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0.7334532240166336</v>
      </c>
      <c r="E23" s="283">
        <f t="shared" ref="E23:F23" si="0">$G$23*$G$8</f>
        <v>0.7334532240166336</v>
      </c>
      <c r="F23" s="283">
        <f t="shared" si="0"/>
        <v>0.7334532240166336</v>
      </c>
      <c r="G23" s="284">
        <f>'Delivery &gt;40km-Sept 2013'!E24*I23/1000</f>
        <v>0.63228726208330488</v>
      </c>
      <c r="H23" s="262" t="s">
        <v>130</v>
      </c>
      <c r="I23" s="908">
        <v>52.8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157.82457027392147</v>
      </c>
      <c r="E25" s="285">
        <f>E19+E21+E23</f>
        <v>160.54814793832443</v>
      </c>
      <c r="F25" s="285">
        <f>F19+F21+F23</f>
        <v>157.98591445224201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329738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329738" r:id="rId4"/>
      </mc:Fallback>
    </mc:AlternateContent>
  </oleObjects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1-000000000000}">
  <sheetPr codeName="Sheet364">
    <tabColor rgb="FF0070C0"/>
  </sheetPr>
  <dimension ref="A2:M68"/>
  <sheetViews>
    <sheetView topLeftCell="A31" workbookViewId="0">
      <selection activeCell="E44" sqref="E44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Sondu!G23</f>
        <v>0.63228726208330488</v>
      </c>
      <c r="D40" s="943"/>
      <c r="E40" s="880">
        <f>C40</f>
        <v>0.63228726208330488</v>
      </c>
      <c r="F40" s="943"/>
      <c r="G40" s="613">
        <f>C40</f>
        <v>0.63228726208330488</v>
      </c>
      <c r="H40" s="943"/>
    </row>
    <row r="41" spans="1:8" s="392" customFormat="1">
      <c r="A41" s="605"/>
      <c r="B41" s="617" t="s">
        <v>446</v>
      </c>
      <c r="C41" s="618">
        <f>SUM(C40)</f>
        <v>0.63228726208330488</v>
      </c>
      <c r="D41" s="618"/>
      <c r="E41" s="626">
        <f>SUM(E40)</f>
        <v>0.63228726208330488</v>
      </c>
      <c r="F41" s="944"/>
      <c r="G41" s="618">
        <f>SUM(G40)</f>
        <v>0.63228726208330488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168.87203711107691</v>
      </c>
      <c r="D43" s="610"/>
      <c r="E43" s="613">
        <f>E$37+E$42+E$41</f>
        <v>171.81723587858116</v>
      </c>
      <c r="F43" s="610"/>
      <c r="G43" s="236">
        <f>G$37+G$42+G$41</f>
        <v>169.02840809138812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157.01203711107689</v>
      </c>
      <c r="D46" s="610"/>
      <c r="E46" s="641">
        <f>E$43-E44-E45+F$38</f>
        <v>159.74723587858117</v>
      </c>
      <c r="F46" s="610"/>
      <c r="G46" s="642">
        <f>G$43-G44-G45+H$38</f>
        <v>157.15840809138811</v>
      </c>
      <c r="H46" s="573"/>
    </row>
    <row r="47" spans="1:8">
      <c r="B47" s="503" t="s">
        <v>445</v>
      </c>
      <c r="C47" s="644"/>
      <c r="D47" s="696" t="str">
        <f>CONCATENATE("+ ",ROUND((C$46*0.08),2))</f>
        <v>+ 12.56</v>
      </c>
      <c r="E47" s="644"/>
      <c r="F47" s="627" t="str">
        <f>CONCATENATE("+ ",ROUND((E$46*0.08),2))</f>
        <v>+ 12.78</v>
      </c>
      <c r="G47" s="645"/>
      <c r="H47" s="627" t="str">
        <f>CONCATENATE("+ ",ROUND((G$46*0.08),2))</f>
        <v>+ 12.57</v>
      </c>
    </row>
    <row r="48" spans="1:8" ht="15" thickBot="1">
      <c r="B48" s="646" t="s">
        <v>449</v>
      </c>
      <c r="C48" s="697" t="str">
        <f>D47</f>
        <v>+ 12.56</v>
      </c>
      <c r="D48" s="632"/>
      <c r="E48" s="631" t="str">
        <f>F47</f>
        <v>+ 12.78</v>
      </c>
      <c r="F48" s="632"/>
      <c r="G48" s="631" t="str">
        <f>H47</f>
        <v>+ 12.57</v>
      </c>
      <c r="H48" s="632"/>
    </row>
    <row r="49" spans="1:9" s="392" customFormat="1" ht="15" thickBot="1">
      <c r="B49" s="647" t="s">
        <v>452</v>
      </c>
      <c r="C49" s="648">
        <f>C$46+C$48+C$44+C$45</f>
        <v>169.5720371110769</v>
      </c>
      <c r="D49" s="649">
        <f>D38+D47</f>
        <v>0.70000000000000107</v>
      </c>
      <c r="E49" s="648">
        <f>E$46+E$48+E$44+E$45</f>
        <v>172.52723587858117</v>
      </c>
      <c r="F49" s="649">
        <f>F38+F47</f>
        <v>0.70999999999999908</v>
      </c>
      <c r="G49" s="650">
        <f>G$46+G$48+G$44+G$45</f>
        <v>169.7284080913881</v>
      </c>
      <c r="H49" s="651">
        <f>H38+H47</f>
        <v>0.70000000000000107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1-000000000000}">
  <sheetPr codeName="Sheet365">
    <tabColor rgb="FF00CC00"/>
  </sheetPr>
  <dimension ref="B2:K31"/>
  <sheetViews>
    <sheetView topLeftCell="B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194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Kisumu!D21</f>
        <v>8.19</v>
      </c>
      <c r="E21" s="168">
        <f>Kisumu!E21</f>
        <v>8.19</v>
      </c>
      <c r="F21" s="168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1.2515934750738387</v>
      </c>
      <c r="E23" s="283">
        <f t="shared" ref="E23:F23" si="0">$G$23*$G$8</f>
        <v>1.2515934750738387</v>
      </c>
      <c r="F23" s="283">
        <f t="shared" si="0"/>
        <v>1.2515934750738387</v>
      </c>
      <c r="G23" s="284">
        <f>'Delivery &gt;40km-Sept 2013'!E24*I23/1000</f>
        <v>1.0789598923050334</v>
      </c>
      <c r="H23" s="262" t="s">
        <v>130</v>
      </c>
      <c r="I23" s="908">
        <v>90.1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158.34271052497866</v>
      </c>
      <c r="E25" s="285">
        <f>E19+E21+E23</f>
        <v>161.06628818938162</v>
      </c>
      <c r="F25" s="285">
        <f>F19+F21+F23</f>
        <v>158.5040547032992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330762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330762" r:id="rId4"/>
      </mc:Fallback>
    </mc:AlternateContent>
  </oleObjects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1-000000000000}">
  <sheetPr codeName="Sheet366">
    <tabColor rgb="FF0070C0"/>
  </sheetPr>
  <dimension ref="A2:M68"/>
  <sheetViews>
    <sheetView topLeftCell="A22" workbookViewId="0">
      <selection activeCell="D49" sqref="D49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Oyugis!G23</f>
        <v>1.0789598923050334</v>
      </c>
      <c r="D40" s="943"/>
      <c r="E40" s="880">
        <f>C40</f>
        <v>1.0789598923050334</v>
      </c>
      <c r="F40" s="943"/>
      <c r="G40" s="613">
        <f>C40</f>
        <v>1.0789598923050334</v>
      </c>
      <c r="H40" s="943"/>
    </row>
    <row r="41" spans="1:8" s="392" customFormat="1">
      <c r="A41" s="605"/>
      <c r="B41" s="617" t="s">
        <v>446</v>
      </c>
      <c r="C41" s="618">
        <f>SUM(C40)</f>
        <v>1.0789598923050334</v>
      </c>
      <c r="D41" s="618"/>
      <c r="E41" s="626">
        <f>SUM(E40)</f>
        <v>1.0789598923050334</v>
      </c>
      <c r="F41" s="944"/>
      <c r="G41" s="618">
        <f>SUM(G40)</f>
        <v>1.0789598923050334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169.31870974129862</v>
      </c>
      <c r="D43" s="610"/>
      <c r="E43" s="613">
        <f>E$37+E$42+E$41</f>
        <v>172.26390850880287</v>
      </c>
      <c r="F43" s="610"/>
      <c r="G43" s="236">
        <f>G$37+G$42+G$41</f>
        <v>169.47508072160983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157.45870974129861</v>
      </c>
      <c r="D46" s="610"/>
      <c r="E46" s="641">
        <f>E$43-E44-E45+F$38</f>
        <v>160.19390850880288</v>
      </c>
      <c r="F46" s="610"/>
      <c r="G46" s="642">
        <f>G$43-G44-G45+H$38</f>
        <v>157.60508072160982</v>
      </c>
      <c r="H46" s="573"/>
    </row>
    <row r="47" spans="1:8">
      <c r="B47" s="503" t="s">
        <v>445</v>
      </c>
      <c r="C47" s="644"/>
      <c r="D47" s="696" t="str">
        <f>CONCATENATE("+ ",ROUND((C$46*0.08),2))</f>
        <v>+ 12.6</v>
      </c>
      <c r="E47" s="644"/>
      <c r="F47" s="627" t="str">
        <f>CONCATENATE("+ ",ROUND((E$46*0.08),2))</f>
        <v>+ 12.82</v>
      </c>
      <c r="G47" s="645"/>
      <c r="H47" s="627" t="str">
        <f>CONCATENATE("+ ",ROUND((G$46*0.08),2))</f>
        <v>+ 12.61</v>
      </c>
    </row>
    <row r="48" spans="1:8" ht="15" thickBot="1">
      <c r="B48" s="646" t="s">
        <v>449</v>
      </c>
      <c r="C48" s="697" t="str">
        <f>D47</f>
        <v>+ 12.6</v>
      </c>
      <c r="D48" s="632"/>
      <c r="E48" s="631" t="str">
        <f>F47</f>
        <v>+ 12.82</v>
      </c>
      <c r="F48" s="632"/>
      <c r="G48" s="631" t="str">
        <f>H47</f>
        <v>+ 12.61</v>
      </c>
      <c r="H48" s="632"/>
    </row>
    <row r="49" spans="1:9" s="392" customFormat="1" ht="15" thickBot="1">
      <c r="B49" s="647" t="s">
        <v>452</v>
      </c>
      <c r="C49" s="648">
        <f>C$46+C$48+C$44+C$45</f>
        <v>170.0587097412986</v>
      </c>
      <c r="D49" s="649">
        <f>D38+D47</f>
        <v>0.74000000000000021</v>
      </c>
      <c r="E49" s="648">
        <f>E$46+E$48+E$44+E$45</f>
        <v>173.01390850880287</v>
      </c>
      <c r="F49" s="649">
        <f>F38+F47</f>
        <v>0.75</v>
      </c>
      <c r="G49" s="650">
        <f>G$46+G$48+G$44+G$45</f>
        <v>170.21508072160981</v>
      </c>
      <c r="H49" s="651">
        <f>H38+H47</f>
        <v>0.74000000000000021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1-000000000000}">
  <sheetPr codeName="Sheet367">
    <tabColor rgb="FF00CC00"/>
  </sheetPr>
  <dimension ref="B2:K31"/>
  <sheetViews>
    <sheetView topLeftCell="C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73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Kisumu!D21</f>
        <v>8.19</v>
      </c>
      <c r="E21" s="168">
        <f>Kisumu!E21</f>
        <v>8.19</v>
      </c>
      <c r="F21" s="168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1.5697010286719624</v>
      </c>
      <c r="E23" s="283">
        <f t="shared" ref="E23:F23" si="0">$G$23*$G$8</f>
        <v>1.5697010286719624</v>
      </c>
      <c r="F23" s="283">
        <f t="shared" si="0"/>
        <v>1.5697010286719624</v>
      </c>
      <c r="G23" s="284">
        <f>'Delivery &gt;40km-Sept 2013'!E24*I23/1000</f>
        <v>1.3531905419585883</v>
      </c>
      <c r="H23" s="262" t="s">
        <v>130</v>
      </c>
      <c r="I23" s="259">
        <v>113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158.6608180785768</v>
      </c>
      <c r="E25" s="285">
        <f>E19+E21+E23</f>
        <v>161.38439574297976</v>
      </c>
      <c r="F25" s="285">
        <f>F19+F21+F23</f>
        <v>158.82216225689734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48138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48138" r:id="rId4"/>
      </mc:Fallback>
    </mc:AlternateContent>
  </oleObjects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1-000000000000}">
  <sheetPr codeName="Sheet368">
    <tabColor rgb="FF0070C0"/>
  </sheetPr>
  <dimension ref="A2:M68"/>
  <sheetViews>
    <sheetView topLeftCell="A19" workbookViewId="0">
      <selection activeCell="D58" sqref="D58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Kisii!G23</f>
        <v>1.3531905419585883</v>
      </c>
      <c r="D40" s="943"/>
      <c r="E40" s="880">
        <f>C40</f>
        <v>1.3531905419585883</v>
      </c>
      <c r="F40" s="943"/>
      <c r="G40" s="613">
        <f>C40</f>
        <v>1.3531905419585883</v>
      </c>
      <c r="H40" s="943"/>
    </row>
    <row r="41" spans="1:8" s="392" customFormat="1">
      <c r="A41" s="605"/>
      <c r="B41" s="617" t="s">
        <v>446</v>
      </c>
      <c r="C41" s="618">
        <f>SUM(C40)</f>
        <v>1.3531905419585883</v>
      </c>
      <c r="D41" s="618"/>
      <c r="E41" s="626">
        <f>SUM(E40)</f>
        <v>1.3531905419585883</v>
      </c>
      <c r="F41" s="944"/>
      <c r="G41" s="618">
        <f>SUM(G40)</f>
        <v>1.3531905419585883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169.59294039095218</v>
      </c>
      <c r="D43" s="610"/>
      <c r="E43" s="613">
        <f>E$37+E$42+E$41</f>
        <v>172.53813915845643</v>
      </c>
      <c r="F43" s="610"/>
      <c r="G43" s="236">
        <f>G$37+G$42+G$41</f>
        <v>169.74931137126339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157.73294039095219</v>
      </c>
      <c r="D46" s="610"/>
      <c r="E46" s="641">
        <f>E$43-E44-E45+F$38</f>
        <v>160.46813915845644</v>
      </c>
      <c r="F46" s="610"/>
      <c r="G46" s="642">
        <f>G$43-G44-G45+H$38</f>
        <v>157.87931137126338</v>
      </c>
      <c r="H46" s="573"/>
    </row>
    <row r="47" spans="1:8">
      <c r="B47" s="503" t="s">
        <v>445</v>
      </c>
      <c r="C47" s="644"/>
      <c r="D47" s="696" t="str">
        <f>CONCATENATE("+ ",ROUND((C$46*0.08),2))</f>
        <v>+ 12.62</v>
      </c>
      <c r="E47" s="644"/>
      <c r="F47" s="627" t="str">
        <f>CONCATENATE("+ ",ROUND((E$46*0.08),2))</f>
        <v>+ 12.84</v>
      </c>
      <c r="G47" s="645"/>
      <c r="H47" s="627" t="str">
        <f>CONCATENATE("+ ",ROUND((G$46*0.08),2))</f>
        <v>+ 12.63</v>
      </c>
    </row>
    <row r="48" spans="1:8" ht="15" thickBot="1">
      <c r="B48" s="646" t="s">
        <v>449</v>
      </c>
      <c r="C48" s="697" t="str">
        <f>D47</f>
        <v>+ 12.62</v>
      </c>
      <c r="D48" s="632"/>
      <c r="E48" s="631" t="str">
        <f>F47</f>
        <v>+ 12.84</v>
      </c>
      <c r="F48" s="632"/>
      <c r="G48" s="631" t="str">
        <f>H47</f>
        <v>+ 12.63</v>
      </c>
      <c r="H48" s="632"/>
    </row>
    <row r="49" spans="1:9" s="392" customFormat="1" ht="15" thickBot="1">
      <c r="B49" s="647" t="s">
        <v>452</v>
      </c>
      <c r="C49" s="648">
        <f>C$46+C$48+C$44+C$45</f>
        <v>170.3529403909522</v>
      </c>
      <c r="D49" s="649">
        <f>D38+D47</f>
        <v>0.75999999999999979</v>
      </c>
      <c r="E49" s="648">
        <f>E$46+E$48+E$44+E$45</f>
        <v>173.30813915845644</v>
      </c>
      <c r="F49" s="649">
        <f>F38+F47</f>
        <v>0.76999999999999957</v>
      </c>
      <c r="G49" s="650">
        <f>G$46+G$48+G$44+G$45</f>
        <v>170.50931137126338</v>
      </c>
      <c r="H49" s="651">
        <f>H38+H47</f>
        <v>0.76000000000000156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1-000000000000}">
  <sheetPr codeName="Sheet369">
    <tabColor rgb="FF00CC00"/>
  </sheetPr>
  <dimension ref="B2:K31"/>
  <sheetViews>
    <sheetView topLeftCell="A6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73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Kisumu!D21</f>
        <v>8.19</v>
      </c>
      <c r="E21" s="168">
        <f>Kisumu!E21</f>
        <v>8.19</v>
      </c>
      <c r="F21" s="168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1.5835921882177317</v>
      </c>
      <c r="E23" s="283">
        <f t="shared" ref="E23:F23" si="0">$G$23*$G$8</f>
        <v>1.5835921882177317</v>
      </c>
      <c r="F23" s="283">
        <f t="shared" si="0"/>
        <v>1.5835921882177317</v>
      </c>
      <c r="G23" s="284">
        <f>'Delivery &gt;40km-Sept 2013'!E24*I23/1000</f>
        <v>1.3651656794980447</v>
      </c>
      <c r="H23" s="262" t="s">
        <v>130</v>
      </c>
      <c r="I23" s="259">
        <v>114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158.67470923812255</v>
      </c>
      <c r="E25" s="285">
        <f>E19+E21+E23</f>
        <v>161.39828690252551</v>
      </c>
      <c r="F25" s="285">
        <f>F19+F21+F23</f>
        <v>158.83605341644309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379914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379914" r:id="rId4"/>
      </mc:Fallback>
    </mc:AlternateContent>
  </oleObjects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1-000000000000}">
  <sheetPr codeName="Sheet370">
    <tabColor rgb="FF0070C0"/>
  </sheetPr>
  <dimension ref="A2:M68"/>
  <sheetViews>
    <sheetView topLeftCell="A22" workbookViewId="0">
      <selection activeCell="E60" sqref="E60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Keroka!G23</f>
        <v>1.3651656794980447</v>
      </c>
      <c r="D40" s="943"/>
      <c r="E40" s="880">
        <f>C40</f>
        <v>1.3651656794980447</v>
      </c>
      <c r="F40" s="943"/>
      <c r="G40" s="613">
        <f>C40</f>
        <v>1.3651656794980447</v>
      </c>
      <c r="H40" s="943"/>
    </row>
    <row r="41" spans="1:8" s="392" customFormat="1">
      <c r="A41" s="605"/>
      <c r="B41" s="617" t="s">
        <v>446</v>
      </c>
      <c r="C41" s="618">
        <f>SUM(C40)</f>
        <v>1.3651656794980447</v>
      </c>
      <c r="D41" s="618"/>
      <c r="E41" s="626">
        <f>SUM(E40)</f>
        <v>1.3651656794980447</v>
      </c>
      <c r="F41" s="944"/>
      <c r="G41" s="618">
        <f>SUM(G40)</f>
        <v>1.3651656794980447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169.60491552849163</v>
      </c>
      <c r="D43" s="610"/>
      <c r="E43" s="613">
        <f>E$37+E$42+E$41</f>
        <v>172.55011429599588</v>
      </c>
      <c r="F43" s="610"/>
      <c r="G43" s="236">
        <f>G$37+G$42+G$41</f>
        <v>169.76128650880284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157.74491552849162</v>
      </c>
      <c r="D46" s="610"/>
      <c r="E46" s="641">
        <f>E$43-E44-E45+F$38</f>
        <v>160.48011429599589</v>
      </c>
      <c r="F46" s="610"/>
      <c r="G46" s="642">
        <f>G$43-G44-G45+H$38</f>
        <v>157.89128650880284</v>
      </c>
      <c r="H46" s="573"/>
    </row>
    <row r="47" spans="1:8">
      <c r="B47" s="503" t="s">
        <v>445</v>
      </c>
      <c r="C47" s="644"/>
      <c r="D47" s="696" t="str">
        <f>CONCATENATE("+ ",ROUND((C$46*0.08),2))</f>
        <v>+ 12.62</v>
      </c>
      <c r="E47" s="644"/>
      <c r="F47" s="627" t="str">
        <f>CONCATENATE("+ ",ROUND((E$46*0.08),2))</f>
        <v>+ 12.84</v>
      </c>
      <c r="G47" s="645"/>
      <c r="H47" s="627" t="str">
        <f>CONCATENATE("+ ",ROUND((G$46*0.08),2))</f>
        <v>+ 12.63</v>
      </c>
    </row>
    <row r="48" spans="1:8" ht="15" thickBot="1">
      <c r="B48" s="646" t="s">
        <v>449</v>
      </c>
      <c r="C48" s="697" t="str">
        <f>D47</f>
        <v>+ 12.62</v>
      </c>
      <c r="D48" s="632"/>
      <c r="E48" s="631" t="str">
        <f>F47</f>
        <v>+ 12.84</v>
      </c>
      <c r="F48" s="632"/>
      <c r="G48" s="631" t="str">
        <f>H47</f>
        <v>+ 12.63</v>
      </c>
      <c r="H48" s="632"/>
    </row>
    <row r="49" spans="1:9" s="392" customFormat="1" ht="15" thickBot="1">
      <c r="B49" s="647" t="s">
        <v>452</v>
      </c>
      <c r="C49" s="648">
        <f>C$46+C$48+C$44+C$45</f>
        <v>170.36491552849162</v>
      </c>
      <c r="D49" s="649">
        <f>D38+D47</f>
        <v>0.75999999999999979</v>
      </c>
      <c r="E49" s="648">
        <f>E$46+E$48+E$44+E$45</f>
        <v>173.32011429599589</v>
      </c>
      <c r="F49" s="649">
        <f>F38+F47</f>
        <v>0.76999999999999957</v>
      </c>
      <c r="G49" s="650">
        <f>G$46+G$48+G$44+G$45</f>
        <v>170.52128650880283</v>
      </c>
      <c r="H49" s="651">
        <f>H38+H47</f>
        <v>0.76000000000000156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1-000000000000}">
  <sheetPr codeName="Sheet371">
    <tabColor rgb="FF00CC00"/>
  </sheetPr>
  <dimension ref="B2:K31"/>
  <sheetViews>
    <sheetView topLeftCell="B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192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Kisumu!D21</f>
        <v>8.19</v>
      </c>
      <c r="E21" s="168">
        <f>Kisumu!E21</f>
        <v>8.19</v>
      </c>
      <c r="F21" s="168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2.7226672709708377</v>
      </c>
      <c r="E23" s="283">
        <f t="shared" ref="E23:F23" si="0">$G$23*$G$8</f>
        <v>2.7226672709708377</v>
      </c>
      <c r="F23" s="283">
        <f t="shared" si="0"/>
        <v>2.7226672709708377</v>
      </c>
      <c r="G23" s="284">
        <f>'Delivery &gt;40km-Sept 2013'!E24*I23/1000</f>
        <v>2.3471269577334808</v>
      </c>
      <c r="H23" s="262" t="s">
        <v>130</v>
      </c>
      <c r="I23" s="259">
        <v>196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159.81378432087567</v>
      </c>
      <c r="E25" s="285">
        <f>E19+E21+E23</f>
        <v>162.53736198527864</v>
      </c>
      <c r="F25" s="285">
        <f>F19+F21+F23</f>
        <v>159.97512849919622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328714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328714" r:id="rId4"/>
      </mc:Fallback>
    </mc:AlternateContent>
  </oleObjects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1-000000000000}">
  <sheetPr codeName="Sheet372">
    <tabColor rgb="FF0070C0"/>
  </sheetPr>
  <dimension ref="A2:M68"/>
  <sheetViews>
    <sheetView topLeftCell="A25" workbookViewId="0">
      <selection activeCell="D60" sqref="D60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Isebania!G23</f>
        <v>2.3471269577334808</v>
      </c>
      <c r="D40" s="943"/>
      <c r="E40" s="880">
        <f>C40</f>
        <v>2.3471269577334808</v>
      </c>
      <c r="F40" s="943"/>
      <c r="G40" s="613">
        <f>C40</f>
        <v>2.3471269577334808</v>
      </c>
      <c r="H40" s="943"/>
    </row>
    <row r="41" spans="1:8" s="392" customFormat="1">
      <c r="A41" s="605"/>
      <c r="B41" s="617" t="s">
        <v>446</v>
      </c>
      <c r="C41" s="618">
        <f>SUM(C40)</f>
        <v>2.3471269577334808</v>
      </c>
      <c r="D41" s="618"/>
      <c r="E41" s="626">
        <f>SUM(E40)</f>
        <v>2.3471269577334808</v>
      </c>
      <c r="F41" s="944"/>
      <c r="G41" s="618">
        <f>SUM(G40)</f>
        <v>2.3471269577334808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170.58687680672708</v>
      </c>
      <c r="D43" s="610"/>
      <c r="E43" s="613">
        <f>E$37+E$42+E$41</f>
        <v>173.53207557423133</v>
      </c>
      <c r="F43" s="610"/>
      <c r="G43" s="236">
        <f>G$37+G$42+G$41</f>
        <v>170.74324778703829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158.72687680672709</v>
      </c>
      <c r="D46" s="610"/>
      <c r="E46" s="641">
        <f>E$43-E44-E45+F$38</f>
        <v>161.46207557423133</v>
      </c>
      <c r="F46" s="610"/>
      <c r="G46" s="642">
        <f>G$43-G44-G45+H$38</f>
        <v>158.87324778703828</v>
      </c>
      <c r="H46" s="573"/>
    </row>
    <row r="47" spans="1:8">
      <c r="B47" s="503" t="s">
        <v>445</v>
      </c>
      <c r="C47" s="644"/>
      <c r="D47" s="696" t="str">
        <f>CONCATENATE("+ ",ROUND((C$46*0.08),2))</f>
        <v>+ 12.7</v>
      </c>
      <c r="E47" s="644"/>
      <c r="F47" s="627" t="str">
        <f>CONCATENATE("+ ",ROUND((E$46*0.08),2))</f>
        <v>+ 12.92</v>
      </c>
      <c r="G47" s="645"/>
      <c r="H47" s="627" t="str">
        <f>CONCATENATE("+ ",ROUND((G$46*0.08),2))</f>
        <v>+ 12.71</v>
      </c>
    </row>
    <row r="48" spans="1:8" ht="15" thickBot="1">
      <c r="B48" s="646" t="s">
        <v>449</v>
      </c>
      <c r="C48" s="697" t="str">
        <f>D47</f>
        <v>+ 12.7</v>
      </c>
      <c r="D48" s="632"/>
      <c r="E48" s="631" t="str">
        <f>F47</f>
        <v>+ 12.92</v>
      </c>
      <c r="F48" s="632"/>
      <c r="G48" s="631" t="str">
        <f>H47</f>
        <v>+ 12.71</v>
      </c>
      <c r="H48" s="632"/>
    </row>
    <row r="49" spans="1:9" s="392" customFormat="1" ht="15" thickBot="1">
      <c r="B49" s="647" t="s">
        <v>452</v>
      </c>
      <c r="C49" s="648">
        <f>C$46+C$48+C$44+C$45</f>
        <v>171.42687680672708</v>
      </c>
      <c r="D49" s="649">
        <f>D38+D47</f>
        <v>0.83999999999999986</v>
      </c>
      <c r="E49" s="648">
        <f>E$46+E$48+E$44+E$45</f>
        <v>174.38207557423132</v>
      </c>
      <c r="F49" s="649">
        <f>F38+F47</f>
        <v>0.84999999999999964</v>
      </c>
      <c r="G49" s="650">
        <f>G$46+G$48+G$44+G$45</f>
        <v>171.58324778703829</v>
      </c>
      <c r="H49" s="651">
        <f>H38+H47</f>
        <v>0.84000000000000163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1-000000000000}">
  <sheetPr codeName="Sheet373">
    <tabColor rgb="FF00CC00"/>
  </sheetPr>
  <dimension ref="B2:K31"/>
  <sheetViews>
    <sheetView topLeftCell="A5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96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Kisumu!D21</f>
        <v>8.19</v>
      </c>
      <c r="E21" s="168">
        <f>Kisumu!E21</f>
        <v>8.19</v>
      </c>
      <c r="F21" s="168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1.386337722667804</v>
      </c>
      <c r="E23" s="283">
        <f t="shared" ref="E23:F23" si="0">$G$23*$G$8</f>
        <v>1.386337722667804</v>
      </c>
      <c r="F23" s="283">
        <f t="shared" si="0"/>
        <v>1.386337722667804</v>
      </c>
      <c r="G23" s="284">
        <f>'Delivery &gt;40km-Sept 2013'!E24*I23/1000</f>
        <v>1.1951187264377621</v>
      </c>
      <c r="H23" s="262" t="s">
        <v>130</v>
      </c>
      <c r="I23" s="908">
        <v>99.8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158.47745477257263</v>
      </c>
      <c r="E25" s="285">
        <f>E19+E21+E23</f>
        <v>161.20103243697559</v>
      </c>
      <c r="F25" s="285">
        <f>F19+F21+F23</f>
        <v>158.63879895089318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99338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99338" r:id="rId4"/>
      </mc:Fallback>
    </mc:AlternateContent>
  </oleObjects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1-000000000000}">
  <sheetPr codeName="Sheet374">
    <tabColor rgb="FF0070C0"/>
  </sheetPr>
  <dimension ref="A2:M68"/>
  <sheetViews>
    <sheetView topLeftCell="A43" workbookViewId="0">
      <selection activeCell="D45" sqref="D45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Sotik!G23</f>
        <v>1.1951187264377621</v>
      </c>
      <c r="D40" s="943"/>
      <c r="E40" s="880">
        <f>C40</f>
        <v>1.1951187264377621</v>
      </c>
      <c r="F40" s="943"/>
      <c r="G40" s="613">
        <f>C40</f>
        <v>1.1951187264377621</v>
      </c>
      <c r="H40" s="943"/>
    </row>
    <row r="41" spans="1:8" s="392" customFormat="1">
      <c r="A41" s="605"/>
      <c r="B41" s="617" t="s">
        <v>446</v>
      </c>
      <c r="C41" s="618">
        <f>SUM(C40)</f>
        <v>1.1951187264377621</v>
      </c>
      <c r="D41" s="618"/>
      <c r="E41" s="626">
        <f>SUM(E40)</f>
        <v>1.1951187264377621</v>
      </c>
      <c r="F41" s="944"/>
      <c r="G41" s="618">
        <f>SUM(G40)</f>
        <v>1.1951187264377621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169.43486857543135</v>
      </c>
      <c r="D43" s="610"/>
      <c r="E43" s="613">
        <f>E$37+E$42+E$41</f>
        <v>172.3800673429356</v>
      </c>
      <c r="F43" s="610"/>
      <c r="G43" s="236">
        <f>G$37+G$42+G$41</f>
        <v>169.59123955574256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157.57486857543137</v>
      </c>
      <c r="D46" s="610"/>
      <c r="E46" s="641">
        <f>E$43-E44-E45+F$38</f>
        <v>160.31006734293561</v>
      </c>
      <c r="F46" s="610"/>
      <c r="G46" s="642">
        <f>G$43-G44-G45+H$38</f>
        <v>157.72123955574256</v>
      </c>
      <c r="H46" s="573"/>
    </row>
    <row r="47" spans="1:8">
      <c r="B47" s="503" t="s">
        <v>445</v>
      </c>
      <c r="C47" s="644"/>
      <c r="D47" s="696" t="str">
        <f>CONCATENATE("+ ",ROUND((C$46*0.08),2))</f>
        <v>+ 12.61</v>
      </c>
      <c r="E47" s="644"/>
      <c r="F47" s="627" t="str">
        <f>CONCATENATE("+ ",ROUND((E$46*0.08),2))</f>
        <v>+ 12.82</v>
      </c>
      <c r="G47" s="645"/>
      <c r="H47" s="627" t="str">
        <f>CONCATENATE("+ ",ROUND((G$46*0.08),2))</f>
        <v>+ 12.62</v>
      </c>
    </row>
    <row r="48" spans="1:8" ht="15" thickBot="1">
      <c r="B48" s="646" t="s">
        <v>449</v>
      </c>
      <c r="C48" s="697" t="str">
        <f>D47</f>
        <v>+ 12.61</v>
      </c>
      <c r="D48" s="632"/>
      <c r="E48" s="631" t="str">
        <f>F47</f>
        <v>+ 12.82</v>
      </c>
      <c r="F48" s="632"/>
      <c r="G48" s="631" t="str">
        <f>H47</f>
        <v>+ 12.62</v>
      </c>
      <c r="H48" s="632"/>
    </row>
    <row r="49" spans="1:9" s="392" customFormat="1" ht="15" thickBot="1">
      <c r="B49" s="647" t="s">
        <v>452</v>
      </c>
      <c r="C49" s="648">
        <f>C$46+C$48+C$44+C$45</f>
        <v>170.18486857543138</v>
      </c>
      <c r="D49" s="649">
        <f>D38+D47</f>
        <v>0.75</v>
      </c>
      <c r="E49" s="648">
        <f>E$46+E$48+E$44+E$45</f>
        <v>173.1300673429356</v>
      </c>
      <c r="F49" s="649">
        <f>F38+F47</f>
        <v>0.75</v>
      </c>
      <c r="G49" s="650">
        <f>G$46+G$48+G$44+G$45</f>
        <v>170.34123955574256</v>
      </c>
      <c r="H49" s="651">
        <f>H38+H47</f>
        <v>0.75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1-000000000000}">
  <sheetPr codeName="Sheet375">
    <tabColor rgb="FF00CC00"/>
  </sheetPr>
  <dimension ref="B2:K31"/>
  <sheetViews>
    <sheetView topLeftCell="A5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88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Kisumu!D21</f>
        <v>8.19</v>
      </c>
      <c r="E21" s="168">
        <f>Kisumu!E21</f>
        <v>8.19</v>
      </c>
      <c r="F21" s="168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1.5558098691261926</v>
      </c>
      <c r="E23" s="283">
        <f t="shared" ref="E23:F23" si="0">$G$23*$G$8</f>
        <v>1.5558098691261926</v>
      </c>
      <c r="F23" s="283">
        <f t="shared" si="0"/>
        <v>1.5558098691261926</v>
      </c>
      <c r="G23" s="284">
        <f>'Delivery &gt;40km-Sept 2013'!E24*I23/1000</f>
        <v>1.3412154044191316</v>
      </c>
      <c r="H23" s="262" t="s">
        <v>130</v>
      </c>
      <c r="I23" s="259">
        <v>112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158.64692691903102</v>
      </c>
      <c r="E25" s="285">
        <f>E19+E21+E23</f>
        <v>161.37050458343398</v>
      </c>
      <c r="F25" s="285">
        <f>F19+F21+F23</f>
        <v>158.80827109735156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49514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149514" r:id="rId4"/>
      </mc:Fallback>
    </mc:AlternateContent>
  </oleObjects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1-000000000000}">
  <sheetPr codeName="Sheet376">
    <tabColor rgb="FF0070C0"/>
  </sheetPr>
  <dimension ref="A2:M68"/>
  <sheetViews>
    <sheetView topLeftCell="A22" workbookViewId="0">
      <selection activeCell="D47" sqref="D47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Busia!G23</f>
        <v>1.3412154044191316</v>
      </c>
      <c r="D40" s="943"/>
      <c r="E40" s="880">
        <f>C40</f>
        <v>1.3412154044191316</v>
      </c>
      <c r="F40" s="943"/>
      <c r="G40" s="613">
        <f>C40</f>
        <v>1.3412154044191316</v>
      </c>
      <c r="H40" s="943"/>
    </row>
    <row r="41" spans="1:8" s="392" customFormat="1">
      <c r="A41" s="605"/>
      <c r="B41" s="617" t="s">
        <v>446</v>
      </c>
      <c r="C41" s="618">
        <f>SUM(C40)</f>
        <v>1.3412154044191316</v>
      </c>
      <c r="D41" s="618"/>
      <c r="E41" s="626">
        <f>SUM(E40)</f>
        <v>1.3412154044191316</v>
      </c>
      <c r="F41" s="944"/>
      <c r="G41" s="618">
        <f>SUM(G40)</f>
        <v>1.3412154044191316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169.58096525341273</v>
      </c>
      <c r="D43" s="610"/>
      <c r="E43" s="613">
        <f>E$37+E$42+E$41</f>
        <v>172.52616402091698</v>
      </c>
      <c r="F43" s="610"/>
      <c r="G43" s="236">
        <f>G$37+G$42+G$41</f>
        <v>169.73733623372394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157.72096525341271</v>
      </c>
      <c r="D46" s="610"/>
      <c r="E46" s="641">
        <f>E$43-E44-E45+F$38</f>
        <v>160.45616402091699</v>
      </c>
      <c r="F46" s="610"/>
      <c r="G46" s="642">
        <f>G$43-G44-G45+H$38</f>
        <v>157.86733623372393</v>
      </c>
      <c r="H46" s="573"/>
    </row>
    <row r="47" spans="1:8">
      <c r="B47" s="503" t="s">
        <v>445</v>
      </c>
      <c r="C47" s="644"/>
      <c r="D47" s="696" t="str">
        <f>CONCATENATE("+ ",ROUND((C$46*0.08),2))</f>
        <v>+ 12.62</v>
      </c>
      <c r="E47" s="644"/>
      <c r="F47" s="627" t="str">
        <f>CONCATENATE("+ ",ROUND((E$46*0.08),2))</f>
        <v>+ 12.84</v>
      </c>
      <c r="G47" s="645"/>
      <c r="H47" s="627" t="str">
        <f>CONCATENATE("+ ",ROUND((G$46*0.08),2))</f>
        <v>+ 12.63</v>
      </c>
    </row>
    <row r="48" spans="1:8" ht="15" thickBot="1">
      <c r="B48" s="646" t="s">
        <v>449</v>
      </c>
      <c r="C48" s="697" t="str">
        <f>D47</f>
        <v>+ 12.62</v>
      </c>
      <c r="D48" s="632"/>
      <c r="E48" s="631" t="str">
        <f>F47</f>
        <v>+ 12.84</v>
      </c>
      <c r="F48" s="632"/>
      <c r="G48" s="631" t="str">
        <f>H47</f>
        <v>+ 12.63</v>
      </c>
      <c r="H48" s="632"/>
    </row>
    <row r="49" spans="1:9" s="392" customFormat="1" ht="15" thickBot="1">
      <c r="B49" s="647" t="s">
        <v>452</v>
      </c>
      <c r="C49" s="648">
        <f>C$46+C$48+C$44+C$45</f>
        <v>170.34096525341272</v>
      </c>
      <c r="D49" s="649">
        <f>D38+D47</f>
        <v>0.75999999999999979</v>
      </c>
      <c r="E49" s="648">
        <f>E$46+E$48+E$44+E$45</f>
        <v>173.29616402091699</v>
      </c>
      <c r="F49" s="649">
        <f>F38+F47</f>
        <v>0.76999999999999957</v>
      </c>
      <c r="G49" s="650">
        <f>G$46+G$48+G$44+G$45</f>
        <v>170.49733623372393</v>
      </c>
      <c r="H49" s="651">
        <f>H38+H47</f>
        <v>0.76000000000000156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1-000000000000}">
  <sheetPr codeName="Sheet377">
    <tabColor rgb="FF00CC00"/>
  </sheetPr>
  <dimension ref="B2:K31"/>
  <sheetViews>
    <sheetView topLeftCell="A5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91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>
      <c r="C5" s="160"/>
      <c r="D5" s="160"/>
      <c r="E5" s="160"/>
      <c r="F5" s="160"/>
      <c r="G5" s="261"/>
      <c r="H5" s="262"/>
      <c r="I5" s="262"/>
      <c r="J5" s="262"/>
      <c r="K5" s="262"/>
    </row>
    <row r="6" spans="2:11">
      <c r="C6" s="263"/>
      <c r="D6" s="264" t="s">
        <v>0</v>
      </c>
      <c r="E6" s="264" t="s">
        <v>1</v>
      </c>
      <c r="F6" s="264" t="s">
        <v>3</v>
      </c>
      <c r="G6" s="287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Kisumu!D21</f>
        <v>8.19</v>
      </c>
      <c r="E21" s="168">
        <f>Kisumu!E21</f>
        <v>8.19</v>
      </c>
      <c r="F21" s="168">
        <f>Kisumu!F21</f>
        <v>8.19</v>
      </c>
      <c r="G21" s="160"/>
      <c r="H21" s="262" t="s">
        <v>22</v>
      </c>
      <c r="I21" s="262"/>
      <c r="J21" s="262">
        <f>165*11.98/1000</f>
        <v>1.9767000000000001</v>
      </c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1.5002452309431142</v>
      </c>
      <c r="E23" s="283">
        <f t="shared" ref="E23:F23" si="0">$G$23*$G$8</f>
        <v>1.5002452309431142</v>
      </c>
      <c r="F23" s="283">
        <f t="shared" si="0"/>
        <v>1.5002452309431142</v>
      </c>
      <c r="G23" s="284">
        <f>'Delivery &gt;40km-Sept 2013'!E24*I23/1000</f>
        <v>1.2933148542613055</v>
      </c>
      <c r="H23" s="262" t="s">
        <v>130</v>
      </c>
      <c r="I23" s="259">
        <v>108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158.59136228084793</v>
      </c>
      <c r="E25" s="285">
        <f>E19+E21+E23</f>
        <v>161.3149399452509</v>
      </c>
      <c r="F25" s="285">
        <f>F19+F21+F23</f>
        <v>158.75270645916848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68618" r:id="rId4">
          <objectPr defaultSize="0" autoPict="0" r:id="rId5">
            <anchor>
              <from>
                <xdr:col>1</xdr:col>
                <xdr:colOff>57150</xdr:colOff>
                <xdr:row>18</xdr:row>
                <xdr:rowOff>165100</xdr:rowOff>
              </from>
              <to>
                <xdr:col>1</xdr:col>
                <xdr:colOff>527050</xdr:colOff>
                <xdr:row>19</xdr:row>
                <xdr:rowOff>165100</xdr:rowOff>
              </to>
            </anchor>
          </objectPr>
        </oleObject>
      </mc:Choice>
      <mc:Fallback>
        <oleObject progId="Equation.3" shapeId="68618" r:id="rId4"/>
      </mc:Fallback>
    </mc:AlternateContent>
  </oleObjects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1-000000000000}">
  <sheetPr codeName="Sheet378">
    <tabColor rgb="FF0070C0"/>
  </sheetPr>
  <dimension ref="A2:M68"/>
  <sheetViews>
    <sheetView topLeftCell="A22" workbookViewId="0">
      <selection activeCell="C50" sqref="C50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Homabay!G23</f>
        <v>1.2933148542613055</v>
      </c>
      <c r="D40" s="943"/>
      <c r="E40" s="880">
        <f>C40</f>
        <v>1.2933148542613055</v>
      </c>
      <c r="F40" s="943"/>
      <c r="G40" s="613">
        <f>C40</f>
        <v>1.2933148542613055</v>
      </c>
      <c r="H40" s="943"/>
    </row>
    <row r="41" spans="1:8" s="392" customFormat="1">
      <c r="A41" s="605"/>
      <c r="B41" s="617" t="s">
        <v>446</v>
      </c>
      <c r="C41" s="618">
        <f>SUM(C40)</f>
        <v>1.2933148542613055</v>
      </c>
      <c r="D41" s="618"/>
      <c r="E41" s="626">
        <f>SUM(E40)</f>
        <v>1.2933148542613055</v>
      </c>
      <c r="F41" s="944"/>
      <c r="G41" s="618">
        <f>SUM(G40)</f>
        <v>1.2933148542613055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169.53306470325489</v>
      </c>
      <c r="D43" s="610"/>
      <c r="E43" s="613">
        <f>E$37+E$42+E$41</f>
        <v>172.47826347075915</v>
      </c>
      <c r="F43" s="610"/>
      <c r="G43" s="236">
        <f>G$37+G$42+G$41</f>
        <v>169.6894356835661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157.67306470325491</v>
      </c>
      <c r="D46" s="610"/>
      <c r="E46" s="641">
        <f>E$43-E44-E45+F$38</f>
        <v>160.40826347075915</v>
      </c>
      <c r="F46" s="610"/>
      <c r="G46" s="642">
        <f>G$43-G44-G45+H$38</f>
        <v>157.8194356835661</v>
      </c>
      <c r="H46" s="573"/>
    </row>
    <row r="47" spans="1:8">
      <c r="B47" s="503" t="s">
        <v>445</v>
      </c>
      <c r="C47" s="644"/>
      <c r="D47" s="696" t="str">
        <f>CONCATENATE("+ ",ROUND((C$46*0.08),2))</f>
        <v>+ 12.61</v>
      </c>
      <c r="E47" s="644"/>
      <c r="F47" s="627" t="str">
        <f>CONCATENATE("+ ",ROUND((E$46*0.08),2))</f>
        <v>+ 12.83</v>
      </c>
      <c r="G47" s="645"/>
      <c r="H47" s="627" t="str">
        <f>CONCATENATE("+ ",ROUND((G$46*0.08),2))</f>
        <v>+ 12.63</v>
      </c>
    </row>
    <row r="48" spans="1:8" ht="15" thickBot="1">
      <c r="B48" s="646" t="s">
        <v>449</v>
      </c>
      <c r="C48" s="697" t="str">
        <f>D47</f>
        <v>+ 12.61</v>
      </c>
      <c r="D48" s="632"/>
      <c r="E48" s="631" t="str">
        <f>F47</f>
        <v>+ 12.83</v>
      </c>
      <c r="F48" s="632"/>
      <c r="G48" s="631" t="str">
        <f>H47</f>
        <v>+ 12.63</v>
      </c>
      <c r="H48" s="632"/>
    </row>
    <row r="49" spans="1:9" s="392" customFormat="1" ht="15" thickBot="1">
      <c r="B49" s="647" t="s">
        <v>452</v>
      </c>
      <c r="C49" s="648">
        <f>C$46+C$48+C$44+C$45</f>
        <v>170.28306470325492</v>
      </c>
      <c r="D49" s="649">
        <f>D38+D47</f>
        <v>0.75</v>
      </c>
      <c r="E49" s="648">
        <f>E$46+E$48+E$44+E$45</f>
        <v>173.23826347075916</v>
      </c>
      <c r="F49" s="649">
        <f>F38+F47</f>
        <v>0.75999999999999979</v>
      </c>
      <c r="G49" s="650">
        <f>G$46+G$48+G$44+G$45</f>
        <v>170.44943568356609</v>
      </c>
      <c r="H49" s="651">
        <f>H38+H47</f>
        <v>0.76000000000000156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1-000000000000}">
  <sheetPr codeName="Sheet379">
    <tabColor rgb="FF00CC00"/>
  </sheetPr>
  <dimension ref="B2:K31"/>
  <sheetViews>
    <sheetView topLeftCell="A14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195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168">
        <f>Kisumu!D21</f>
        <v>8.19</v>
      </c>
      <c r="E21" s="168">
        <f>Kisumu!E21</f>
        <v>8.19</v>
      </c>
      <c r="F21" s="168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0.85013896420109814</v>
      </c>
      <c r="E23" s="283">
        <f t="shared" ref="E23:F23" si="0">$G$23*$G$8</f>
        <v>0.85013896420109814</v>
      </c>
      <c r="F23" s="283">
        <f t="shared" si="0"/>
        <v>0.85013896420109814</v>
      </c>
      <c r="G23" s="284">
        <f>'Delivery &gt;40km-Sept 2013'!E24*I23/1000</f>
        <v>0.7328784174147398</v>
      </c>
      <c r="H23" s="262" t="s">
        <v>130</v>
      </c>
      <c r="I23" s="908">
        <v>61.2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157.94125601410593</v>
      </c>
      <c r="E25" s="285">
        <f>E19+E21+E23</f>
        <v>160.6648336785089</v>
      </c>
      <c r="F25" s="285">
        <f>F19+F21+F23</f>
        <v>158.10260019242648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331786" r:id="rId4">
          <objectPr defaultSize="0" autoPict="0" r:id="rId5">
            <anchor>
              <from>
                <xdr:col>1</xdr:col>
                <xdr:colOff>57150</xdr:colOff>
                <xdr:row>18</xdr:row>
                <xdr:rowOff>146050</xdr:rowOff>
              </from>
              <to>
                <xdr:col>1</xdr:col>
                <xdr:colOff>527050</xdr:colOff>
                <xdr:row>19</xdr:row>
                <xdr:rowOff>146050</xdr:rowOff>
              </to>
            </anchor>
          </objectPr>
        </oleObject>
      </mc:Choice>
      <mc:Fallback>
        <oleObject progId="Equation.3" shapeId="331786" r:id="rId4"/>
      </mc:Fallback>
    </mc:AlternateContent>
  </oleObjects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1-000000000000}">
  <sheetPr codeName="Sheet380">
    <tabColor rgb="FF0070C0"/>
  </sheetPr>
  <dimension ref="A2:M68"/>
  <sheetViews>
    <sheetView topLeftCell="A25" workbookViewId="0">
      <selection activeCell="D50" sqref="D50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Bondo!G23</f>
        <v>0.7328784174147398</v>
      </c>
      <c r="D40" s="943"/>
      <c r="E40" s="880">
        <f>C40</f>
        <v>0.7328784174147398</v>
      </c>
      <c r="F40" s="943"/>
      <c r="G40" s="613">
        <f>C40</f>
        <v>0.7328784174147398</v>
      </c>
      <c r="H40" s="943"/>
    </row>
    <row r="41" spans="1:8" s="392" customFormat="1">
      <c r="A41" s="605"/>
      <c r="B41" s="617" t="s">
        <v>446</v>
      </c>
      <c r="C41" s="618">
        <f>SUM(C40)</f>
        <v>0.7328784174147398</v>
      </c>
      <c r="D41" s="618"/>
      <c r="E41" s="626">
        <f>SUM(E40)</f>
        <v>0.7328784174147398</v>
      </c>
      <c r="F41" s="944"/>
      <c r="G41" s="618">
        <f>SUM(G40)</f>
        <v>0.7328784174147398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168.97262826640835</v>
      </c>
      <c r="D43" s="610"/>
      <c r="E43" s="613">
        <f>E$37+E$42+E$41</f>
        <v>171.9178270339126</v>
      </c>
      <c r="F43" s="610"/>
      <c r="G43" s="236">
        <f>G$37+G$42+G$41</f>
        <v>169.12899924671956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157.11262826640836</v>
      </c>
      <c r="D46" s="610"/>
      <c r="E46" s="641">
        <f>E$43-E44-E45+F$38</f>
        <v>159.84782703391261</v>
      </c>
      <c r="F46" s="610"/>
      <c r="G46" s="642">
        <f>G$43-G44-G45+H$38</f>
        <v>157.25899924671955</v>
      </c>
      <c r="H46" s="573"/>
    </row>
    <row r="47" spans="1:8">
      <c r="B47" s="503" t="s">
        <v>445</v>
      </c>
      <c r="C47" s="644"/>
      <c r="D47" s="696" t="str">
        <f>CONCATENATE("+ ",ROUND((C$46*0.08),2))</f>
        <v>+ 12.57</v>
      </c>
      <c r="E47" s="644"/>
      <c r="F47" s="627" t="str">
        <f>CONCATENATE("+ ",ROUND((E$46*0.08),2))</f>
        <v>+ 12.79</v>
      </c>
      <c r="G47" s="645"/>
      <c r="H47" s="627" t="str">
        <f>CONCATENATE("+ ",ROUND((G$46*0.08),2))</f>
        <v>+ 12.58</v>
      </c>
    </row>
    <row r="48" spans="1:8" ht="15" thickBot="1">
      <c r="B48" s="646" t="s">
        <v>449</v>
      </c>
      <c r="C48" s="697" t="str">
        <f>D47</f>
        <v>+ 12.57</v>
      </c>
      <c r="D48" s="632"/>
      <c r="E48" s="631" t="str">
        <f>F47</f>
        <v>+ 12.79</v>
      </c>
      <c r="F48" s="632"/>
      <c r="G48" s="631" t="str">
        <f>H47</f>
        <v>+ 12.58</v>
      </c>
      <c r="H48" s="632"/>
    </row>
    <row r="49" spans="1:9" s="392" customFormat="1" ht="15" thickBot="1">
      <c r="B49" s="647" t="s">
        <v>452</v>
      </c>
      <c r="C49" s="648">
        <f>C$46+C$48+C$44+C$45</f>
        <v>169.68262826640836</v>
      </c>
      <c r="D49" s="649">
        <f>D38+D47</f>
        <v>0.71000000000000085</v>
      </c>
      <c r="E49" s="648">
        <f>E$46+E$48+E$44+E$45</f>
        <v>172.6378270339126</v>
      </c>
      <c r="F49" s="649">
        <f>F38+F47</f>
        <v>0.71999999999999886</v>
      </c>
      <c r="G49" s="650">
        <f>G$46+G$48+G$44+G$45</f>
        <v>169.83899924671957</v>
      </c>
      <c r="H49" s="651">
        <f>H38+H47</f>
        <v>0.71000000000000085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1-000000000000}">
  <sheetPr codeName="Sheet381">
    <tabColor rgb="FF00CC00"/>
  </sheetPr>
  <dimension ref="B2:K31"/>
  <sheetViews>
    <sheetView topLeftCell="A9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140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2.4170617609639065</v>
      </c>
      <c r="E23" s="283">
        <f t="shared" ref="E23:F23" si="0">$G$23*$G$8</f>
        <v>2.4170617609639065</v>
      </c>
      <c r="F23" s="283">
        <f t="shared" si="0"/>
        <v>2.4170617609639065</v>
      </c>
      <c r="G23" s="284">
        <f>'Delivery &gt;40km-Sept 2013'!E24*I23/1000</f>
        <v>2.0836739318654369</v>
      </c>
      <c r="H23" s="262" t="s">
        <v>130</v>
      </c>
      <c r="I23" s="259">
        <v>174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159.50817881086874</v>
      </c>
      <c r="E25" s="285">
        <f>E19+E21+E23</f>
        <v>162.23175647527171</v>
      </c>
      <c r="F25" s="285">
        <f>F19+F21+F23</f>
        <v>159.66952298918929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47466" r:id="rId4">
          <objectPr defaultSize="0" autoPict="0" r:id="rId5">
            <anchor>
              <from>
                <xdr:col>1</xdr:col>
                <xdr:colOff>57150</xdr:colOff>
                <xdr:row>18</xdr:row>
                <xdr:rowOff>0</xdr:rowOff>
              </from>
              <to>
                <xdr:col>1</xdr:col>
                <xdr:colOff>527050</xdr:colOff>
                <xdr:row>19</xdr:row>
                <xdr:rowOff>0</xdr:rowOff>
              </to>
            </anchor>
          </objectPr>
        </oleObject>
      </mc:Choice>
      <mc:Fallback>
        <oleObject progId="Equation.3" shapeId="147466" r:id="rId4"/>
      </mc:Fallback>
    </mc:AlternateContent>
  </oleObjects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1-000000000000}">
  <sheetPr codeName="Sheet382">
    <tabColor rgb="FF0070C0"/>
  </sheetPr>
  <dimension ref="A2:M68"/>
  <sheetViews>
    <sheetView topLeftCell="A34" workbookViewId="0">
      <selection activeCell="C46" sqref="C46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Migori!G23</f>
        <v>2.0836739318654369</v>
      </c>
      <c r="D40" s="943"/>
      <c r="E40" s="880">
        <f>C40</f>
        <v>2.0836739318654369</v>
      </c>
      <c r="F40" s="943"/>
      <c r="G40" s="613">
        <f>C40</f>
        <v>2.0836739318654369</v>
      </c>
      <c r="H40" s="943"/>
    </row>
    <row r="41" spans="1:8" s="392" customFormat="1">
      <c r="A41" s="605"/>
      <c r="B41" s="617" t="s">
        <v>446</v>
      </c>
      <c r="C41" s="618">
        <f>SUM(C40)</f>
        <v>2.0836739318654369</v>
      </c>
      <c r="D41" s="618"/>
      <c r="E41" s="626">
        <f>SUM(E40)</f>
        <v>2.0836739318654369</v>
      </c>
      <c r="F41" s="944"/>
      <c r="G41" s="618">
        <f>SUM(G40)</f>
        <v>2.0836739318654369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170.32342378085903</v>
      </c>
      <c r="D43" s="610"/>
      <c r="E43" s="613">
        <f>E$37+E$42+E$41</f>
        <v>173.26862254836328</v>
      </c>
      <c r="F43" s="610"/>
      <c r="G43" s="236">
        <f>G$37+G$42+G$41</f>
        <v>170.47979476117024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158.46342378085905</v>
      </c>
      <c r="D46" s="610"/>
      <c r="E46" s="641">
        <f>E$43-E44-E45+F$38</f>
        <v>161.19862254836329</v>
      </c>
      <c r="F46" s="610"/>
      <c r="G46" s="642">
        <f>G$43-G44-G45+H$38</f>
        <v>158.60979476117024</v>
      </c>
      <c r="H46" s="573"/>
    </row>
    <row r="47" spans="1:8">
      <c r="B47" s="503" t="s">
        <v>445</v>
      </c>
      <c r="C47" s="644"/>
      <c r="D47" s="696" t="str">
        <f>CONCATENATE("+ ",ROUND((C$46*0.08),2))</f>
        <v>+ 12.68</v>
      </c>
      <c r="E47" s="644"/>
      <c r="F47" s="627" t="str">
        <f>CONCATENATE("+ ",ROUND((E$46*0.08),2))</f>
        <v>+ 12.9</v>
      </c>
      <c r="G47" s="645"/>
      <c r="H47" s="627" t="str">
        <f>CONCATENATE("+ ",ROUND((G$46*0.08),2))</f>
        <v>+ 12.69</v>
      </c>
    </row>
    <row r="48" spans="1:8" ht="15" thickBot="1">
      <c r="B48" s="646" t="s">
        <v>449</v>
      </c>
      <c r="C48" s="697" t="str">
        <f>D47</f>
        <v>+ 12.68</v>
      </c>
      <c r="D48" s="632"/>
      <c r="E48" s="631" t="str">
        <f>F47</f>
        <v>+ 12.9</v>
      </c>
      <c r="F48" s="632"/>
      <c r="G48" s="631" t="str">
        <f>H47</f>
        <v>+ 12.69</v>
      </c>
      <c r="H48" s="632"/>
    </row>
    <row r="49" spans="1:9" s="392" customFormat="1" ht="15" thickBot="1">
      <c r="B49" s="647" t="s">
        <v>452</v>
      </c>
      <c r="C49" s="648">
        <f>C$46+C$48+C$44+C$45</f>
        <v>171.14342378085905</v>
      </c>
      <c r="D49" s="649">
        <f>D38+D47</f>
        <v>0.82000000000000028</v>
      </c>
      <c r="E49" s="648">
        <f>E$46+E$48+E$44+E$45</f>
        <v>174.09862254836329</v>
      </c>
      <c r="F49" s="649">
        <f>F38+F47</f>
        <v>0.83000000000000007</v>
      </c>
      <c r="G49" s="650">
        <f>G$46+G$48+G$44+G$45</f>
        <v>171.29979476117023</v>
      </c>
      <c r="H49" s="651">
        <f>H38+H47</f>
        <v>0.82000000000000028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1-000000000000}">
  <sheetPr codeName="Sheet383">
    <tabColor rgb="FF00CC00"/>
  </sheetPr>
  <dimension ref="B2:K31"/>
  <sheetViews>
    <sheetView topLeftCell="A14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550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1.8197419004958146</v>
      </c>
      <c r="E23" s="283">
        <f t="shared" ref="E23:F23" si="0">$G$23*$G$8</f>
        <v>1.8197419004958146</v>
      </c>
      <c r="F23" s="283">
        <f t="shared" si="0"/>
        <v>1.8197419004958146</v>
      </c>
      <c r="G23" s="284">
        <f>'Delivery &gt;40km-Sept 2013'!E24*I23/1000</f>
        <v>1.5687430176688058</v>
      </c>
      <c r="H23" s="262" t="s">
        <v>130</v>
      </c>
      <c r="I23" s="259">
        <v>131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158.91085895040064</v>
      </c>
      <c r="E25" s="285">
        <f>E19+E21+E23</f>
        <v>161.6344366148036</v>
      </c>
      <c r="F25" s="285">
        <f>F19+F21+F23</f>
        <v>159.07220312872118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1-000000000000}">
  <sheetPr codeName="Sheet384">
    <tabColor rgb="FF0000FF"/>
  </sheetPr>
  <dimension ref="A2:M68"/>
  <sheetViews>
    <sheetView topLeftCell="A33" workbookViewId="0">
      <selection activeCell="C46" sqref="C46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Bomet!G23</f>
        <v>1.5687430176688058</v>
      </c>
      <c r="D40" s="943"/>
      <c r="E40" s="880">
        <f>C40</f>
        <v>1.5687430176688058</v>
      </c>
      <c r="F40" s="943"/>
      <c r="G40" s="613">
        <f>C40</f>
        <v>1.5687430176688058</v>
      </c>
      <c r="H40" s="943"/>
    </row>
    <row r="41" spans="1:8" s="392" customFormat="1">
      <c r="A41" s="605"/>
      <c r="B41" s="617" t="s">
        <v>446</v>
      </c>
      <c r="C41" s="618">
        <f>SUM(C40)</f>
        <v>1.5687430176688058</v>
      </c>
      <c r="D41" s="618"/>
      <c r="E41" s="626">
        <f>SUM(E40)</f>
        <v>1.5687430176688058</v>
      </c>
      <c r="F41" s="944"/>
      <c r="G41" s="618">
        <f>SUM(G40)</f>
        <v>1.5687430176688058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169.80849286666239</v>
      </c>
      <c r="D43" s="610"/>
      <c r="E43" s="613">
        <f>E$37+E$42+E$41</f>
        <v>172.75369163416664</v>
      </c>
      <c r="F43" s="610"/>
      <c r="G43" s="236">
        <f>G$37+G$42+G$41</f>
        <v>169.9648638469736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157.94849286666238</v>
      </c>
      <c r="D46" s="610"/>
      <c r="E46" s="641">
        <f>E$43-E44-E45+F$38</f>
        <v>160.68369163416665</v>
      </c>
      <c r="F46" s="610"/>
      <c r="G46" s="642">
        <f>G$43-G44-G45+H$38</f>
        <v>158.0948638469736</v>
      </c>
      <c r="H46" s="573"/>
    </row>
    <row r="47" spans="1:8">
      <c r="B47" s="503" t="s">
        <v>445</v>
      </c>
      <c r="C47" s="644"/>
      <c r="D47" s="696" t="str">
        <f>CONCATENATE("+ ",ROUND((C$46*0.08),2))</f>
        <v>+ 12.64</v>
      </c>
      <c r="E47" s="644"/>
      <c r="F47" s="627" t="str">
        <f>CONCATENATE("+ ",ROUND((E$46*0.08),2))</f>
        <v>+ 12.85</v>
      </c>
      <c r="G47" s="645"/>
      <c r="H47" s="627" t="str">
        <f>CONCATENATE("+ ",ROUND((G$46*0.08),2))</f>
        <v>+ 12.65</v>
      </c>
    </row>
    <row r="48" spans="1:8" ht="15" thickBot="1">
      <c r="B48" s="646" t="s">
        <v>449</v>
      </c>
      <c r="C48" s="697" t="str">
        <f>D47</f>
        <v>+ 12.64</v>
      </c>
      <c r="D48" s="632"/>
      <c r="E48" s="631" t="str">
        <f>F47</f>
        <v>+ 12.85</v>
      </c>
      <c r="F48" s="632"/>
      <c r="G48" s="631" t="str">
        <f>H47</f>
        <v>+ 12.65</v>
      </c>
      <c r="H48" s="632"/>
    </row>
    <row r="49" spans="1:9" s="392" customFormat="1" ht="15" thickBot="1">
      <c r="B49" s="647" t="s">
        <v>452</v>
      </c>
      <c r="C49" s="648">
        <f>C$46+C$48+C$44+C$45</f>
        <v>170.58849286666236</v>
      </c>
      <c r="D49" s="649">
        <f>D38+D47</f>
        <v>0.78000000000000114</v>
      </c>
      <c r="E49" s="648">
        <f>E$46+E$48+E$44+E$45</f>
        <v>173.53369163416664</v>
      </c>
      <c r="F49" s="649">
        <f>F38+F47</f>
        <v>0.77999999999999936</v>
      </c>
      <c r="G49" s="650">
        <f>G$46+G$48+G$44+G$45</f>
        <v>170.7448638469736</v>
      </c>
      <c r="H49" s="651">
        <f>H38+H47</f>
        <v>0.78000000000000114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1-000000000000}">
  <sheetPr codeName="Sheet385">
    <tabColor rgb="FF00CC00"/>
  </sheetPr>
  <dimension ref="B2:K31"/>
  <sheetViews>
    <sheetView topLeftCell="A6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551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0.86958658756517559</v>
      </c>
      <c r="E23" s="283">
        <f t="shared" ref="E23:F23" si="0">$G$23*$G$8</f>
        <v>0.86958658756517559</v>
      </c>
      <c r="F23" s="283">
        <f t="shared" si="0"/>
        <v>0.86958658756517559</v>
      </c>
      <c r="G23" s="284">
        <f>'Delivery &gt;40km-Sept 2013'!E24*I23/1000</f>
        <v>0.74964360996997903</v>
      </c>
      <c r="H23" s="262" t="s">
        <v>130</v>
      </c>
      <c r="I23" s="908">
        <v>62.6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157.96070363747</v>
      </c>
      <c r="E25" s="285">
        <f>E19+E21+E23</f>
        <v>160.68428130187297</v>
      </c>
      <c r="F25" s="285">
        <f>F19+F21+F23</f>
        <v>158.12204781579055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1-000000000000}">
  <sheetPr codeName="Sheet386">
    <tabColor rgb="FF0000FF"/>
  </sheetPr>
  <dimension ref="A2:M68"/>
  <sheetViews>
    <sheetView topLeftCell="A26" workbookViewId="0">
      <selection activeCell="E45" sqref="E45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Muhoroni!G23</f>
        <v>0.74964360996997903</v>
      </c>
      <c r="D40" s="943"/>
      <c r="E40" s="880">
        <f>C40</f>
        <v>0.74964360996997903</v>
      </c>
      <c r="F40" s="943"/>
      <c r="G40" s="613">
        <f>C40</f>
        <v>0.74964360996997903</v>
      </c>
      <c r="H40" s="943"/>
    </row>
    <row r="41" spans="1:8" s="392" customFormat="1">
      <c r="A41" s="605"/>
      <c r="B41" s="617" t="s">
        <v>446</v>
      </c>
      <c r="C41" s="618">
        <f>SUM(C40)</f>
        <v>0.74964360996997903</v>
      </c>
      <c r="D41" s="618"/>
      <c r="E41" s="626">
        <f>SUM(E40)</f>
        <v>0.74964360996997903</v>
      </c>
      <c r="F41" s="944"/>
      <c r="G41" s="618">
        <f>SUM(G40)</f>
        <v>0.74964360996997903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168.98939345896358</v>
      </c>
      <c r="D43" s="610"/>
      <c r="E43" s="613">
        <f>E$37+E$42+E$41</f>
        <v>171.93459222646783</v>
      </c>
      <c r="F43" s="610"/>
      <c r="G43" s="236">
        <f>G$37+G$42+G$41</f>
        <v>169.14576443927479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157.12939345896359</v>
      </c>
      <c r="D46" s="610"/>
      <c r="E46" s="641">
        <f>E$43-E44-E45+F$38</f>
        <v>159.86459222646783</v>
      </c>
      <c r="F46" s="610"/>
      <c r="G46" s="642">
        <f>G$43-G44-G45+H$38</f>
        <v>157.27576443927478</v>
      </c>
      <c r="H46" s="573"/>
    </row>
    <row r="47" spans="1:8">
      <c r="B47" s="503" t="s">
        <v>445</v>
      </c>
      <c r="C47" s="644"/>
      <c r="D47" s="696" t="str">
        <f>CONCATENATE("+ ",ROUND((C$46*0.08),2))</f>
        <v>+ 12.57</v>
      </c>
      <c r="E47" s="644"/>
      <c r="F47" s="627" t="str">
        <f>CONCATENATE("+ ",ROUND((E$46*0.08),2))</f>
        <v>+ 12.79</v>
      </c>
      <c r="G47" s="645"/>
      <c r="H47" s="627" t="str">
        <f>CONCATENATE("+ ",ROUND((G$46*0.08),2))</f>
        <v>+ 12.58</v>
      </c>
    </row>
    <row r="48" spans="1:8" ht="15" thickBot="1">
      <c r="B48" s="646" t="s">
        <v>449</v>
      </c>
      <c r="C48" s="697" t="str">
        <f>D47</f>
        <v>+ 12.57</v>
      </c>
      <c r="D48" s="632"/>
      <c r="E48" s="631" t="str">
        <f>F47</f>
        <v>+ 12.79</v>
      </c>
      <c r="F48" s="632"/>
      <c r="G48" s="631" t="str">
        <f>H47</f>
        <v>+ 12.58</v>
      </c>
      <c r="H48" s="632"/>
    </row>
    <row r="49" spans="1:9" s="392" customFormat="1" ht="15" thickBot="1">
      <c r="B49" s="647" t="s">
        <v>452</v>
      </c>
      <c r="C49" s="648">
        <f>C$46+C$48+C$44+C$45</f>
        <v>169.69939345896358</v>
      </c>
      <c r="D49" s="649">
        <f>D38+D47</f>
        <v>0.71000000000000085</v>
      </c>
      <c r="E49" s="648">
        <f>E$46+E$48+E$44+E$45</f>
        <v>172.65459222646783</v>
      </c>
      <c r="F49" s="649">
        <f>F38+F47</f>
        <v>0.71999999999999886</v>
      </c>
      <c r="G49" s="650">
        <f>G$46+G$48+G$44+G$45</f>
        <v>169.85576443927479</v>
      </c>
      <c r="H49" s="651">
        <f>H38+H47</f>
        <v>0.71000000000000085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1-000000000000}">
  <sheetPr codeName="Sheet387">
    <tabColor rgb="FF00CC00"/>
  </sheetPr>
  <dimension ref="B2:K31"/>
  <sheetViews>
    <sheetView topLeftCell="A11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552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1.4863540713973447</v>
      </c>
      <c r="E23" s="283">
        <f t="shared" ref="E23:F23" si="0">$G$23*$G$8</f>
        <v>1.4863540713973447</v>
      </c>
      <c r="F23" s="283">
        <f t="shared" si="0"/>
        <v>1.4863540713973447</v>
      </c>
      <c r="G23" s="284">
        <f>'Delivery &gt;40km-Sept 2013'!E24*I23/1000</f>
        <v>1.281339716721849</v>
      </c>
      <c r="H23" s="262" t="s">
        <v>130</v>
      </c>
      <c r="I23" s="908">
        <v>107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158.57747112130218</v>
      </c>
      <c r="E25" s="285">
        <f>E19+E21+E23</f>
        <v>161.30104878570515</v>
      </c>
      <c r="F25" s="285">
        <f>F19+F21+F23</f>
        <v>158.73881529962273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1-000000000000}">
  <sheetPr codeName="Sheet388">
    <tabColor rgb="FF0000FF"/>
  </sheetPr>
  <dimension ref="A2:M68"/>
  <sheetViews>
    <sheetView topLeftCell="A25" workbookViewId="0">
      <selection activeCell="D61" sqref="D6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Mbita!G23</f>
        <v>1.281339716721849</v>
      </c>
      <c r="D40" s="943"/>
      <c r="E40" s="880">
        <f>C40</f>
        <v>1.281339716721849</v>
      </c>
      <c r="F40" s="943"/>
      <c r="G40" s="613">
        <f>C40</f>
        <v>1.281339716721849</v>
      </c>
      <c r="H40" s="943"/>
    </row>
    <row r="41" spans="1:8" s="392" customFormat="1">
      <c r="A41" s="605"/>
      <c r="B41" s="617" t="s">
        <v>446</v>
      </c>
      <c r="C41" s="618">
        <f>SUM(C40)</f>
        <v>1.281339716721849</v>
      </c>
      <c r="D41" s="618"/>
      <c r="E41" s="626">
        <f>SUM(E40)</f>
        <v>1.281339716721849</v>
      </c>
      <c r="F41" s="944"/>
      <c r="G41" s="618">
        <f>SUM(G40)</f>
        <v>1.281339716721849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169.52108956571544</v>
      </c>
      <c r="D43" s="610"/>
      <c r="E43" s="613">
        <f>E$37+E$42+E$41</f>
        <v>172.46628833321969</v>
      </c>
      <c r="F43" s="610"/>
      <c r="G43" s="236">
        <f>G$37+G$42+G$41</f>
        <v>169.67746054602665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157.66108956571543</v>
      </c>
      <c r="D46" s="610"/>
      <c r="E46" s="641">
        <f>E$43-E44-E45+F$38</f>
        <v>160.3962883332197</v>
      </c>
      <c r="F46" s="610"/>
      <c r="G46" s="642">
        <f>G$43-G44-G45+H$38</f>
        <v>157.80746054602665</v>
      </c>
      <c r="H46" s="573"/>
    </row>
    <row r="47" spans="1:8">
      <c r="B47" s="503" t="s">
        <v>445</v>
      </c>
      <c r="C47" s="644"/>
      <c r="D47" s="696" t="str">
        <f>CONCATENATE("+ ",ROUND((C$46*0.08),2))</f>
        <v>+ 12.61</v>
      </c>
      <c r="E47" s="644"/>
      <c r="F47" s="627" t="str">
        <f>CONCATENATE("+ ",ROUND((E$46*0.08),2))</f>
        <v>+ 12.83</v>
      </c>
      <c r="G47" s="645"/>
      <c r="H47" s="627" t="str">
        <f>CONCATENATE("+ ",ROUND((G$46*0.08),2))</f>
        <v>+ 12.62</v>
      </c>
    </row>
    <row r="48" spans="1:8" ht="15" thickBot="1">
      <c r="B48" s="646" t="s">
        <v>449</v>
      </c>
      <c r="C48" s="697" t="str">
        <f>D47</f>
        <v>+ 12.61</v>
      </c>
      <c r="D48" s="632"/>
      <c r="E48" s="631" t="str">
        <f>F47</f>
        <v>+ 12.83</v>
      </c>
      <c r="F48" s="632"/>
      <c r="G48" s="631" t="str">
        <f>H47</f>
        <v>+ 12.62</v>
      </c>
      <c r="H48" s="632"/>
    </row>
    <row r="49" spans="1:9" s="392" customFormat="1" ht="15" thickBot="1">
      <c r="B49" s="647" t="s">
        <v>452</v>
      </c>
      <c r="C49" s="648">
        <f>C$46+C$48+C$44+C$45</f>
        <v>170.27108956571544</v>
      </c>
      <c r="D49" s="649">
        <f>D38+D47</f>
        <v>0.75</v>
      </c>
      <c r="E49" s="648">
        <f>E$46+E$48+E$44+E$45</f>
        <v>173.22628833321971</v>
      </c>
      <c r="F49" s="649">
        <f>F38+F47</f>
        <v>0.75999999999999979</v>
      </c>
      <c r="G49" s="650">
        <f>G$46+G$48+G$44+G$45</f>
        <v>170.42746054602665</v>
      </c>
      <c r="H49" s="651">
        <f>H38+H47</f>
        <v>0.75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1-000000000000}">
  <sheetPr codeName="Sheet389">
    <tabColor rgb="FF00CC00"/>
  </sheetPr>
  <dimension ref="B2:K31"/>
  <sheetViews>
    <sheetView topLeftCell="A13" workbookViewId="0">
      <selection activeCell="I26" sqref="I26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553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0.62360663649487535</v>
      </c>
      <c r="E23" s="283">
        <f t="shared" ref="E23:F23" si="0">$G$23*$G$8</f>
        <v>0.62360663649487535</v>
      </c>
      <c r="F23" s="283">
        <f t="shared" si="0"/>
        <v>0.62360663649487535</v>
      </c>
      <c r="G23" s="284">
        <f>'Delivery =&lt;40km-Sept 2013'!E24</f>
        <v>0.53759192801282363</v>
      </c>
      <c r="H23" s="262" t="s">
        <v>21</v>
      </c>
      <c r="I23" s="908"/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157.71472368639971</v>
      </c>
      <c r="E25" s="285">
        <f>E19+E21+E23</f>
        <v>160.43830135080267</v>
      </c>
      <c r="F25" s="285">
        <f>F19+F21+F23</f>
        <v>157.87606786472026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1-000000000000}">
  <sheetPr codeName="Sheet390">
    <tabColor rgb="FF0000FF"/>
  </sheetPr>
  <dimension ref="A2:M68"/>
  <sheetViews>
    <sheetView topLeftCell="A26" workbookViewId="0">
      <selection activeCell="F46" sqref="F46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Mbale!G23</f>
        <v>0.53759192801282363</v>
      </c>
      <c r="D40" s="943"/>
      <c r="E40" s="880">
        <f>C40</f>
        <v>0.53759192801282363</v>
      </c>
      <c r="F40" s="943"/>
      <c r="G40" s="613">
        <f>C40</f>
        <v>0.53759192801282363</v>
      </c>
      <c r="H40" s="943"/>
    </row>
    <row r="41" spans="1:8" s="392" customFormat="1">
      <c r="A41" s="605"/>
      <c r="B41" s="617" t="s">
        <v>446</v>
      </c>
      <c r="C41" s="618">
        <f>SUM(C40)</f>
        <v>0.53759192801282363</v>
      </c>
      <c r="D41" s="618"/>
      <c r="E41" s="626">
        <f>SUM(E40)</f>
        <v>0.53759192801282363</v>
      </c>
      <c r="F41" s="944"/>
      <c r="G41" s="618">
        <f>SUM(G40)</f>
        <v>0.53759192801282363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168.77734177700643</v>
      </c>
      <c r="D43" s="610"/>
      <c r="E43" s="613">
        <f>E$37+E$42+E$41</f>
        <v>171.72254054451068</v>
      </c>
      <c r="F43" s="610"/>
      <c r="G43" s="236">
        <f>G$37+G$42+G$41</f>
        <v>168.93371275731764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156.91734177700641</v>
      </c>
      <c r="D46" s="610"/>
      <c r="E46" s="641">
        <f>E$43-E44-E45+F$38</f>
        <v>159.65254054451069</v>
      </c>
      <c r="F46" s="610"/>
      <c r="G46" s="642">
        <f>G$43-G44-G45+H$38</f>
        <v>157.06371275731763</v>
      </c>
      <c r="H46" s="573"/>
    </row>
    <row r="47" spans="1:8">
      <c r="B47" s="503" t="s">
        <v>445</v>
      </c>
      <c r="C47" s="644"/>
      <c r="D47" s="696" t="str">
        <f>CONCATENATE("+ ",ROUND((C$46*0.08),2))</f>
        <v>+ 12.55</v>
      </c>
      <c r="E47" s="644"/>
      <c r="F47" s="627" t="str">
        <f>CONCATENATE("+ ",ROUND((E$46*0.08),2))</f>
        <v>+ 12.77</v>
      </c>
      <c r="G47" s="645"/>
      <c r="H47" s="627" t="str">
        <f>CONCATENATE("+ ",ROUND((G$46*0.08),2))</f>
        <v>+ 12.57</v>
      </c>
    </row>
    <row r="48" spans="1:8" ht="15" thickBot="1">
      <c r="B48" s="646" t="s">
        <v>449</v>
      </c>
      <c r="C48" s="697" t="str">
        <f>D47</f>
        <v>+ 12.55</v>
      </c>
      <c r="D48" s="632"/>
      <c r="E48" s="631" t="str">
        <f>F47</f>
        <v>+ 12.77</v>
      </c>
      <c r="F48" s="632"/>
      <c r="G48" s="631" t="str">
        <f>H47</f>
        <v>+ 12.57</v>
      </c>
      <c r="H48" s="632"/>
    </row>
    <row r="49" spans="1:9" s="392" customFormat="1" ht="15" thickBot="1">
      <c r="B49" s="647" t="s">
        <v>452</v>
      </c>
      <c r="C49" s="648">
        <f>C$46+C$48+C$44+C$45</f>
        <v>169.46734177700642</v>
      </c>
      <c r="D49" s="649">
        <f>D38+D47</f>
        <v>0.69000000000000128</v>
      </c>
      <c r="E49" s="648">
        <f>E$46+E$48+E$44+E$45</f>
        <v>172.4225405445107</v>
      </c>
      <c r="F49" s="649">
        <f>F38+F47</f>
        <v>0.69999999999999929</v>
      </c>
      <c r="G49" s="650">
        <f>G$46+G$48+G$44+G$45</f>
        <v>169.63371275731762</v>
      </c>
      <c r="H49" s="651">
        <f>H38+H47</f>
        <v>0.70000000000000107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1-000000000000}">
  <sheetPr codeName="Sheet391">
    <tabColor rgb="FF00CC00"/>
  </sheetPr>
  <dimension ref="B2:K31"/>
  <sheetViews>
    <sheetView topLeftCell="B14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554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2.1809120486858236</v>
      </c>
      <c r="E23" s="283">
        <f t="shared" ref="E23:F23" si="0">$G$23*$G$8</f>
        <v>2.1809120486858236</v>
      </c>
      <c r="F23" s="283">
        <f t="shared" si="0"/>
        <v>2.1809120486858236</v>
      </c>
      <c r="G23" s="284">
        <f>'Delivery &gt;40km-Sept 2013'!E24*I23/1000</f>
        <v>1.8800965936946756</v>
      </c>
      <c r="H23" s="262" t="s">
        <v>130</v>
      </c>
      <c r="I23" s="908">
        <v>157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159.27202909859065</v>
      </c>
      <c r="E25" s="285">
        <f>E19+E21+E23</f>
        <v>161.99560676299362</v>
      </c>
      <c r="F25" s="285">
        <f>F19+F21+F23</f>
        <v>159.4333732769112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1-000000000000}">
  <sheetPr codeName="Sheet392">
    <tabColor rgb="FF0000FF"/>
  </sheetPr>
  <dimension ref="A2:M68"/>
  <sheetViews>
    <sheetView topLeftCell="A29" workbookViewId="0">
      <selection activeCell="C42" sqref="C42:G42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Etago!G23</f>
        <v>1.8800965936946756</v>
      </c>
      <c r="D40" s="943"/>
      <c r="E40" s="880">
        <f>C40</f>
        <v>1.8800965936946756</v>
      </c>
      <c r="F40" s="943"/>
      <c r="G40" s="613">
        <f>C40</f>
        <v>1.8800965936946756</v>
      </c>
      <c r="H40" s="943"/>
    </row>
    <row r="41" spans="1:8" s="392" customFormat="1">
      <c r="A41" s="605"/>
      <c r="B41" s="617" t="s">
        <v>446</v>
      </c>
      <c r="C41" s="618">
        <f>SUM(C40)</f>
        <v>1.8800965936946756</v>
      </c>
      <c r="D41" s="618"/>
      <c r="E41" s="626">
        <f>SUM(E40)</f>
        <v>1.8800965936946756</v>
      </c>
      <c r="F41" s="944"/>
      <c r="G41" s="618">
        <f>SUM(G40)</f>
        <v>1.8800965936946756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170.11984644268827</v>
      </c>
      <c r="D43" s="610"/>
      <c r="E43" s="613">
        <f>E$37+E$42+E$41</f>
        <v>173.06504521019252</v>
      </c>
      <c r="F43" s="610"/>
      <c r="G43" s="236">
        <f>G$37+G$42+G$41</f>
        <v>170.27621742299948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158.25984644268829</v>
      </c>
      <c r="D46" s="610"/>
      <c r="E46" s="641">
        <f>E$43-E44-E45+F$38</f>
        <v>160.99504521019253</v>
      </c>
      <c r="F46" s="610"/>
      <c r="G46" s="642">
        <f>G$43-G44-G45+H$38</f>
        <v>158.40621742299948</v>
      </c>
      <c r="H46" s="573"/>
    </row>
    <row r="47" spans="1:8">
      <c r="B47" s="503" t="s">
        <v>445</v>
      </c>
      <c r="C47" s="644"/>
      <c r="D47" s="696" t="str">
        <f>CONCATENATE("+ ",ROUND((C$46*0.08),2))</f>
        <v>+ 12.66</v>
      </c>
      <c r="E47" s="644"/>
      <c r="F47" s="627" t="str">
        <f>CONCATENATE("+ ",ROUND((E$46*0.08),2))</f>
        <v>+ 12.88</v>
      </c>
      <c r="G47" s="645"/>
      <c r="H47" s="627" t="str">
        <f>CONCATENATE("+ ",ROUND((G$46*0.08),2))</f>
        <v>+ 12.67</v>
      </c>
    </row>
    <row r="48" spans="1:8" ht="15" thickBot="1">
      <c r="B48" s="646" t="s">
        <v>449</v>
      </c>
      <c r="C48" s="697" t="str">
        <f>D47</f>
        <v>+ 12.66</v>
      </c>
      <c r="D48" s="632"/>
      <c r="E48" s="631" t="str">
        <f>F47</f>
        <v>+ 12.88</v>
      </c>
      <c r="F48" s="632"/>
      <c r="G48" s="631" t="str">
        <f>H47</f>
        <v>+ 12.67</v>
      </c>
      <c r="H48" s="632"/>
    </row>
    <row r="49" spans="1:9" s="392" customFormat="1" ht="15" thickBot="1">
      <c r="B49" s="647" t="s">
        <v>452</v>
      </c>
      <c r="C49" s="648">
        <f>C$46+C$48+C$44+C$45</f>
        <v>170.91984644268828</v>
      </c>
      <c r="D49" s="649">
        <f>D38+D47</f>
        <v>0.80000000000000071</v>
      </c>
      <c r="E49" s="648">
        <f>E$46+E$48+E$44+E$45</f>
        <v>173.87504521019252</v>
      </c>
      <c r="F49" s="649">
        <f>F38+F47</f>
        <v>0.8100000000000005</v>
      </c>
      <c r="G49" s="650">
        <f>G$46+G$48+G$44+G$45</f>
        <v>171.07621742299946</v>
      </c>
      <c r="H49" s="651">
        <f>H38+H47</f>
        <v>0.80000000000000071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1-000000000000}">
  <sheetPr codeName="Sheet393">
    <tabColor rgb="FF00CC00"/>
  </sheetPr>
  <dimension ref="B2:K31"/>
  <sheetViews>
    <sheetView topLeftCell="A7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555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2.2920413250519802</v>
      </c>
      <c r="E23" s="283">
        <f t="shared" ref="E23:F23" si="0">$G$23*$G$8</f>
        <v>2.2920413250519802</v>
      </c>
      <c r="F23" s="283">
        <f t="shared" si="0"/>
        <v>2.2920413250519802</v>
      </c>
      <c r="G23" s="284">
        <f>'Delivery &gt;40km-Sept 2013'!E24*I23/1000</f>
        <v>1.9758976940103279</v>
      </c>
      <c r="H23" s="262" t="s">
        <v>130</v>
      </c>
      <c r="I23" s="908">
        <v>165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159.38315837495679</v>
      </c>
      <c r="E25" s="285">
        <f>E19+E21+E23</f>
        <v>162.10673603935976</v>
      </c>
      <c r="F25" s="285">
        <f>F19+F21+F23</f>
        <v>159.54450255327734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1-000000000000}">
  <sheetPr codeName="Sheet394">
    <tabColor rgb="FF0000FF"/>
  </sheetPr>
  <dimension ref="A2:M68"/>
  <sheetViews>
    <sheetView topLeftCell="A31" workbookViewId="0">
      <selection activeCell="B35" sqref="B35:H35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Magenche!G23</f>
        <v>1.9758976940103279</v>
      </c>
      <c r="D40" s="943"/>
      <c r="E40" s="880">
        <f>C40</f>
        <v>1.9758976940103279</v>
      </c>
      <c r="F40" s="943"/>
      <c r="G40" s="613">
        <f>C40</f>
        <v>1.9758976940103279</v>
      </c>
      <c r="H40" s="943"/>
    </row>
    <row r="41" spans="1:8" s="392" customFormat="1">
      <c r="A41" s="605"/>
      <c r="B41" s="617" t="s">
        <v>446</v>
      </c>
      <c r="C41" s="618">
        <f>SUM(C40)</f>
        <v>1.9758976940103279</v>
      </c>
      <c r="D41" s="618"/>
      <c r="E41" s="626">
        <f>SUM(E40)</f>
        <v>1.9758976940103279</v>
      </c>
      <c r="F41" s="944"/>
      <c r="G41" s="618">
        <f>SUM(G40)</f>
        <v>1.9758976940103279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170.21564754300391</v>
      </c>
      <c r="D43" s="610"/>
      <c r="E43" s="613">
        <f>E$37+E$42+E$41</f>
        <v>173.16084631050816</v>
      </c>
      <c r="F43" s="610"/>
      <c r="G43" s="236">
        <f>G$37+G$42+G$41</f>
        <v>170.37201852331512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158.3556475430039</v>
      </c>
      <c r="D46" s="610"/>
      <c r="E46" s="641">
        <f>E$43-E44-E45+F$38</f>
        <v>161.09084631050817</v>
      </c>
      <c r="F46" s="610"/>
      <c r="G46" s="642">
        <f>G$43-G44-G45+H$38</f>
        <v>158.50201852331512</v>
      </c>
      <c r="H46" s="573"/>
    </row>
    <row r="47" spans="1:8">
      <c r="B47" s="503" t="s">
        <v>445</v>
      </c>
      <c r="C47" s="644"/>
      <c r="D47" s="696" t="str">
        <f>CONCATENATE("+ ",ROUND((C$46*0.08),2))</f>
        <v>+ 12.67</v>
      </c>
      <c r="E47" s="644"/>
      <c r="F47" s="627" t="str">
        <f>CONCATENATE("+ ",ROUND((E$46*0.08),2))</f>
        <v>+ 12.89</v>
      </c>
      <c r="G47" s="645"/>
      <c r="H47" s="627" t="str">
        <f>CONCATENATE("+ ",ROUND((G$46*0.08),2))</f>
        <v>+ 12.68</v>
      </c>
    </row>
    <row r="48" spans="1:8" ht="15" thickBot="1">
      <c r="B48" s="646" t="s">
        <v>449</v>
      </c>
      <c r="C48" s="697" t="str">
        <f>D47</f>
        <v>+ 12.67</v>
      </c>
      <c r="D48" s="632"/>
      <c r="E48" s="631" t="str">
        <f>F47</f>
        <v>+ 12.89</v>
      </c>
      <c r="F48" s="632"/>
      <c r="G48" s="631" t="str">
        <f>H47</f>
        <v>+ 12.68</v>
      </c>
      <c r="H48" s="632"/>
    </row>
    <row r="49" spans="1:9" s="392" customFormat="1" ht="15" thickBot="1">
      <c r="B49" s="647" t="s">
        <v>452</v>
      </c>
      <c r="C49" s="648">
        <f>C$46+C$48+C$44+C$45</f>
        <v>171.02564754300388</v>
      </c>
      <c r="D49" s="649">
        <f>D38+D47</f>
        <v>0.8100000000000005</v>
      </c>
      <c r="E49" s="648">
        <f>E$46+E$48+E$44+E$45</f>
        <v>173.98084631050818</v>
      </c>
      <c r="F49" s="649">
        <f>F38+F47</f>
        <v>0.82000000000000028</v>
      </c>
      <c r="G49" s="650">
        <f>G$46+G$48+G$44+G$45</f>
        <v>171.18201852331512</v>
      </c>
      <c r="H49" s="651">
        <f>H38+H47</f>
        <v>0.8100000000000005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1-000000000000}">
  <sheetPr codeName="Sheet395">
    <tabColor rgb="FF00CC00"/>
  </sheetPr>
  <dimension ref="B2:K31"/>
  <sheetViews>
    <sheetView topLeftCell="A13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556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2.1114562509569756</v>
      </c>
      <c r="E23" s="283">
        <f t="shared" ref="E23:F23" si="0">$G$23*$G$8</f>
        <v>2.1114562509569756</v>
      </c>
      <c r="F23" s="283">
        <f t="shared" si="0"/>
        <v>2.1114562509569756</v>
      </c>
      <c r="G23" s="284">
        <f>'Delivery &gt;40km-Sept 2013'!E24*I23/1000</f>
        <v>1.8202209059973931</v>
      </c>
      <c r="H23" s="262" t="s">
        <v>130</v>
      </c>
      <c r="I23" s="908">
        <v>152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159.20257330086179</v>
      </c>
      <c r="E25" s="285">
        <f>E19+E21+E23</f>
        <v>161.92615096526475</v>
      </c>
      <c r="F25" s="285">
        <f>F19+F21+F23</f>
        <v>159.36391747918233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1-000000000000}">
  <sheetPr codeName="Sheet396">
    <tabColor rgb="FF0000FF"/>
  </sheetPr>
  <dimension ref="A2:M68"/>
  <sheetViews>
    <sheetView workbookViewId="0">
      <selection sqref="A1:XFD1048576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Kilgoris!G23</f>
        <v>1.8202209059973931</v>
      </c>
      <c r="D40" s="943"/>
      <c r="E40" s="880">
        <f>C40</f>
        <v>1.8202209059973931</v>
      </c>
      <c r="F40" s="943"/>
      <c r="G40" s="613">
        <f>C40</f>
        <v>1.8202209059973931</v>
      </c>
      <c r="H40" s="943"/>
    </row>
    <row r="41" spans="1:8" s="392" customFormat="1">
      <c r="A41" s="605"/>
      <c r="B41" s="617" t="s">
        <v>446</v>
      </c>
      <c r="C41" s="618">
        <f>SUM(C40)</f>
        <v>1.8202209059973931</v>
      </c>
      <c r="D41" s="618"/>
      <c r="E41" s="626">
        <f>SUM(E40)</f>
        <v>1.8202209059973931</v>
      </c>
      <c r="F41" s="944"/>
      <c r="G41" s="618">
        <f>SUM(G40)</f>
        <v>1.8202209059973931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170.05997075499099</v>
      </c>
      <c r="D43" s="610"/>
      <c r="E43" s="613">
        <f>E$37+E$42+E$41</f>
        <v>173.00516952249524</v>
      </c>
      <c r="F43" s="610"/>
      <c r="G43" s="236">
        <f>G$37+G$42+G$41</f>
        <v>170.21634173530219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158.199970754991</v>
      </c>
      <c r="D46" s="610"/>
      <c r="E46" s="641">
        <f>E$43-E44-E45+F$38</f>
        <v>160.93516952249524</v>
      </c>
      <c r="F46" s="610"/>
      <c r="G46" s="642">
        <f>G$43-G44-G45+H$38</f>
        <v>158.34634173530219</v>
      </c>
      <c r="H46" s="573"/>
    </row>
    <row r="47" spans="1:8">
      <c r="B47" s="503" t="s">
        <v>445</v>
      </c>
      <c r="C47" s="644"/>
      <c r="D47" s="696" t="str">
        <f>CONCATENATE("+ ",ROUND((C$46*0.08),2))</f>
        <v>+ 12.66</v>
      </c>
      <c r="E47" s="644"/>
      <c r="F47" s="627" t="str">
        <f>CONCATENATE("+ ",ROUND((E$46*0.08),2))</f>
        <v>+ 12.87</v>
      </c>
      <c r="G47" s="645"/>
      <c r="H47" s="627" t="str">
        <f>CONCATENATE("+ ",ROUND((G$46*0.08),2))</f>
        <v>+ 12.67</v>
      </c>
    </row>
    <row r="48" spans="1:8" ht="15" thickBot="1">
      <c r="B48" s="646" t="s">
        <v>449</v>
      </c>
      <c r="C48" s="697" t="str">
        <f>D47</f>
        <v>+ 12.66</v>
      </c>
      <c r="D48" s="632"/>
      <c r="E48" s="631" t="str">
        <f>F47</f>
        <v>+ 12.87</v>
      </c>
      <c r="F48" s="632"/>
      <c r="G48" s="631" t="str">
        <f>H47</f>
        <v>+ 12.67</v>
      </c>
      <c r="H48" s="632"/>
    </row>
    <row r="49" spans="1:9" s="392" customFormat="1" ht="15" thickBot="1">
      <c r="B49" s="647" t="s">
        <v>452</v>
      </c>
      <c r="C49" s="648">
        <f>C$46+C$48+C$44+C$45</f>
        <v>170.859970754991</v>
      </c>
      <c r="D49" s="649">
        <f>D38+D47</f>
        <v>0.80000000000000071</v>
      </c>
      <c r="E49" s="648">
        <f>E$46+E$48+E$44+E$45</f>
        <v>173.80516952249525</v>
      </c>
      <c r="F49" s="649">
        <f>F38+F47</f>
        <v>0.79999999999999893</v>
      </c>
      <c r="G49" s="650">
        <f>G$46+G$48+G$44+G$45</f>
        <v>171.01634173530218</v>
      </c>
      <c r="H49" s="651">
        <f>H38+H47</f>
        <v>0.80000000000000071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1-000000000000}">
  <sheetPr codeName="Sheet397"/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556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1.0140546468411791</v>
      </c>
      <c r="E23" s="283">
        <f t="shared" ref="E23:F23" si="0">$G$23*$G$8</f>
        <v>1.0140546468411791</v>
      </c>
      <c r="F23" s="283">
        <f t="shared" si="0"/>
        <v>1.0140546468411791</v>
      </c>
      <c r="G23" s="284">
        <f>'Delivery &gt;40km-Sept 2013'!E24*I23/1000</f>
        <v>0.87418504038032685</v>
      </c>
      <c r="H23" s="262" t="s">
        <v>130</v>
      </c>
      <c r="I23" s="908">
        <v>73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158.105171696746</v>
      </c>
      <c r="E25" s="285">
        <f>E19+E21+E23</f>
        <v>160.82874936114897</v>
      </c>
      <c r="F25" s="285">
        <f>F19+F21+F23</f>
        <v>158.26651587506655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1-000000000000}">
  <sheetPr codeName="Sheet398"/>
  <dimension ref="A2:M68"/>
  <sheetViews>
    <sheetView topLeftCell="A45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Malava!G23</f>
        <v>0.87418504038032685</v>
      </c>
      <c r="D40" s="943"/>
      <c r="E40" s="880">
        <f>C40</f>
        <v>0.87418504038032685</v>
      </c>
      <c r="F40" s="943"/>
      <c r="G40" s="613">
        <f>C40</f>
        <v>0.87418504038032685</v>
      </c>
      <c r="H40" s="943"/>
    </row>
    <row r="41" spans="1:8" s="392" customFormat="1">
      <c r="A41" s="605"/>
      <c r="B41" s="617" t="s">
        <v>446</v>
      </c>
      <c r="C41" s="618">
        <f>SUM(C40)</f>
        <v>0.87418504038032685</v>
      </c>
      <c r="D41" s="618"/>
      <c r="E41" s="626">
        <f>SUM(E40)</f>
        <v>0.87418504038032685</v>
      </c>
      <c r="F41" s="944"/>
      <c r="G41" s="618">
        <f>SUM(G40)</f>
        <v>0.87418504038032685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169.11393488937392</v>
      </c>
      <c r="D43" s="610"/>
      <c r="E43" s="613">
        <f>E$37+E$42+E$41</f>
        <v>172.05913365687817</v>
      </c>
      <c r="F43" s="610"/>
      <c r="G43" s="236">
        <f>G$37+G$42+G$41</f>
        <v>169.27030586968513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157.25393488937391</v>
      </c>
      <c r="D46" s="610"/>
      <c r="E46" s="641">
        <f>E$43-E44-E45+F$38</f>
        <v>159.98913365687818</v>
      </c>
      <c r="F46" s="610"/>
      <c r="G46" s="642">
        <f>G$43-G44-G45+H$38</f>
        <v>157.40030586968513</v>
      </c>
      <c r="H46" s="573"/>
    </row>
    <row r="47" spans="1:8">
      <c r="B47" s="503" t="s">
        <v>445</v>
      </c>
      <c r="C47" s="644"/>
      <c r="D47" s="696" t="str">
        <f>CONCATENATE("+ ",ROUND((C$46*0.08),2))</f>
        <v>+ 12.58</v>
      </c>
      <c r="E47" s="644"/>
      <c r="F47" s="627" t="str">
        <f>CONCATENATE("+ ",ROUND((E$46*0.08),2))</f>
        <v>+ 12.8</v>
      </c>
      <c r="G47" s="645"/>
      <c r="H47" s="627" t="str">
        <f>CONCATENATE("+ ",ROUND((G$46*0.08),2))</f>
        <v>+ 12.59</v>
      </c>
    </row>
    <row r="48" spans="1:8" ht="15" thickBot="1">
      <c r="B48" s="646" t="s">
        <v>449</v>
      </c>
      <c r="C48" s="697" t="str">
        <f>D47</f>
        <v>+ 12.58</v>
      </c>
      <c r="D48" s="632"/>
      <c r="E48" s="631" t="str">
        <f>F47</f>
        <v>+ 12.8</v>
      </c>
      <c r="F48" s="632"/>
      <c r="G48" s="631" t="str">
        <f>H47</f>
        <v>+ 12.59</v>
      </c>
      <c r="H48" s="632"/>
    </row>
    <row r="49" spans="1:9" s="392" customFormat="1" ht="15" thickBot="1">
      <c r="B49" s="647" t="s">
        <v>452</v>
      </c>
      <c r="C49" s="648">
        <f>C$46+C$48+C$44+C$45</f>
        <v>169.83393488937392</v>
      </c>
      <c r="D49" s="649">
        <f>D38+D47</f>
        <v>0.72000000000000064</v>
      </c>
      <c r="E49" s="648">
        <f>E$46+E$48+E$44+E$45</f>
        <v>172.78913365687819</v>
      </c>
      <c r="F49" s="649">
        <f>F38+F47</f>
        <v>0.73000000000000043</v>
      </c>
      <c r="G49" s="650">
        <f>G$46+G$48+G$44+G$45</f>
        <v>169.99030586968513</v>
      </c>
      <c r="H49" s="651">
        <f>H38+H47</f>
        <v>0.72000000000000064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1-000000000000}">
  <sheetPr codeName="Sheet399"/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556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1.4307894332142663</v>
      </c>
      <c r="E23" s="283">
        <f t="shared" ref="E23:F23" si="0">$G$23*$G$8</f>
        <v>1.4307894332142663</v>
      </c>
      <c r="F23" s="283">
        <f t="shared" si="0"/>
        <v>1.4307894332142663</v>
      </c>
      <c r="G23" s="284">
        <f>'Delivery &gt;40km-Sept 2013'!E24*I23/1000</f>
        <v>1.2334391665640227</v>
      </c>
      <c r="H23" s="262" t="s">
        <v>130</v>
      </c>
      <c r="I23" s="908">
        <v>103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158.5219064831191</v>
      </c>
      <c r="E25" s="285">
        <f>E19+E21+E23</f>
        <v>161.24548414752206</v>
      </c>
      <c r="F25" s="285">
        <f>F19+F21+F23</f>
        <v>158.68325066143964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1-000000000000}">
  <sheetPr codeName="Sheet400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Lugari!G23</f>
        <v>1.2334391665640227</v>
      </c>
      <c r="D40" s="943"/>
      <c r="E40" s="880">
        <f>C40</f>
        <v>1.2334391665640227</v>
      </c>
      <c r="F40" s="943"/>
      <c r="G40" s="613">
        <f>C40</f>
        <v>1.2334391665640227</v>
      </c>
      <c r="H40" s="943"/>
    </row>
    <row r="41" spans="1:8" s="392" customFormat="1">
      <c r="A41" s="605"/>
      <c r="B41" s="617" t="s">
        <v>446</v>
      </c>
      <c r="C41" s="618">
        <f>SUM(C40)</f>
        <v>1.2334391665640227</v>
      </c>
      <c r="D41" s="618"/>
      <c r="E41" s="626">
        <f>SUM(E40)</f>
        <v>1.2334391665640227</v>
      </c>
      <c r="F41" s="944"/>
      <c r="G41" s="618">
        <f>SUM(G40)</f>
        <v>1.2334391665640227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169.47318901555761</v>
      </c>
      <c r="D43" s="610"/>
      <c r="E43" s="613">
        <f>E$37+E$42+E$41</f>
        <v>172.41838778306186</v>
      </c>
      <c r="F43" s="610"/>
      <c r="G43" s="236">
        <f>G$37+G$42+G$41</f>
        <v>169.62955999586882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157.61318901555762</v>
      </c>
      <c r="D46" s="610"/>
      <c r="E46" s="641">
        <f>E$43-E44-E45+F$38</f>
        <v>160.34838778306187</v>
      </c>
      <c r="F46" s="610"/>
      <c r="G46" s="642">
        <f>G$43-G44-G45+H$38</f>
        <v>157.75955999586881</v>
      </c>
      <c r="H46" s="573"/>
    </row>
    <row r="47" spans="1:8">
      <c r="B47" s="503" t="s">
        <v>445</v>
      </c>
      <c r="C47" s="644"/>
      <c r="D47" s="696" t="str">
        <f>CONCATENATE("+ ",ROUND((C$46*0.08),2))</f>
        <v>+ 12.61</v>
      </c>
      <c r="E47" s="644"/>
      <c r="F47" s="627" t="str">
        <f>CONCATENATE("+ ",ROUND((E$46*0.08),2))</f>
        <v>+ 12.83</v>
      </c>
      <c r="G47" s="645"/>
      <c r="H47" s="627" t="str">
        <f>CONCATENATE("+ ",ROUND((G$46*0.08),2))</f>
        <v>+ 12.62</v>
      </c>
    </row>
    <row r="48" spans="1:8" ht="15" thickBot="1">
      <c r="B48" s="646" t="s">
        <v>449</v>
      </c>
      <c r="C48" s="697" t="str">
        <f>D47</f>
        <v>+ 12.61</v>
      </c>
      <c r="D48" s="632"/>
      <c r="E48" s="631" t="str">
        <f>F47</f>
        <v>+ 12.83</v>
      </c>
      <c r="F48" s="632"/>
      <c r="G48" s="631" t="str">
        <f>H47</f>
        <v>+ 12.62</v>
      </c>
      <c r="H48" s="632"/>
    </row>
    <row r="49" spans="1:9" s="392" customFormat="1" ht="15" thickBot="1">
      <c r="B49" s="647" t="s">
        <v>452</v>
      </c>
      <c r="C49" s="648">
        <f>C$46+C$48+C$44+C$45</f>
        <v>170.22318901555764</v>
      </c>
      <c r="D49" s="649">
        <f>D38+D47</f>
        <v>0.75</v>
      </c>
      <c r="E49" s="648">
        <f>E$46+E$48+E$44+E$45</f>
        <v>173.17838778306188</v>
      </c>
      <c r="F49" s="649">
        <f>F38+F47</f>
        <v>0.75999999999999979</v>
      </c>
      <c r="G49" s="650">
        <f>G$46+G$48+G$44+G$45</f>
        <v>170.37955999586882</v>
      </c>
      <c r="H49" s="651">
        <f>H38+H47</f>
        <v>0.75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1-000000000000}">
  <sheetPr codeName="Sheet401"/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556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1.5697010286719624</v>
      </c>
      <c r="E23" s="283">
        <f t="shared" ref="E23:F23" si="0">$G$23*$G$8</f>
        <v>1.5697010286719624</v>
      </c>
      <c r="F23" s="283">
        <f t="shared" si="0"/>
        <v>1.5697010286719624</v>
      </c>
      <c r="G23" s="284">
        <f>'Delivery &gt;40km-Sept 2013'!E24*I23/1000</f>
        <v>1.3531905419585883</v>
      </c>
      <c r="H23" s="262" t="s">
        <v>130</v>
      </c>
      <c r="I23" s="908">
        <v>113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158.6608180785768</v>
      </c>
      <c r="E25" s="285">
        <f>E19+E21+E23</f>
        <v>161.38439574297976</v>
      </c>
      <c r="F25" s="285">
        <f>F19+F21+F23</f>
        <v>158.82216225689734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1-000000000000}">
  <sheetPr codeName="Sheet402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'Rodi Kopany'!G23</f>
        <v>1.3531905419585883</v>
      </c>
      <c r="D40" s="943"/>
      <c r="E40" s="880">
        <f>C40</f>
        <v>1.3531905419585883</v>
      </c>
      <c r="F40" s="943"/>
      <c r="G40" s="613">
        <f>C40</f>
        <v>1.3531905419585883</v>
      </c>
      <c r="H40" s="943"/>
    </row>
    <row r="41" spans="1:8" s="392" customFormat="1">
      <c r="A41" s="605"/>
      <c r="B41" s="617" t="s">
        <v>446</v>
      </c>
      <c r="C41" s="618">
        <f>SUM(C40)</f>
        <v>1.3531905419585883</v>
      </c>
      <c r="D41" s="618"/>
      <c r="E41" s="626">
        <f>SUM(E40)</f>
        <v>1.3531905419585883</v>
      </c>
      <c r="F41" s="944"/>
      <c r="G41" s="618">
        <f>SUM(G40)</f>
        <v>1.3531905419585883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169.59294039095218</v>
      </c>
      <c r="D43" s="610"/>
      <c r="E43" s="613">
        <f>E$37+E$42+E$41</f>
        <v>172.53813915845643</v>
      </c>
      <c r="F43" s="610"/>
      <c r="G43" s="236">
        <f>G$37+G$42+G$41</f>
        <v>169.74931137126339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157.73294039095219</v>
      </c>
      <c r="D46" s="610"/>
      <c r="E46" s="641">
        <f>E$43-E44-E45+F$38</f>
        <v>160.46813915845644</v>
      </c>
      <c r="F46" s="610"/>
      <c r="G46" s="642">
        <f>G$43-G44-G45+H$38</f>
        <v>157.87931137126338</v>
      </c>
      <c r="H46" s="573"/>
    </row>
    <row r="47" spans="1:8">
      <c r="B47" s="503" t="s">
        <v>445</v>
      </c>
      <c r="C47" s="644"/>
      <c r="D47" s="696" t="str">
        <f>CONCATENATE("+ ",ROUND((C$46*0.08),2))</f>
        <v>+ 12.62</v>
      </c>
      <c r="E47" s="644"/>
      <c r="F47" s="627" t="str">
        <f>CONCATENATE("+ ",ROUND((E$46*0.08),2))</f>
        <v>+ 12.84</v>
      </c>
      <c r="G47" s="645"/>
      <c r="H47" s="627" t="str">
        <f>CONCATENATE("+ ",ROUND((G$46*0.08),2))</f>
        <v>+ 12.63</v>
      </c>
    </row>
    <row r="48" spans="1:8" ht="15" thickBot="1">
      <c r="B48" s="646" t="s">
        <v>449</v>
      </c>
      <c r="C48" s="697" t="str">
        <f>D47</f>
        <v>+ 12.62</v>
      </c>
      <c r="D48" s="632"/>
      <c r="E48" s="631" t="str">
        <f>F47</f>
        <v>+ 12.84</v>
      </c>
      <c r="F48" s="632"/>
      <c r="G48" s="631" t="str">
        <f>H47</f>
        <v>+ 12.63</v>
      </c>
      <c r="H48" s="632"/>
    </row>
    <row r="49" spans="1:9" s="392" customFormat="1" ht="15" thickBot="1">
      <c r="B49" s="647" t="s">
        <v>452</v>
      </c>
      <c r="C49" s="648">
        <f>C$46+C$48+C$44+C$45</f>
        <v>170.3529403909522</v>
      </c>
      <c r="D49" s="649">
        <f>D38+D47</f>
        <v>0.75999999999999979</v>
      </c>
      <c r="E49" s="648">
        <f>E$46+E$48+E$44+E$45</f>
        <v>173.30813915845644</v>
      </c>
      <c r="F49" s="649">
        <f>F38+F47</f>
        <v>0.76999999999999957</v>
      </c>
      <c r="G49" s="650">
        <f>G$46+G$48+G$44+G$45</f>
        <v>170.50931137126338</v>
      </c>
      <c r="H49" s="651">
        <f>H38+H47</f>
        <v>0.76000000000000156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1-000000000000}">
  <sheetPr codeName="Sheet403"/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556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1.8614153791331234</v>
      </c>
      <c r="E23" s="283">
        <f t="shared" ref="E23:F23" si="0">$G$23*$G$8</f>
        <v>1.8614153791331234</v>
      </c>
      <c r="F23" s="283">
        <f t="shared" si="0"/>
        <v>1.8614153791331234</v>
      </c>
      <c r="G23" s="284">
        <f>'Delivery &gt;40km-Sept 2013'!E24*I23/1000</f>
        <v>1.6046684302871754</v>
      </c>
      <c r="H23" s="262" t="s">
        <v>130</v>
      </c>
      <c r="I23" s="908">
        <v>134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158.95253242903794</v>
      </c>
      <c r="E25" s="285">
        <f>E19+E21+E23</f>
        <v>161.67611009344091</v>
      </c>
      <c r="F25" s="285">
        <f>F19+F21+F23</f>
        <v>159.11387660735849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1-000000000000}">
  <sheetPr codeName="Sheet404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Ndhiwa!G23</f>
        <v>1.6046684302871754</v>
      </c>
      <c r="D40" s="943"/>
      <c r="E40" s="880">
        <f>C40</f>
        <v>1.6046684302871754</v>
      </c>
      <c r="F40" s="943"/>
      <c r="G40" s="613">
        <f>C40</f>
        <v>1.6046684302871754</v>
      </c>
      <c r="H40" s="943"/>
    </row>
    <row r="41" spans="1:8" s="392" customFormat="1">
      <c r="A41" s="605"/>
      <c r="B41" s="617" t="s">
        <v>446</v>
      </c>
      <c r="C41" s="618">
        <f>SUM(C40)</f>
        <v>1.6046684302871754</v>
      </c>
      <c r="D41" s="618"/>
      <c r="E41" s="626">
        <f>SUM(E40)</f>
        <v>1.6046684302871754</v>
      </c>
      <c r="F41" s="944"/>
      <c r="G41" s="618">
        <f>SUM(G40)</f>
        <v>1.6046684302871754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169.84441827928077</v>
      </c>
      <c r="D43" s="610"/>
      <c r="E43" s="613">
        <f>E$37+E$42+E$41</f>
        <v>172.78961704678503</v>
      </c>
      <c r="F43" s="610"/>
      <c r="G43" s="236">
        <f>G$37+G$42+G$41</f>
        <v>170.00078925959198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157.98441827928076</v>
      </c>
      <c r="D46" s="610"/>
      <c r="E46" s="641">
        <f>E$43-E44-E45+F$38</f>
        <v>160.71961704678503</v>
      </c>
      <c r="F46" s="610"/>
      <c r="G46" s="642">
        <f>G$43-G44-G45+H$38</f>
        <v>158.13078925959198</v>
      </c>
      <c r="H46" s="573"/>
    </row>
    <row r="47" spans="1:8">
      <c r="B47" s="503" t="s">
        <v>445</v>
      </c>
      <c r="C47" s="644"/>
      <c r="D47" s="696" t="str">
        <f>CONCATENATE("+ ",ROUND((C$46*0.08),2))</f>
        <v>+ 12.64</v>
      </c>
      <c r="E47" s="644"/>
      <c r="F47" s="627" t="str">
        <f>CONCATENATE("+ ",ROUND((E$46*0.08),2))</f>
        <v>+ 12.86</v>
      </c>
      <c r="G47" s="645"/>
      <c r="H47" s="627" t="str">
        <f>CONCATENATE("+ ",ROUND((G$46*0.08),2))</f>
        <v>+ 12.65</v>
      </c>
    </row>
    <row r="48" spans="1:8" ht="15" thickBot="1">
      <c r="B48" s="646" t="s">
        <v>449</v>
      </c>
      <c r="C48" s="697" t="str">
        <f>D47</f>
        <v>+ 12.64</v>
      </c>
      <c r="D48" s="632"/>
      <c r="E48" s="631" t="str">
        <f>F47</f>
        <v>+ 12.86</v>
      </c>
      <c r="F48" s="632"/>
      <c r="G48" s="631" t="str">
        <f>H47</f>
        <v>+ 12.65</v>
      </c>
      <c r="H48" s="632"/>
    </row>
    <row r="49" spans="1:9" s="392" customFormat="1" ht="15" thickBot="1">
      <c r="B49" s="647" t="s">
        <v>452</v>
      </c>
      <c r="C49" s="648">
        <f>C$46+C$48+C$44+C$45</f>
        <v>170.62441827928075</v>
      </c>
      <c r="D49" s="649">
        <f>D38+D47</f>
        <v>0.78000000000000114</v>
      </c>
      <c r="E49" s="648">
        <f>E$46+E$48+E$44+E$45</f>
        <v>173.57961704678502</v>
      </c>
      <c r="F49" s="649">
        <f>F38+F47</f>
        <v>0.78999999999999915</v>
      </c>
      <c r="G49" s="650">
        <f>G$46+G$48+G$44+G$45</f>
        <v>170.78078925959198</v>
      </c>
      <c r="H49" s="651">
        <f>H38+H47</f>
        <v>0.78000000000000114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1-000000000000}">
  <sheetPr codeName="Sheet405"/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556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1.5558098691261926</v>
      </c>
      <c r="E23" s="283">
        <f t="shared" ref="E23:F23" si="0">$G$23*$G$8</f>
        <v>1.5558098691261926</v>
      </c>
      <c r="F23" s="283">
        <f t="shared" si="0"/>
        <v>1.5558098691261926</v>
      </c>
      <c r="G23" s="284">
        <f>'Delivery &gt;40km-Sept 2013'!E24*I23/1000</f>
        <v>1.3412154044191316</v>
      </c>
      <c r="H23" s="262" t="s">
        <v>130</v>
      </c>
      <c r="I23" s="908">
        <v>112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158.64692691903102</v>
      </c>
      <c r="E25" s="285">
        <f>E19+E21+E23</f>
        <v>161.37050458343398</v>
      </c>
      <c r="F25" s="285">
        <f>F19+F21+F23</f>
        <v>158.80827109735156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1-000000000000}">
  <sheetPr codeName="Sheet406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Rangwe!G23</f>
        <v>1.3412154044191316</v>
      </c>
      <c r="D40" s="943"/>
      <c r="E40" s="880">
        <f>C40</f>
        <v>1.3412154044191316</v>
      </c>
      <c r="F40" s="943"/>
      <c r="G40" s="613">
        <f>C40</f>
        <v>1.3412154044191316</v>
      </c>
      <c r="H40" s="943"/>
    </row>
    <row r="41" spans="1:8" s="392" customFormat="1">
      <c r="A41" s="605"/>
      <c r="B41" s="617" t="s">
        <v>446</v>
      </c>
      <c r="C41" s="618">
        <f>SUM(C40)</f>
        <v>1.3412154044191316</v>
      </c>
      <c r="D41" s="618"/>
      <c r="E41" s="626">
        <f>SUM(E40)</f>
        <v>1.3412154044191316</v>
      </c>
      <c r="F41" s="944"/>
      <c r="G41" s="618">
        <f>SUM(G40)</f>
        <v>1.3412154044191316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169.58096525341273</v>
      </c>
      <c r="D43" s="610"/>
      <c r="E43" s="613">
        <f>E$37+E$42+E$41</f>
        <v>172.52616402091698</v>
      </c>
      <c r="F43" s="610"/>
      <c r="G43" s="236">
        <f>G$37+G$42+G$41</f>
        <v>169.73733623372394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157.72096525341271</v>
      </c>
      <c r="D46" s="610"/>
      <c r="E46" s="641">
        <f>E$43-E44-E45+F$38</f>
        <v>160.45616402091699</v>
      </c>
      <c r="F46" s="610"/>
      <c r="G46" s="642">
        <f>G$43-G44-G45+H$38</f>
        <v>157.86733623372393</v>
      </c>
      <c r="H46" s="573"/>
    </row>
    <row r="47" spans="1:8">
      <c r="B47" s="503" t="s">
        <v>445</v>
      </c>
      <c r="C47" s="644"/>
      <c r="D47" s="696" t="str">
        <f>CONCATENATE("+ ",ROUND((C$46*0.08),2))</f>
        <v>+ 12.62</v>
      </c>
      <c r="E47" s="644"/>
      <c r="F47" s="627" t="str">
        <f>CONCATENATE("+ ",ROUND((E$46*0.08),2))</f>
        <v>+ 12.84</v>
      </c>
      <c r="G47" s="645"/>
      <c r="H47" s="627" t="str">
        <f>CONCATENATE("+ ",ROUND((G$46*0.08),2))</f>
        <v>+ 12.63</v>
      </c>
    </row>
    <row r="48" spans="1:8" ht="15" thickBot="1">
      <c r="B48" s="646" t="s">
        <v>449</v>
      </c>
      <c r="C48" s="697" t="str">
        <f>D47</f>
        <v>+ 12.62</v>
      </c>
      <c r="D48" s="632"/>
      <c r="E48" s="631" t="str">
        <f>F47</f>
        <v>+ 12.84</v>
      </c>
      <c r="F48" s="632"/>
      <c r="G48" s="631" t="str">
        <f>H47</f>
        <v>+ 12.63</v>
      </c>
      <c r="H48" s="632"/>
    </row>
    <row r="49" spans="1:9" s="392" customFormat="1" ht="15" thickBot="1">
      <c r="B49" s="647" t="s">
        <v>452</v>
      </c>
      <c r="C49" s="648">
        <f>C$46+C$48+C$44+C$45</f>
        <v>170.34096525341272</v>
      </c>
      <c r="D49" s="649">
        <f>D38+D47</f>
        <v>0.75999999999999979</v>
      </c>
      <c r="E49" s="648">
        <f>E$46+E$48+E$44+E$45</f>
        <v>173.29616402091699</v>
      </c>
      <c r="F49" s="649">
        <f>F38+F47</f>
        <v>0.76999999999999957</v>
      </c>
      <c r="G49" s="650">
        <f>G$46+G$48+G$44+G$45</f>
        <v>170.49733623372393</v>
      </c>
      <c r="H49" s="651">
        <f>H38+H47</f>
        <v>0.76000000000000156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1-000000000000}">
  <sheetPr codeName="Sheet407"/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556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1.5697010286719624</v>
      </c>
      <c r="E23" s="283">
        <f t="shared" ref="E23:F23" si="0">$G$23*$G$8</f>
        <v>1.5697010286719624</v>
      </c>
      <c r="F23" s="283">
        <f t="shared" si="0"/>
        <v>1.5697010286719624</v>
      </c>
      <c r="G23" s="284">
        <f>'Delivery &gt;40km-Sept 2013'!E24*I23/1000</f>
        <v>1.3531905419585883</v>
      </c>
      <c r="H23" s="262" t="s">
        <v>130</v>
      </c>
      <c r="I23" s="908">
        <v>113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158.6608180785768</v>
      </c>
      <c r="E25" s="285">
        <f>E19+E21+E23</f>
        <v>161.38439574297976</v>
      </c>
      <c r="F25" s="285">
        <f>F19+F21+F23</f>
        <v>158.82216225689734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1-000000000000}">
  <sheetPr codeName="Sheet408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Sindo!G23</f>
        <v>1.3531905419585883</v>
      </c>
      <c r="D40" s="943"/>
      <c r="E40" s="880">
        <f>C40</f>
        <v>1.3531905419585883</v>
      </c>
      <c r="F40" s="943"/>
      <c r="G40" s="613">
        <f>C40</f>
        <v>1.3531905419585883</v>
      </c>
      <c r="H40" s="943"/>
    </row>
    <row r="41" spans="1:8" s="392" customFormat="1">
      <c r="A41" s="605"/>
      <c r="B41" s="617" t="s">
        <v>446</v>
      </c>
      <c r="C41" s="618">
        <f>SUM(C40)</f>
        <v>1.3531905419585883</v>
      </c>
      <c r="D41" s="618"/>
      <c r="E41" s="626">
        <f>SUM(E40)</f>
        <v>1.3531905419585883</v>
      </c>
      <c r="F41" s="944"/>
      <c r="G41" s="618">
        <f>SUM(G40)</f>
        <v>1.3531905419585883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169.59294039095218</v>
      </c>
      <c r="D43" s="610"/>
      <c r="E43" s="613">
        <f>E$37+E$42+E$41</f>
        <v>172.53813915845643</v>
      </c>
      <c r="F43" s="610"/>
      <c r="G43" s="236">
        <f>G$37+G$42+G$41</f>
        <v>169.74931137126339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157.73294039095219</v>
      </c>
      <c r="D46" s="610"/>
      <c r="E46" s="641">
        <f>E$43-E44-E45+F$38</f>
        <v>160.46813915845644</v>
      </c>
      <c r="F46" s="610"/>
      <c r="G46" s="642">
        <f>G$43-G44-G45+H$38</f>
        <v>157.87931137126338</v>
      </c>
      <c r="H46" s="573"/>
    </row>
    <row r="47" spans="1:8">
      <c r="B47" s="503" t="s">
        <v>445</v>
      </c>
      <c r="C47" s="644"/>
      <c r="D47" s="696" t="str">
        <f>CONCATENATE("+ ",ROUND((C$46*0.08),2))</f>
        <v>+ 12.62</v>
      </c>
      <c r="E47" s="644"/>
      <c r="F47" s="627" t="str">
        <f>CONCATENATE("+ ",ROUND((E$46*0.08),2))</f>
        <v>+ 12.84</v>
      </c>
      <c r="G47" s="645"/>
      <c r="H47" s="627" t="str">
        <f>CONCATENATE("+ ",ROUND((G$46*0.08),2))</f>
        <v>+ 12.63</v>
      </c>
    </row>
    <row r="48" spans="1:8" ht="15" thickBot="1">
      <c r="B48" s="646" t="s">
        <v>449</v>
      </c>
      <c r="C48" s="697" t="str">
        <f>D47</f>
        <v>+ 12.62</v>
      </c>
      <c r="D48" s="632"/>
      <c r="E48" s="631" t="str">
        <f>F47</f>
        <v>+ 12.84</v>
      </c>
      <c r="F48" s="632"/>
      <c r="G48" s="631" t="str">
        <f>H47</f>
        <v>+ 12.63</v>
      </c>
      <c r="H48" s="632"/>
    </row>
    <row r="49" spans="1:9" s="392" customFormat="1" ht="15" thickBot="1">
      <c r="B49" s="647" t="s">
        <v>452</v>
      </c>
      <c r="C49" s="648">
        <f>C$46+C$48+C$44+C$45</f>
        <v>170.3529403909522</v>
      </c>
      <c r="D49" s="649">
        <f>D38+D47</f>
        <v>0.75999999999999979</v>
      </c>
      <c r="E49" s="648">
        <f>E$46+E$48+E$44+E$45</f>
        <v>173.30813915845644</v>
      </c>
      <c r="F49" s="649">
        <f>F38+F47</f>
        <v>0.76999999999999957</v>
      </c>
      <c r="G49" s="650">
        <f>G$46+G$48+G$44+G$45</f>
        <v>170.50931137126338</v>
      </c>
      <c r="H49" s="651">
        <f>H38+H47</f>
        <v>0.76000000000000156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1-000000000000}">
  <sheetPr codeName="Sheet409"/>
  <dimension ref="B2:K31"/>
  <sheetViews>
    <sheetView topLeftCell="A6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556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0.58342870092232224</v>
      </c>
      <c r="E23" s="283">
        <f t="shared" ref="E23:F23" si="0">$G$23*$G$8</f>
        <v>0.58342870092232224</v>
      </c>
      <c r="F23" s="283">
        <f t="shared" si="0"/>
        <v>0.58342870092232224</v>
      </c>
      <c r="G23" s="284">
        <f>'Delivery &gt;40km-Sept 2013'!E24*I23/1000</f>
        <v>0.50295577665717439</v>
      </c>
      <c r="H23" s="262" t="s">
        <v>130</v>
      </c>
      <c r="I23" s="908">
        <v>42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157.67454575082715</v>
      </c>
      <c r="E25" s="285">
        <f>E19+E21+E23</f>
        <v>160.39812341523012</v>
      </c>
      <c r="F25" s="285">
        <f>F19+F21+F23</f>
        <v>157.8358899291477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1-000000000000}">
  <sheetPr codeName="Sheet410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Awasi!G23</f>
        <v>0.50295577665717439</v>
      </c>
      <c r="D40" s="943"/>
      <c r="E40" s="880">
        <f>C40</f>
        <v>0.50295577665717439</v>
      </c>
      <c r="F40" s="943"/>
      <c r="G40" s="613">
        <f>C40</f>
        <v>0.50295577665717439</v>
      </c>
      <c r="H40" s="943"/>
    </row>
    <row r="41" spans="1:8" s="392" customFormat="1">
      <c r="A41" s="605"/>
      <c r="B41" s="617" t="s">
        <v>446</v>
      </c>
      <c r="C41" s="618">
        <f>SUM(C40)</f>
        <v>0.50295577665717439</v>
      </c>
      <c r="D41" s="618"/>
      <c r="E41" s="626">
        <f>SUM(E40)</f>
        <v>0.50295577665717439</v>
      </c>
      <c r="F41" s="944"/>
      <c r="G41" s="618">
        <f>SUM(G40)</f>
        <v>0.50295577665717439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168.74270562565079</v>
      </c>
      <c r="D43" s="610"/>
      <c r="E43" s="613">
        <f>E$37+E$42+E$41</f>
        <v>171.68790439315504</v>
      </c>
      <c r="F43" s="610"/>
      <c r="G43" s="236">
        <f>G$37+G$42+G$41</f>
        <v>168.89907660596199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156.88270562565077</v>
      </c>
      <c r="D46" s="610"/>
      <c r="E46" s="641">
        <f>E$43-E44-E45+F$38</f>
        <v>159.61790439315504</v>
      </c>
      <c r="F46" s="610"/>
      <c r="G46" s="642">
        <f>G$43-G44-G45+H$38</f>
        <v>157.02907660596199</v>
      </c>
      <c r="H46" s="573"/>
    </row>
    <row r="47" spans="1:8">
      <c r="B47" s="503" t="s">
        <v>445</v>
      </c>
      <c r="C47" s="644"/>
      <c r="D47" s="696" t="str">
        <f>CONCATENATE("+ ",ROUND((C$46*0.08),2))</f>
        <v>+ 12.55</v>
      </c>
      <c r="E47" s="644"/>
      <c r="F47" s="627" t="str">
        <f>CONCATENATE("+ ",ROUND((E$46*0.08),2))</f>
        <v>+ 12.77</v>
      </c>
      <c r="G47" s="645"/>
      <c r="H47" s="627" t="str">
        <f>CONCATENATE("+ ",ROUND((G$46*0.08),2))</f>
        <v>+ 12.56</v>
      </c>
    </row>
    <row r="48" spans="1:8" ht="15" thickBot="1">
      <c r="B48" s="646" t="s">
        <v>449</v>
      </c>
      <c r="C48" s="697" t="str">
        <f>D47</f>
        <v>+ 12.55</v>
      </c>
      <c r="D48" s="632"/>
      <c r="E48" s="631" t="str">
        <f>F47</f>
        <v>+ 12.77</v>
      </c>
      <c r="F48" s="632"/>
      <c r="G48" s="631" t="str">
        <f>H47</f>
        <v>+ 12.56</v>
      </c>
      <c r="H48" s="632"/>
    </row>
    <row r="49" spans="1:9" s="392" customFormat="1" ht="15" thickBot="1">
      <c r="B49" s="647" t="s">
        <v>452</v>
      </c>
      <c r="C49" s="648">
        <f>C$46+C$48+C$44+C$45</f>
        <v>169.43270562565078</v>
      </c>
      <c r="D49" s="649">
        <f>D38+D47</f>
        <v>0.69000000000000128</v>
      </c>
      <c r="E49" s="648">
        <f>E$46+E$48+E$44+E$45</f>
        <v>172.38790439315505</v>
      </c>
      <c r="F49" s="649">
        <f>F38+F47</f>
        <v>0.69999999999999929</v>
      </c>
      <c r="G49" s="650">
        <f>G$46+G$48+G$44+G$45</f>
        <v>169.58907660596199</v>
      </c>
      <c r="H49" s="651">
        <f>H38+H47</f>
        <v>0.69000000000000128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1-000000000000}">
  <sheetPr codeName="Sheet411"/>
  <dimension ref="B2:K31"/>
  <sheetViews>
    <sheetView topLeftCell="A11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556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0.62360663649487535</v>
      </c>
      <c r="E23" s="283">
        <f t="shared" ref="E23:F23" si="0">$G$23*$G$8</f>
        <v>0.62360663649487535</v>
      </c>
      <c r="F23" s="283">
        <f t="shared" si="0"/>
        <v>0.62360663649487535</v>
      </c>
      <c r="G23" s="284">
        <f>Kisumu!G23</f>
        <v>0.53759192801282363</v>
      </c>
      <c r="H23" s="262" t="s">
        <v>130</v>
      </c>
      <c r="I23" s="908">
        <v>24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157.71472368639971</v>
      </c>
      <c r="E25" s="285">
        <f>E19+E21+E23</f>
        <v>160.43830135080267</v>
      </c>
      <c r="F25" s="285">
        <f>F19+F21+F23</f>
        <v>157.87606786472026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1-000000000000}">
  <sheetPr codeName="Sheet412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Ahero!G23</f>
        <v>0.53759192801282363</v>
      </c>
      <c r="D40" s="943"/>
      <c r="E40" s="880">
        <f>C40</f>
        <v>0.53759192801282363</v>
      </c>
      <c r="F40" s="943"/>
      <c r="G40" s="613">
        <f>C40</f>
        <v>0.53759192801282363</v>
      </c>
      <c r="H40" s="943"/>
    </row>
    <row r="41" spans="1:8" s="392" customFormat="1">
      <c r="A41" s="605"/>
      <c r="B41" s="617" t="s">
        <v>446</v>
      </c>
      <c r="C41" s="618">
        <f>SUM(C40)</f>
        <v>0.53759192801282363</v>
      </c>
      <c r="D41" s="618"/>
      <c r="E41" s="626">
        <f>SUM(E40)</f>
        <v>0.53759192801282363</v>
      </c>
      <c r="F41" s="944"/>
      <c r="G41" s="618">
        <f>SUM(G40)</f>
        <v>0.53759192801282363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168.77734177700643</v>
      </c>
      <c r="D43" s="610"/>
      <c r="E43" s="613">
        <f>E$37+E$42+E$41</f>
        <v>171.72254054451068</v>
      </c>
      <c r="F43" s="610"/>
      <c r="G43" s="236">
        <f>G$37+G$42+G$41</f>
        <v>168.93371275731764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156.91734177700641</v>
      </c>
      <c r="D46" s="610"/>
      <c r="E46" s="641">
        <f>E$43-E44-E45+F$38</f>
        <v>159.65254054451069</v>
      </c>
      <c r="F46" s="610"/>
      <c r="G46" s="642">
        <f>G$43-G44-G45+H$38</f>
        <v>157.06371275731763</v>
      </c>
      <c r="H46" s="573"/>
    </row>
    <row r="47" spans="1:8">
      <c r="B47" s="503" t="s">
        <v>445</v>
      </c>
      <c r="C47" s="644"/>
      <c r="D47" s="696" t="str">
        <f>CONCATENATE("+ ",ROUND((C$46*0.08),2))</f>
        <v>+ 12.55</v>
      </c>
      <c r="E47" s="644"/>
      <c r="F47" s="627" t="str">
        <f>CONCATENATE("+ ",ROUND((E$46*0.08),2))</f>
        <v>+ 12.77</v>
      </c>
      <c r="G47" s="645"/>
      <c r="H47" s="627" t="str">
        <f>CONCATENATE("+ ",ROUND((G$46*0.08),2))</f>
        <v>+ 12.57</v>
      </c>
    </row>
    <row r="48" spans="1:8" ht="15" thickBot="1">
      <c r="B48" s="646" t="s">
        <v>449</v>
      </c>
      <c r="C48" s="697" t="str">
        <f>D47</f>
        <v>+ 12.55</v>
      </c>
      <c r="D48" s="632"/>
      <c r="E48" s="631" t="str">
        <f>F47</f>
        <v>+ 12.77</v>
      </c>
      <c r="F48" s="632"/>
      <c r="G48" s="631" t="str">
        <f>H47</f>
        <v>+ 12.57</v>
      </c>
      <c r="H48" s="632"/>
    </row>
    <row r="49" spans="1:9" s="392" customFormat="1" ht="15" thickBot="1">
      <c r="B49" s="647" t="s">
        <v>452</v>
      </c>
      <c r="C49" s="648">
        <f>C$46+C$48+C$44+C$45</f>
        <v>169.46734177700642</v>
      </c>
      <c r="D49" s="649">
        <f>D38+D47</f>
        <v>0.69000000000000128</v>
      </c>
      <c r="E49" s="648">
        <f>E$46+E$48+E$44+E$45</f>
        <v>172.4225405445107</v>
      </c>
      <c r="F49" s="649">
        <f>F38+F47</f>
        <v>0.69999999999999929</v>
      </c>
      <c r="G49" s="650">
        <f>G$46+G$48+G$44+G$45</f>
        <v>169.63371275731762</v>
      </c>
      <c r="H49" s="651">
        <f>H38+H47</f>
        <v>0.70000000000000107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1-000000000000}">
  <sheetPr codeName="Sheet413"/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556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1.0835104445700272</v>
      </c>
      <c r="E23" s="283">
        <f t="shared" ref="E23:F23" si="0">$G$23*$G$8</f>
        <v>1.0835104445700272</v>
      </c>
      <c r="F23" s="283">
        <f t="shared" si="0"/>
        <v>1.0835104445700272</v>
      </c>
      <c r="G23" s="284">
        <f>'Delivery &gt;40km-Sept 2013'!E24*I23/1000</f>
        <v>0.93406072807760965</v>
      </c>
      <c r="H23" s="262" t="s">
        <v>130</v>
      </c>
      <c r="I23" s="908">
        <v>78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158.17462749447486</v>
      </c>
      <c r="E25" s="285">
        <f>E19+E21+E23</f>
        <v>160.89820515887783</v>
      </c>
      <c r="F25" s="285">
        <f>F19+F21+F23</f>
        <v>158.33597167279541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1-000000000000}">
  <sheetPr codeName="Sheet414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Ugunja!G23</f>
        <v>0.93406072807760965</v>
      </c>
      <c r="D40" s="943"/>
      <c r="E40" s="880">
        <f>C40</f>
        <v>0.93406072807760965</v>
      </c>
      <c r="F40" s="943"/>
      <c r="G40" s="613">
        <f>C40</f>
        <v>0.93406072807760965</v>
      </c>
      <c r="H40" s="943"/>
    </row>
    <row r="41" spans="1:8" s="392" customFormat="1">
      <c r="A41" s="605"/>
      <c r="B41" s="617" t="s">
        <v>446</v>
      </c>
      <c r="C41" s="618">
        <f>SUM(C40)</f>
        <v>0.93406072807760965</v>
      </c>
      <c r="D41" s="618"/>
      <c r="E41" s="626">
        <f>SUM(E40)</f>
        <v>0.93406072807760965</v>
      </c>
      <c r="F41" s="944"/>
      <c r="G41" s="618">
        <f>SUM(G40)</f>
        <v>0.93406072807760965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169.17381057707121</v>
      </c>
      <c r="D43" s="610"/>
      <c r="E43" s="613">
        <f>E$37+E$42+E$41</f>
        <v>172.11900934457546</v>
      </c>
      <c r="F43" s="610"/>
      <c r="G43" s="236">
        <f>G$37+G$42+G$41</f>
        <v>169.33018155738242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157.31381057707119</v>
      </c>
      <c r="D46" s="610"/>
      <c r="E46" s="641">
        <f>E$43-E44-E45+F$38</f>
        <v>160.04900934457547</v>
      </c>
      <c r="F46" s="610"/>
      <c r="G46" s="642">
        <f>G$43-G44-G45+H$38</f>
        <v>157.46018155738241</v>
      </c>
      <c r="H46" s="573"/>
    </row>
    <row r="47" spans="1:8">
      <c r="B47" s="503" t="s">
        <v>445</v>
      </c>
      <c r="C47" s="644"/>
      <c r="D47" s="696" t="str">
        <f>CONCATENATE("+ ",ROUND((C$46*0.08),2))</f>
        <v>+ 12.59</v>
      </c>
      <c r="E47" s="644"/>
      <c r="F47" s="627" t="str">
        <f>CONCATENATE("+ ",ROUND((E$46*0.08),2))</f>
        <v>+ 12.8</v>
      </c>
      <c r="G47" s="645"/>
      <c r="H47" s="627" t="str">
        <f>CONCATENATE("+ ",ROUND((G$46*0.08),2))</f>
        <v>+ 12.6</v>
      </c>
    </row>
    <row r="48" spans="1:8" ht="15" thickBot="1">
      <c r="B48" s="646" t="s">
        <v>449</v>
      </c>
      <c r="C48" s="697" t="str">
        <f>D47</f>
        <v>+ 12.59</v>
      </c>
      <c r="D48" s="632"/>
      <c r="E48" s="631" t="str">
        <f>F47</f>
        <v>+ 12.8</v>
      </c>
      <c r="F48" s="632"/>
      <c r="G48" s="631" t="str">
        <f>H47</f>
        <v>+ 12.6</v>
      </c>
      <c r="H48" s="632"/>
    </row>
    <row r="49" spans="1:9" s="392" customFormat="1" ht="15" thickBot="1">
      <c r="B49" s="647" t="s">
        <v>452</v>
      </c>
      <c r="C49" s="648">
        <f>C$46+C$48+C$44+C$45</f>
        <v>169.9038105770712</v>
      </c>
      <c r="D49" s="649">
        <f>D38+D47</f>
        <v>0.73000000000000043</v>
      </c>
      <c r="E49" s="648">
        <f>E$46+E$48+E$44+E$45</f>
        <v>172.84900934457548</v>
      </c>
      <c r="F49" s="649">
        <f>F38+F47</f>
        <v>0.73000000000000043</v>
      </c>
      <c r="G49" s="650">
        <f>G$46+G$48+G$44+G$45</f>
        <v>170.06018155738241</v>
      </c>
      <c r="H49" s="651">
        <f>H38+H47</f>
        <v>0.73000000000000043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1-000000000000}">
  <sheetPr codeName="Sheet415"/>
  <dimension ref="B2:K31"/>
  <sheetViews>
    <sheetView topLeftCell="A6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556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0.70844913683424848</v>
      </c>
      <c r="E23" s="283">
        <f t="shared" ref="E23:F23" si="0">$G$23*$G$8</f>
        <v>0.70844913683424848</v>
      </c>
      <c r="F23" s="283">
        <f t="shared" si="0"/>
        <v>0.70844913683424848</v>
      </c>
      <c r="G23" s="284">
        <f>'Delivery &gt;40km-Sept 2013'!E24*I23/1000</f>
        <v>0.61073201451228321</v>
      </c>
      <c r="H23" s="262" t="s">
        <v>130</v>
      </c>
      <c r="I23" s="908">
        <v>51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157.79956618673907</v>
      </c>
      <c r="E25" s="285">
        <f>E19+E21+E23</f>
        <v>160.52314385114204</v>
      </c>
      <c r="F25" s="285">
        <f>F19+F21+F23</f>
        <v>157.96091036505962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1-000000000000}">
  <sheetPr codeName="Sheet416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Asembo!G23</f>
        <v>0.61073201451228321</v>
      </c>
      <c r="D40" s="943"/>
      <c r="E40" s="880">
        <f>C40</f>
        <v>0.61073201451228321</v>
      </c>
      <c r="F40" s="943"/>
      <c r="G40" s="613">
        <f>C40</f>
        <v>0.61073201451228321</v>
      </c>
      <c r="H40" s="943"/>
    </row>
    <row r="41" spans="1:8" s="392" customFormat="1">
      <c r="A41" s="605"/>
      <c r="B41" s="617" t="s">
        <v>446</v>
      </c>
      <c r="C41" s="618">
        <f>SUM(C40)</f>
        <v>0.61073201451228321</v>
      </c>
      <c r="D41" s="618"/>
      <c r="E41" s="626">
        <f>SUM(E40)</f>
        <v>0.61073201451228321</v>
      </c>
      <c r="F41" s="944"/>
      <c r="G41" s="618">
        <f>SUM(G40)</f>
        <v>0.61073201451228321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168.85048186350588</v>
      </c>
      <c r="D43" s="610"/>
      <c r="E43" s="613">
        <f>E$37+E$42+E$41</f>
        <v>171.79568063101013</v>
      </c>
      <c r="F43" s="610"/>
      <c r="G43" s="236">
        <f>G$37+G$42+G$41</f>
        <v>169.00685284381709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156.99048186350586</v>
      </c>
      <c r="D46" s="610"/>
      <c r="E46" s="641">
        <f>E$43-E44-E45+F$38</f>
        <v>159.72568063101014</v>
      </c>
      <c r="F46" s="610"/>
      <c r="G46" s="642">
        <f>G$43-G44-G45+H$38</f>
        <v>157.13685284381708</v>
      </c>
      <c r="H46" s="573"/>
    </row>
    <row r="47" spans="1:8">
      <c r="B47" s="503" t="s">
        <v>445</v>
      </c>
      <c r="C47" s="644"/>
      <c r="D47" s="696" t="str">
        <f>CONCATENATE("+ ",ROUND((C$46*0.08),2))</f>
        <v>+ 12.56</v>
      </c>
      <c r="E47" s="644"/>
      <c r="F47" s="627" t="str">
        <f>CONCATENATE("+ ",ROUND((E$46*0.08),2))</f>
        <v>+ 12.78</v>
      </c>
      <c r="G47" s="645"/>
      <c r="H47" s="627" t="str">
        <f>CONCATENATE("+ ",ROUND((G$46*0.08),2))</f>
        <v>+ 12.57</v>
      </c>
    </row>
    <row r="48" spans="1:8" ht="15" thickBot="1">
      <c r="B48" s="646" t="s">
        <v>449</v>
      </c>
      <c r="C48" s="697" t="str">
        <f>D47</f>
        <v>+ 12.56</v>
      </c>
      <c r="D48" s="632"/>
      <c r="E48" s="631" t="str">
        <f>F47</f>
        <v>+ 12.78</v>
      </c>
      <c r="F48" s="632"/>
      <c r="G48" s="631" t="str">
        <f>H47</f>
        <v>+ 12.57</v>
      </c>
      <c r="H48" s="632"/>
    </row>
    <row r="49" spans="1:9" s="392" customFormat="1" ht="15" thickBot="1">
      <c r="B49" s="647" t="s">
        <v>452</v>
      </c>
      <c r="C49" s="648">
        <f>C$46+C$48+C$44+C$45</f>
        <v>169.55048186350587</v>
      </c>
      <c r="D49" s="649">
        <f>D38+D47</f>
        <v>0.70000000000000107</v>
      </c>
      <c r="E49" s="648">
        <f>E$46+E$48+E$44+E$45</f>
        <v>172.50568063101014</v>
      </c>
      <c r="F49" s="649">
        <f>F38+F47</f>
        <v>0.70999999999999908</v>
      </c>
      <c r="G49" s="650">
        <f>G$46+G$48+G$44+G$45</f>
        <v>169.70685284381707</v>
      </c>
      <c r="H49" s="651">
        <f>H38+H47</f>
        <v>0.70000000000000107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1-000000000000}">
  <sheetPr codeName="Sheet417"/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556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1.2224220400277226</v>
      </c>
      <c r="E23" s="283">
        <f t="shared" ref="E23:F23" si="0">$G$23*$G$8</f>
        <v>1.2224220400277226</v>
      </c>
      <c r="F23" s="283">
        <f t="shared" si="0"/>
        <v>1.2224220400277226</v>
      </c>
      <c r="G23" s="284">
        <f>'Delivery &gt;40km-Sept 2013'!E24*I23/1000</f>
        <v>1.0538121034721748</v>
      </c>
      <c r="H23" s="262" t="s">
        <v>130</v>
      </c>
      <c r="I23" s="908">
        <v>88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158.31353908993253</v>
      </c>
      <c r="E25" s="285">
        <f>E19+E21+E23</f>
        <v>161.0371167543355</v>
      </c>
      <c r="F25" s="285">
        <f>F19+F21+F23</f>
        <v>158.47488326825308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1-000000000000}">
  <sheetPr codeName="Sheet418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Usenge!G23</f>
        <v>1.0538121034721748</v>
      </c>
      <c r="D40" s="943"/>
      <c r="E40" s="880">
        <f>C40</f>
        <v>1.0538121034721748</v>
      </c>
      <c r="F40" s="943"/>
      <c r="G40" s="613">
        <f>C40</f>
        <v>1.0538121034721748</v>
      </c>
      <c r="H40" s="943"/>
    </row>
    <row r="41" spans="1:8" s="392" customFormat="1">
      <c r="A41" s="605"/>
      <c r="B41" s="617" t="s">
        <v>446</v>
      </c>
      <c r="C41" s="618">
        <f>SUM(C40)</f>
        <v>1.0538121034721748</v>
      </c>
      <c r="D41" s="618"/>
      <c r="E41" s="626">
        <f>SUM(E40)</f>
        <v>1.0538121034721748</v>
      </c>
      <c r="F41" s="944"/>
      <c r="G41" s="618">
        <f>SUM(G40)</f>
        <v>1.0538121034721748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169.29356195246578</v>
      </c>
      <c r="D43" s="610"/>
      <c r="E43" s="613">
        <f>E$37+E$42+E$41</f>
        <v>172.23876071997003</v>
      </c>
      <c r="F43" s="610"/>
      <c r="G43" s="236">
        <f>G$37+G$42+G$41</f>
        <v>169.44993293277699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157.43356195246577</v>
      </c>
      <c r="D46" s="610"/>
      <c r="E46" s="641">
        <f>E$43-E44-E45+F$38</f>
        <v>160.16876071997004</v>
      </c>
      <c r="F46" s="610"/>
      <c r="G46" s="642">
        <f>G$43-G44-G45+H$38</f>
        <v>157.57993293277698</v>
      </c>
      <c r="H46" s="573"/>
    </row>
    <row r="47" spans="1:8">
      <c r="B47" s="503" t="s">
        <v>445</v>
      </c>
      <c r="C47" s="644"/>
      <c r="D47" s="696" t="str">
        <f>CONCATENATE("+ ",ROUND((C$46*0.08),2))</f>
        <v>+ 12.59</v>
      </c>
      <c r="E47" s="644"/>
      <c r="F47" s="627" t="str">
        <f>CONCATENATE("+ ",ROUND((E$46*0.08),2))</f>
        <v>+ 12.81</v>
      </c>
      <c r="G47" s="645"/>
      <c r="H47" s="627" t="str">
        <f>CONCATENATE("+ ",ROUND((G$46*0.08),2))</f>
        <v>+ 12.61</v>
      </c>
    </row>
    <row r="48" spans="1:8" ht="15" thickBot="1">
      <c r="B48" s="646" t="s">
        <v>449</v>
      </c>
      <c r="C48" s="697" t="str">
        <f>D47</f>
        <v>+ 12.59</v>
      </c>
      <c r="D48" s="632"/>
      <c r="E48" s="631" t="str">
        <f>F47</f>
        <v>+ 12.81</v>
      </c>
      <c r="F48" s="632"/>
      <c r="G48" s="631" t="str">
        <f>H47</f>
        <v>+ 12.61</v>
      </c>
      <c r="H48" s="632"/>
    </row>
    <row r="49" spans="1:9" s="392" customFormat="1" ht="15" thickBot="1">
      <c r="B49" s="647" t="s">
        <v>452</v>
      </c>
      <c r="C49" s="648">
        <f>C$46+C$48+C$44+C$45</f>
        <v>170.02356195246577</v>
      </c>
      <c r="D49" s="649">
        <f>D38+D47</f>
        <v>0.73000000000000043</v>
      </c>
      <c r="E49" s="648">
        <f>E$46+E$48+E$44+E$45</f>
        <v>172.97876071997004</v>
      </c>
      <c r="F49" s="649">
        <f>F38+F47</f>
        <v>0.74000000000000021</v>
      </c>
      <c r="G49" s="650">
        <f>G$46+G$48+G$44+G$45</f>
        <v>170.18993293277697</v>
      </c>
      <c r="H49" s="651">
        <f>H38+H47</f>
        <v>0.74000000000000021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1-000000000000}">
  <sheetPr codeName="Sheet419"/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556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0.66677565819693962</v>
      </c>
      <c r="E23" s="283">
        <f t="shared" ref="E23:F23" si="0">$G$23*$G$8</f>
        <v>0.66677565819693962</v>
      </c>
      <c r="F23" s="283">
        <f t="shared" si="0"/>
        <v>0.66677565819693962</v>
      </c>
      <c r="G23" s="284">
        <f>'Delivery &gt;40km-Sept 2013'!E24*I23/1000</f>
        <v>0.57480660189391353</v>
      </c>
      <c r="H23" s="262" t="s">
        <v>130</v>
      </c>
      <c r="I23" s="908">
        <v>48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157.75789270810176</v>
      </c>
      <c r="E25" s="285">
        <f>E19+E21+E23</f>
        <v>160.48147037250473</v>
      </c>
      <c r="F25" s="285">
        <f>F19+F21+F23</f>
        <v>157.91923688642231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1-000000000000}">
  <sheetPr codeName="Sheet420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Harambee!G23</f>
        <v>0.57480660189391353</v>
      </c>
      <c r="D40" s="943"/>
      <c r="E40" s="880">
        <f>C40</f>
        <v>0.57480660189391353</v>
      </c>
      <c r="F40" s="943"/>
      <c r="G40" s="613">
        <f>C40</f>
        <v>0.57480660189391353</v>
      </c>
      <c r="H40" s="943"/>
    </row>
    <row r="41" spans="1:8" s="392" customFormat="1">
      <c r="A41" s="605"/>
      <c r="B41" s="617" t="s">
        <v>446</v>
      </c>
      <c r="C41" s="618">
        <f>SUM(C40)</f>
        <v>0.57480660189391353</v>
      </c>
      <c r="D41" s="618"/>
      <c r="E41" s="626">
        <f>SUM(E40)</f>
        <v>0.57480660189391353</v>
      </c>
      <c r="F41" s="944"/>
      <c r="G41" s="618">
        <f>SUM(G40)</f>
        <v>0.57480660189391353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168.81455645088752</v>
      </c>
      <c r="D43" s="610"/>
      <c r="E43" s="613">
        <f>E$37+E$42+E$41</f>
        <v>171.75975521839177</v>
      </c>
      <c r="F43" s="610"/>
      <c r="G43" s="236">
        <f>G$37+G$42+G$41</f>
        <v>168.97092743119873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156.95455645088754</v>
      </c>
      <c r="D46" s="610"/>
      <c r="E46" s="641">
        <f>E$43-E44-E45+F$38</f>
        <v>159.68975521839178</v>
      </c>
      <c r="F46" s="610"/>
      <c r="G46" s="642">
        <f>G$43-G44-G45+H$38</f>
        <v>157.10092743119873</v>
      </c>
      <c r="H46" s="573"/>
    </row>
    <row r="47" spans="1:8">
      <c r="B47" s="503" t="s">
        <v>445</v>
      </c>
      <c r="C47" s="644"/>
      <c r="D47" s="696" t="str">
        <f>CONCATENATE("+ ",ROUND((C$46*0.08),2))</f>
        <v>+ 12.56</v>
      </c>
      <c r="E47" s="644"/>
      <c r="F47" s="627" t="str">
        <f>CONCATENATE("+ ",ROUND((E$46*0.08),2))</f>
        <v>+ 12.78</v>
      </c>
      <c r="G47" s="645"/>
      <c r="H47" s="627" t="str">
        <f>CONCATENATE("+ ",ROUND((G$46*0.08),2))</f>
        <v>+ 12.57</v>
      </c>
    </row>
    <row r="48" spans="1:8" ht="15" thickBot="1">
      <c r="B48" s="646" t="s">
        <v>449</v>
      </c>
      <c r="C48" s="697" t="str">
        <f>D47</f>
        <v>+ 12.56</v>
      </c>
      <c r="D48" s="632"/>
      <c r="E48" s="631" t="str">
        <f>F47</f>
        <v>+ 12.78</v>
      </c>
      <c r="F48" s="632"/>
      <c r="G48" s="631" t="str">
        <f>H47</f>
        <v>+ 12.57</v>
      </c>
      <c r="H48" s="632"/>
    </row>
    <row r="49" spans="1:9" s="392" customFormat="1" ht="15" thickBot="1">
      <c r="B49" s="647" t="s">
        <v>452</v>
      </c>
      <c r="C49" s="648">
        <f>C$46+C$48+C$44+C$45</f>
        <v>169.51455645088754</v>
      </c>
      <c r="D49" s="649">
        <f>D38+D47</f>
        <v>0.70000000000000107</v>
      </c>
      <c r="E49" s="648">
        <f>E$46+E$48+E$44+E$45</f>
        <v>172.46975521839178</v>
      </c>
      <c r="F49" s="649">
        <f>F38+F47</f>
        <v>0.70999999999999908</v>
      </c>
      <c r="G49" s="650">
        <f>G$46+G$48+G$44+G$45</f>
        <v>169.67092743119872</v>
      </c>
      <c r="H49" s="651">
        <f>H38+H47</f>
        <v>0.70000000000000107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1-000000000000}">
  <sheetPr codeName="Sheet421"/>
  <dimension ref="B2:K31"/>
  <sheetViews>
    <sheetView topLeftCell="A5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556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2.5698645159673714</v>
      </c>
      <c r="E23" s="283">
        <f t="shared" ref="E23:F23" si="0">$G$23*$G$8</f>
        <v>2.5698645159673714</v>
      </c>
      <c r="F23" s="283">
        <f t="shared" si="0"/>
        <v>2.5698645159673714</v>
      </c>
      <c r="G23" s="284">
        <f>'Delivery &gt;40km-Sept 2013'!E24*I23/1000</f>
        <v>2.2154004447994584</v>
      </c>
      <c r="H23" s="262" t="s">
        <v>130</v>
      </c>
      <c r="I23" s="908">
        <v>185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159.66098156587219</v>
      </c>
      <c r="E25" s="285">
        <f>E19+E21+E23</f>
        <v>162.38455923027516</v>
      </c>
      <c r="F25" s="285">
        <f>F19+F21+F23</f>
        <v>159.82232574419274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1-000000000000}">
  <sheetPr codeName="Sheet422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'Muhuru Bay'!G23</f>
        <v>2.2154004447994584</v>
      </c>
      <c r="D40" s="943"/>
      <c r="E40" s="880">
        <f>C40</f>
        <v>2.2154004447994584</v>
      </c>
      <c r="F40" s="943"/>
      <c r="G40" s="613">
        <f>C40</f>
        <v>2.2154004447994584</v>
      </c>
      <c r="H40" s="943"/>
    </row>
    <row r="41" spans="1:8" s="392" customFormat="1">
      <c r="A41" s="605"/>
      <c r="B41" s="617" t="s">
        <v>446</v>
      </c>
      <c r="C41" s="618">
        <f>SUM(C40)</f>
        <v>2.2154004447994584</v>
      </c>
      <c r="D41" s="618"/>
      <c r="E41" s="626">
        <f>SUM(E40)</f>
        <v>2.2154004447994584</v>
      </c>
      <c r="F41" s="944"/>
      <c r="G41" s="618">
        <f>SUM(G40)</f>
        <v>2.2154004447994584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170.45515029379305</v>
      </c>
      <c r="D43" s="610"/>
      <c r="E43" s="613">
        <f>E$37+E$42+E$41</f>
        <v>173.40034906129731</v>
      </c>
      <c r="F43" s="610"/>
      <c r="G43" s="236">
        <f>G$37+G$42+G$41</f>
        <v>170.61152127410426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158.59515029379304</v>
      </c>
      <c r="D46" s="610"/>
      <c r="E46" s="641">
        <f>E$43-E44-E45+F$38</f>
        <v>161.33034906129731</v>
      </c>
      <c r="F46" s="610"/>
      <c r="G46" s="642">
        <f>G$43-G44-G45+H$38</f>
        <v>158.74152127410426</v>
      </c>
      <c r="H46" s="573"/>
    </row>
    <row r="47" spans="1:8">
      <c r="B47" s="503" t="s">
        <v>445</v>
      </c>
      <c r="C47" s="644"/>
      <c r="D47" s="696" t="str">
        <f>CONCATENATE("+ ",ROUND((C$46*0.08),2))</f>
        <v>+ 12.69</v>
      </c>
      <c r="E47" s="644"/>
      <c r="F47" s="627" t="str">
        <f>CONCATENATE("+ ",ROUND((E$46*0.08),2))</f>
        <v>+ 12.91</v>
      </c>
      <c r="G47" s="645"/>
      <c r="H47" s="627" t="str">
        <f>CONCATENATE("+ ",ROUND((G$46*0.08),2))</f>
        <v>+ 12.7</v>
      </c>
    </row>
    <row r="48" spans="1:8" ht="15" thickBot="1">
      <c r="B48" s="646" t="s">
        <v>449</v>
      </c>
      <c r="C48" s="697" t="str">
        <f>D47</f>
        <v>+ 12.69</v>
      </c>
      <c r="D48" s="632"/>
      <c r="E48" s="631" t="str">
        <f>F47</f>
        <v>+ 12.91</v>
      </c>
      <c r="F48" s="632"/>
      <c r="G48" s="631" t="str">
        <f>H47</f>
        <v>+ 12.7</v>
      </c>
      <c r="H48" s="632"/>
    </row>
    <row r="49" spans="1:9" s="392" customFormat="1" ht="15" thickBot="1">
      <c r="B49" s="647" t="s">
        <v>452</v>
      </c>
      <c r="C49" s="648">
        <f>C$46+C$48+C$44+C$45</f>
        <v>171.28515029379304</v>
      </c>
      <c r="D49" s="649">
        <f>D38+D47</f>
        <v>0.83000000000000007</v>
      </c>
      <c r="E49" s="648">
        <f>E$46+E$48+E$44+E$45</f>
        <v>174.24034906129731</v>
      </c>
      <c r="F49" s="649">
        <f>F38+F47</f>
        <v>0.83999999999999986</v>
      </c>
      <c r="G49" s="650">
        <f>G$46+G$48+G$44+G$45</f>
        <v>171.44152127410425</v>
      </c>
      <c r="H49" s="651">
        <f>H38+H47</f>
        <v>0.83000000000000007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1-000000000000}">
  <sheetPr codeName="Sheet423"/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556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2.8199053877912239</v>
      </c>
      <c r="E23" s="283">
        <f t="shared" ref="E23:F23" si="0">$G$23*$G$8</f>
        <v>2.8199053877912239</v>
      </c>
      <c r="F23" s="283">
        <f t="shared" si="0"/>
        <v>2.8199053877912239</v>
      </c>
      <c r="G23" s="284">
        <f>'Delivery &gt;40km-Sept 2013'!E24*I23/1000</f>
        <v>2.430952920509676</v>
      </c>
      <c r="H23" s="262" t="s">
        <v>130</v>
      </c>
      <c r="I23" s="908">
        <v>203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159.91102243769606</v>
      </c>
      <c r="E25" s="285">
        <f>E19+E21+E23</f>
        <v>162.63460010209903</v>
      </c>
      <c r="F25" s="285">
        <f>F19+F21+F23</f>
        <v>160.07236661601661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1-000000000000}">
  <sheetPr codeName="Sheet424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Kehancha!G23</f>
        <v>2.430952920509676</v>
      </c>
      <c r="D40" s="943"/>
      <c r="E40" s="880">
        <f>C40</f>
        <v>2.430952920509676</v>
      </c>
      <c r="F40" s="943"/>
      <c r="G40" s="613">
        <f>C40</f>
        <v>2.430952920509676</v>
      </c>
      <c r="H40" s="943"/>
    </row>
    <row r="41" spans="1:8" s="392" customFormat="1">
      <c r="A41" s="605"/>
      <c r="B41" s="617" t="s">
        <v>446</v>
      </c>
      <c r="C41" s="618">
        <f>SUM(C40)</f>
        <v>2.430952920509676</v>
      </c>
      <c r="D41" s="618"/>
      <c r="E41" s="626">
        <f>SUM(E40)</f>
        <v>2.430952920509676</v>
      </c>
      <c r="F41" s="944"/>
      <c r="G41" s="618">
        <f>SUM(G40)</f>
        <v>2.430952920509676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170.67070276950327</v>
      </c>
      <c r="D43" s="610"/>
      <c r="E43" s="613">
        <f>E$37+E$42+E$41</f>
        <v>173.61590153700752</v>
      </c>
      <c r="F43" s="610"/>
      <c r="G43" s="236">
        <f>G$37+G$42+G$41</f>
        <v>170.82707374981447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158.81070276950328</v>
      </c>
      <c r="D46" s="610"/>
      <c r="E46" s="641">
        <f>E$43-E44-E45+F$38</f>
        <v>161.54590153700752</v>
      </c>
      <c r="F46" s="610"/>
      <c r="G46" s="642">
        <f>G$43-G44-G45+H$38</f>
        <v>158.95707374981447</v>
      </c>
      <c r="H46" s="573"/>
    </row>
    <row r="47" spans="1:8">
      <c r="B47" s="503" t="s">
        <v>445</v>
      </c>
      <c r="C47" s="644"/>
      <c r="D47" s="696" t="str">
        <f>CONCATENATE("+ ",ROUND((C$46*0.08),2))</f>
        <v>+ 12.7</v>
      </c>
      <c r="E47" s="644"/>
      <c r="F47" s="627" t="str">
        <f>CONCATENATE("+ ",ROUND((E$46*0.08),2))</f>
        <v>+ 12.92</v>
      </c>
      <c r="G47" s="645"/>
      <c r="H47" s="627" t="str">
        <f>CONCATENATE("+ ",ROUND((G$46*0.08),2))</f>
        <v>+ 12.72</v>
      </c>
    </row>
    <row r="48" spans="1:8" ht="15" thickBot="1">
      <c r="B48" s="646" t="s">
        <v>449</v>
      </c>
      <c r="C48" s="697" t="str">
        <f>D47</f>
        <v>+ 12.7</v>
      </c>
      <c r="D48" s="632"/>
      <c r="E48" s="631" t="str">
        <f>F47</f>
        <v>+ 12.92</v>
      </c>
      <c r="F48" s="632"/>
      <c r="G48" s="631" t="str">
        <f>H47</f>
        <v>+ 12.72</v>
      </c>
      <c r="H48" s="632"/>
    </row>
    <row r="49" spans="1:9" s="392" customFormat="1" ht="15" thickBot="1">
      <c r="B49" s="647" t="s">
        <v>452</v>
      </c>
      <c r="C49" s="648">
        <f>C$46+C$48+C$44+C$45</f>
        <v>171.51070276950327</v>
      </c>
      <c r="D49" s="649">
        <f>D38+D47</f>
        <v>0.83999999999999986</v>
      </c>
      <c r="E49" s="648">
        <f>E$46+E$48+E$44+E$45</f>
        <v>174.46590153700751</v>
      </c>
      <c r="F49" s="649">
        <f>F38+F47</f>
        <v>0.84999999999999964</v>
      </c>
      <c r="G49" s="650">
        <f>G$46+G$48+G$44+G$45</f>
        <v>171.67707374981447</v>
      </c>
      <c r="H49" s="651">
        <f>H38+H47</f>
        <v>0.85000000000000142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1-000000000000}">
  <sheetPr codeName="Sheet425"/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556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3.1532932168896939</v>
      </c>
      <c r="E23" s="283">
        <f t="shared" ref="E23:F23" si="0">$G$23*$G$8</f>
        <v>3.1532932168896939</v>
      </c>
      <c r="F23" s="283">
        <f t="shared" si="0"/>
        <v>3.1532932168896939</v>
      </c>
      <c r="G23" s="284">
        <f>'Delivery &gt;40km-Sept 2013'!E24*I23/1000</f>
        <v>2.718356221456633</v>
      </c>
      <c r="H23" s="262" t="s">
        <v>130</v>
      </c>
      <c r="I23" s="908">
        <v>227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160.24441026679452</v>
      </c>
      <c r="E25" s="285">
        <f>E19+E21+E23</f>
        <v>162.96798793119748</v>
      </c>
      <c r="F25" s="285">
        <f>F19+F21+F23</f>
        <v>160.40575444511506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1-000000000000}">
  <sheetPr codeName="Sheet426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Ntimaru!G23</f>
        <v>2.718356221456633</v>
      </c>
      <c r="D40" s="943"/>
      <c r="E40" s="880">
        <f>C40</f>
        <v>2.718356221456633</v>
      </c>
      <c r="F40" s="943"/>
      <c r="G40" s="613">
        <f>C40</f>
        <v>2.718356221456633</v>
      </c>
      <c r="H40" s="943"/>
    </row>
    <row r="41" spans="1:8" s="392" customFormat="1">
      <c r="A41" s="605"/>
      <c r="B41" s="617" t="s">
        <v>446</v>
      </c>
      <c r="C41" s="618">
        <f>SUM(C40)</f>
        <v>2.718356221456633</v>
      </c>
      <c r="D41" s="618"/>
      <c r="E41" s="626">
        <f>SUM(E40)</f>
        <v>2.718356221456633</v>
      </c>
      <c r="F41" s="944"/>
      <c r="G41" s="618">
        <f>SUM(G40)</f>
        <v>2.718356221456633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170.95810607045024</v>
      </c>
      <c r="D43" s="610"/>
      <c r="E43" s="613">
        <f>E$37+E$42+E$41</f>
        <v>173.90330483795449</v>
      </c>
      <c r="F43" s="610"/>
      <c r="G43" s="236">
        <f>G$37+G$42+G$41</f>
        <v>171.11447705076145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159.09810607045023</v>
      </c>
      <c r="D46" s="610"/>
      <c r="E46" s="641">
        <f>E$43-E44-E45+F$38</f>
        <v>161.8333048379545</v>
      </c>
      <c r="F46" s="610"/>
      <c r="G46" s="642">
        <f>G$43-G44-G45+H$38</f>
        <v>159.24447705076145</v>
      </c>
      <c r="H46" s="573"/>
    </row>
    <row r="47" spans="1:8">
      <c r="B47" s="503" t="s">
        <v>445</v>
      </c>
      <c r="C47" s="644"/>
      <c r="D47" s="696" t="str">
        <f>CONCATENATE("+ ",ROUND((C$46*0.08),2))</f>
        <v>+ 12.73</v>
      </c>
      <c r="E47" s="644"/>
      <c r="F47" s="627" t="str">
        <f>CONCATENATE("+ ",ROUND((E$46*0.08),2))</f>
        <v>+ 12.95</v>
      </c>
      <c r="G47" s="645"/>
      <c r="H47" s="627" t="str">
        <f>CONCATENATE("+ ",ROUND((G$46*0.08),2))</f>
        <v>+ 12.74</v>
      </c>
    </row>
    <row r="48" spans="1:8" ht="15" thickBot="1">
      <c r="B48" s="646" t="s">
        <v>449</v>
      </c>
      <c r="C48" s="697" t="str">
        <f>D47</f>
        <v>+ 12.73</v>
      </c>
      <c r="D48" s="632"/>
      <c r="E48" s="631" t="str">
        <f>F47</f>
        <v>+ 12.95</v>
      </c>
      <c r="F48" s="632"/>
      <c r="G48" s="631" t="str">
        <f>H47</f>
        <v>+ 12.74</v>
      </c>
      <c r="H48" s="632"/>
    </row>
    <row r="49" spans="1:9" s="392" customFormat="1" ht="15" thickBot="1">
      <c r="B49" s="647" t="s">
        <v>452</v>
      </c>
      <c r="C49" s="648">
        <f>C$46+C$48+C$44+C$45</f>
        <v>171.82810607045022</v>
      </c>
      <c r="D49" s="649">
        <f>D38+D47</f>
        <v>0.87000000000000099</v>
      </c>
      <c r="E49" s="648">
        <f>E$46+E$48+E$44+E$45</f>
        <v>174.78330483795449</v>
      </c>
      <c r="F49" s="649">
        <f>F38+F47</f>
        <v>0.87999999999999901</v>
      </c>
      <c r="G49" s="650">
        <f>G$46+G$48+G$44+G$45</f>
        <v>171.98447705076146</v>
      </c>
      <c r="H49" s="651">
        <f>H38+H47</f>
        <v>0.87000000000000099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1-000000000000}">
  <sheetPr codeName="Sheet427"/>
  <dimension ref="B2:K31"/>
  <sheetViews>
    <sheetView topLeftCell="A9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556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1.8336330600415842</v>
      </c>
      <c r="E23" s="283">
        <f t="shared" ref="E23:F23" si="0">$G$23*$G$8</f>
        <v>1.8336330600415842</v>
      </c>
      <c r="F23" s="283">
        <f t="shared" si="0"/>
        <v>1.8336330600415842</v>
      </c>
      <c r="G23" s="284">
        <f>'Delivery &gt;40km-Sept 2013'!E24*I23/1000</f>
        <v>1.5807181552082623</v>
      </c>
      <c r="H23" s="262" t="s">
        <v>130</v>
      </c>
      <c r="I23" s="908">
        <v>132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158.92475010994642</v>
      </c>
      <c r="E25" s="285">
        <f>E19+E21+E23</f>
        <v>161.64832777434938</v>
      </c>
      <c r="F25" s="285">
        <f>F19+F21+F23</f>
        <v>159.08609428826696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1-000000000000}">
  <sheetPr codeName="Sheet428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Rongo!G23</f>
        <v>1.5807181552082623</v>
      </c>
      <c r="D40" s="943"/>
      <c r="E40" s="880">
        <f>C40</f>
        <v>1.5807181552082623</v>
      </c>
      <c r="F40" s="943"/>
      <c r="G40" s="613">
        <f>C40</f>
        <v>1.5807181552082623</v>
      </c>
      <c r="H40" s="943"/>
    </row>
    <row r="41" spans="1:8" s="392" customFormat="1">
      <c r="A41" s="605"/>
      <c r="B41" s="617" t="s">
        <v>446</v>
      </c>
      <c r="C41" s="618">
        <f>SUM(C40)</f>
        <v>1.5807181552082623</v>
      </c>
      <c r="D41" s="618"/>
      <c r="E41" s="626">
        <f>SUM(E40)</f>
        <v>1.5807181552082623</v>
      </c>
      <c r="F41" s="944"/>
      <c r="G41" s="618">
        <f>SUM(G40)</f>
        <v>1.5807181552082623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169.82046800420187</v>
      </c>
      <c r="D43" s="610"/>
      <c r="E43" s="613">
        <f>E$37+E$42+E$41</f>
        <v>172.76566677170612</v>
      </c>
      <c r="F43" s="610"/>
      <c r="G43" s="236">
        <f>G$37+G$42+G$41</f>
        <v>169.97683898451308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157.96046800420186</v>
      </c>
      <c r="D46" s="610"/>
      <c r="E46" s="641">
        <f>E$43-E44-E45+F$38</f>
        <v>160.69566677170613</v>
      </c>
      <c r="F46" s="610"/>
      <c r="G46" s="642">
        <f>G$43-G44-G45+H$38</f>
        <v>158.10683898451308</v>
      </c>
      <c r="H46" s="573"/>
    </row>
    <row r="47" spans="1:8">
      <c r="B47" s="503" t="s">
        <v>445</v>
      </c>
      <c r="C47" s="644"/>
      <c r="D47" s="696" t="str">
        <f>CONCATENATE("+ ",ROUND((C$46*0.08),2))</f>
        <v>+ 12.64</v>
      </c>
      <c r="E47" s="644"/>
      <c r="F47" s="627" t="str">
        <f>CONCATENATE("+ ",ROUND((E$46*0.08),2))</f>
        <v>+ 12.86</v>
      </c>
      <c r="G47" s="645"/>
      <c r="H47" s="627" t="str">
        <f>CONCATENATE("+ ",ROUND((G$46*0.08),2))</f>
        <v>+ 12.65</v>
      </c>
    </row>
    <row r="48" spans="1:8" ht="15" thickBot="1">
      <c r="B48" s="646" t="s">
        <v>449</v>
      </c>
      <c r="C48" s="697" t="str">
        <f>D47</f>
        <v>+ 12.64</v>
      </c>
      <c r="D48" s="632"/>
      <c r="E48" s="631" t="str">
        <f>F47</f>
        <v>+ 12.86</v>
      </c>
      <c r="F48" s="632"/>
      <c r="G48" s="631" t="str">
        <f>H47</f>
        <v>+ 12.65</v>
      </c>
      <c r="H48" s="632"/>
    </row>
    <row r="49" spans="1:9" s="392" customFormat="1" ht="15" thickBot="1">
      <c r="B49" s="647" t="s">
        <v>452</v>
      </c>
      <c r="C49" s="648">
        <f>C$46+C$48+C$44+C$45</f>
        <v>170.60046800420184</v>
      </c>
      <c r="D49" s="649">
        <f>D38+D47</f>
        <v>0.78000000000000114</v>
      </c>
      <c r="E49" s="648">
        <f>E$46+E$48+E$44+E$45</f>
        <v>173.55566677170611</v>
      </c>
      <c r="F49" s="649">
        <f>F38+F47</f>
        <v>0.78999999999999915</v>
      </c>
      <c r="G49" s="650">
        <f>G$46+G$48+G$44+G$45</f>
        <v>170.75683898451308</v>
      </c>
      <c r="H49" s="651">
        <f>H38+H47</f>
        <v>0.78000000000000114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1-000000000000}">
  <sheetPr codeName="Sheet429"/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556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1.7919595814042752</v>
      </c>
      <c r="E23" s="283">
        <f t="shared" ref="E23:F23" si="0">$G$23*$G$8</f>
        <v>1.7919595814042752</v>
      </c>
      <c r="F23" s="283">
        <f t="shared" si="0"/>
        <v>1.7919595814042752</v>
      </c>
      <c r="G23" s="284">
        <f>'Delivery &gt;40km-Sept 2013'!E24*I23/1000</f>
        <v>1.5447927425898926</v>
      </c>
      <c r="H23" s="262" t="s">
        <v>130</v>
      </c>
      <c r="I23" s="908">
        <v>129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158.88307663130911</v>
      </c>
      <c r="E25" s="285">
        <f>E19+E21+E23</f>
        <v>161.60665429571208</v>
      </c>
      <c r="F25" s="285">
        <f>F19+F21+F23</f>
        <v>159.04442080962966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1-000000000000}">
  <sheetPr codeName="Sheet430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Kaspokwony!G23</f>
        <v>1.5447927425898926</v>
      </c>
      <c r="D40" s="943"/>
      <c r="E40" s="880">
        <f>C40</f>
        <v>1.5447927425898926</v>
      </c>
      <c r="F40" s="943"/>
      <c r="G40" s="613">
        <f>C40</f>
        <v>1.5447927425898926</v>
      </c>
      <c r="H40" s="943"/>
    </row>
    <row r="41" spans="1:8" s="392" customFormat="1">
      <c r="A41" s="605"/>
      <c r="B41" s="617" t="s">
        <v>446</v>
      </c>
      <c r="C41" s="618">
        <f>SUM(C40)</f>
        <v>1.5447927425898926</v>
      </c>
      <c r="D41" s="618"/>
      <c r="E41" s="626">
        <f>SUM(E40)</f>
        <v>1.5447927425898926</v>
      </c>
      <c r="F41" s="944"/>
      <c r="G41" s="618">
        <f>SUM(G40)</f>
        <v>1.5447927425898926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169.78454259158349</v>
      </c>
      <c r="D43" s="610"/>
      <c r="E43" s="613">
        <f>E$37+E$42+E$41</f>
        <v>172.72974135908774</v>
      </c>
      <c r="F43" s="610"/>
      <c r="G43" s="236">
        <f>G$37+G$42+G$41</f>
        <v>169.9409135718947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157.92454259158347</v>
      </c>
      <c r="D46" s="610"/>
      <c r="E46" s="641">
        <f>E$43-E44-E45+F$38</f>
        <v>160.65974135908775</v>
      </c>
      <c r="F46" s="610"/>
      <c r="G46" s="642">
        <f>G$43-G44-G45+H$38</f>
        <v>158.07091357189469</v>
      </c>
      <c r="H46" s="573"/>
    </row>
    <row r="47" spans="1:8">
      <c r="B47" s="503" t="s">
        <v>445</v>
      </c>
      <c r="C47" s="644"/>
      <c r="D47" s="696" t="str">
        <f>CONCATENATE("+ ",ROUND((C$46*0.08),2))</f>
        <v>+ 12.63</v>
      </c>
      <c r="E47" s="644"/>
      <c r="F47" s="627" t="str">
        <f>CONCATENATE("+ ",ROUND((E$46*0.08),2))</f>
        <v>+ 12.85</v>
      </c>
      <c r="G47" s="645"/>
      <c r="H47" s="627" t="str">
        <f>CONCATENATE("+ ",ROUND((G$46*0.08),2))</f>
        <v>+ 12.65</v>
      </c>
    </row>
    <row r="48" spans="1:8" ht="15" thickBot="1">
      <c r="B48" s="646" t="s">
        <v>449</v>
      </c>
      <c r="C48" s="697" t="str">
        <f>D47</f>
        <v>+ 12.63</v>
      </c>
      <c r="D48" s="632"/>
      <c r="E48" s="631" t="str">
        <f>F47</f>
        <v>+ 12.85</v>
      </c>
      <c r="F48" s="632"/>
      <c r="G48" s="631" t="str">
        <f>H47</f>
        <v>+ 12.65</v>
      </c>
      <c r="H48" s="632"/>
    </row>
    <row r="49" spans="1:9" s="392" customFormat="1" ht="15" thickBot="1">
      <c r="B49" s="647" t="s">
        <v>452</v>
      </c>
      <c r="C49" s="648">
        <f>C$46+C$48+C$44+C$45</f>
        <v>170.55454259158347</v>
      </c>
      <c r="D49" s="649">
        <f>D38+D47</f>
        <v>0.77000000000000135</v>
      </c>
      <c r="E49" s="648">
        <f>E$46+E$48+E$44+E$45</f>
        <v>173.50974135908774</v>
      </c>
      <c r="F49" s="649">
        <f>F38+F47</f>
        <v>0.77999999999999936</v>
      </c>
      <c r="G49" s="650">
        <f>G$46+G$48+G$44+G$45</f>
        <v>170.7209135718947</v>
      </c>
      <c r="H49" s="651">
        <f>H38+H47</f>
        <v>0.78000000000000114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1-000000000000}">
  <sheetPr codeName="Sheet431"/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556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1.7363949432211971</v>
      </c>
      <c r="E23" s="283">
        <f t="shared" ref="E23:F23" si="0">$G$23*$G$8</f>
        <v>1.7363949432211971</v>
      </c>
      <c r="F23" s="283">
        <f t="shared" si="0"/>
        <v>1.7363949432211971</v>
      </c>
      <c r="G23" s="284">
        <f>'Delivery &gt;40km-Sept 2013'!E24*I23/1000</f>
        <v>1.4968921924320666</v>
      </c>
      <c r="H23" s="262" t="s">
        <v>130</v>
      </c>
      <c r="I23" s="908">
        <v>125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158.82751199312602</v>
      </c>
      <c r="E25" s="285">
        <f>E19+E21+E23</f>
        <v>161.55108965752899</v>
      </c>
      <c r="F25" s="285">
        <f>F19+F21+F23</f>
        <v>158.98885617144657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1-000000000000}">
  <sheetPr codeName="Sheet432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Chwele!G23</f>
        <v>1.4968921924320666</v>
      </c>
      <c r="D40" s="943"/>
      <c r="E40" s="880">
        <f>C40</f>
        <v>1.4968921924320666</v>
      </c>
      <c r="F40" s="943"/>
      <c r="G40" s="613">
        <f>C40</f>
        <v>1.4968921924320666</v>
      </c>
      <c r="H40" s="943"/>
    </row>
    <row r="41" spans="1:8" s="392" customFormat="1">
      <c r="A41" s="605"/>
      <c r="B41" s="617" t="s">
        <v>446</v>
      </c>
      <c r="C41" s="618">
        <f>SUM(C40)</f>
        <v>1.4968921924320666</v>
      </c>
      <c r="D41" s="618"/>
      <c r="E41" s="626">
        <f>SUM(E40)</f>
        <v>1.4968921924320666</v>
      </c>
      <c r="F41" s="944"/>
      <c r="G41" s="618">
        <f>SUM(G40)</f>
        <v>1.4968921924320666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169.73664204142565</v>
      </c>
      <c r="D43" s="610"/>
      <c r="E43" s="613">
        <f>E$37+E$42+E$41</f>
        <v>172.68184080892991</v>
      </c>
      <c r="F43" s="610"/>
      <c r="G43" s="236">
        <f>G$37+G$42+G$41</f>
        <v>169.89301302173686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157.87664204142567</v>
      </c>
      <c r="D46" s="610"/>
      <c r="E46" s="641">
        <f>E$43-E44-E45+F$38</f>
        <v>160.61184080892991</v>
      </c>
      <c r="F46" s="610"/>
      <c r="G46" s="642">
        <f>G$43-G44-G45+H$38</f>
        <v>158.02301302173686</v>
      </c>
      <c r="H46" s="573"/>
    </row>
    <row r="47" spans="1:8">
      <c r="B47" s="503" t="s">
        <v>445</v>
      </c>
      <c r="C47" s="644"/>
      <c r="D47" s="696" t="str">
        <f>CONCATENATE("+ ",ROUND((C$46*0.08),2))</f>
        <v>+ 12.63</v>
      </c>
      <c r="E47" s="644"/>
      <c r="F47" s="627" t="str">
        <f>CONCATENATE("+ ",ROUND((E$46*0.08),2))</f>
        <v>+ 12.85</v>
      </c>
      <c r="G47" s="645"/>
      <c r="H47" s="627" t="str">
        <f>CONCATENATE("+ ",ROUND((G$46*0.08),2))</f>
        <v>+ 12.64</v>
      </c>
    </row>
    <row r="48" spans="1:8" ht="15" thickBot="1">
      <c r="B48" s="646" t="s">
        <v>449</v>
      </c>
      <c r="C48" s="697" t="str">
        <f>D47</f>
        <v>+ 12.63</v>
      </c>
      <c r="D48" s="632"/>
      <c r="E48" s="631" t="str">
        <f>F47</f>
        <v>+ 12.85</v>
      </c>
      <c r="F48" s="632"/>
      <c r="G48" s="631" t="str">
        <f>H47</f>
        <v>+ 12.64</v>
      </c>
      <c r="H48" s="632"/>
    </row>
    <row r="49" spans="1:9" s="392" customFormat="1" ht="15" thickBot="1">
      <c r="B49" s="647" t="s">
        <v>452</v>
      </c>
      <c r="C49" s="648">
        <f>C$46+C$48+C$44+C$45</f>
        <v>170.50664204142566</v>
      </c>
      <c r="D49" s="649">
        <f>D38+D47</f>
        <v>0.77000000000000135</v>
      </c>
      <c r="E49" s="648">
        <f>E$46+E$48+E$44+E$45</f>
        <v>173.46184080892991</v>
      </c>
      <c r="F49" s="649">
        <f>F38+F47</f>
        <v>0.77999999999999936</v>
      </c>
      <c r="G49" s="650">
        <f>G$46+G$48+G$44+G$45</f>
        <v>170.66301302173684</v>
      </c>
      <c r="H49" s="651">
        <f>H38+H47</f>
        <v>0.77000000000000135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1-000000000000}">
  <sheetPr codeName="Sheet433"/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556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1.6530479859465799</v>
      </c>
      <c r="E23" s="283">
        <f t="shared" ref="E23:F23" si="0">$G$23*$G$8</f>
        <v>1.6530479859465799</v>
      </c>
      <c r="F23" s="283">
        <f t="shared" si="0"/>
        <v>1.6530479859465799</v>
      </c>
      <c r="G23" s="284">
        <f>'Delivery &gt;40km-Sept 2013'!E24*I23/1000</f>
        <v>1.4250413671953275</v>
      </c>
      <c r="H23" s="262" t="s">
        <v>130</v>
      </c>
      <c r="I23" s="908">
        <v>119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158.74416503585141</v>
      </c>
      <c r="E25" s="285">
        <f>E19+E21+E23</f>
        <v>161.46774270025438</v>
      </c>
      <c r="F25" s="285">
        <f>F19+F21+F23</f>
        <v>158.90550921417196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1-000000000000}">
  <sheetPr codeName="Sheet434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Kimilili!G23</f>
        <v>1.4250413671953275</v>
      </c>
      <c r="D40" s="943"/>
      <c r="E40" s="880">
        <f>C40</f>
        <v>1.4250413671953275</v>
      </c>
      <c r="F40" s="943"/>
      <c r="G40" s="613">
        <f>C40</f>
        <v>1.4250413671953275</v>
      </c>
      <c r="H40" s="943"/>
    </row>
    <row r="41" spans="1:8" s="392" customFormat="1">
      <c r="A41" s="605"/>
      <c r="B41" s="617" t="s">
        <v>446</v>
      </c>
      <c r="C41" s="618">
        <f>SUM(C40)</f>
        <v>1.4250413671953275</v>
      </c>
      <c r="D41" s="618"/>
      <c r="E41" s="626">
        <f>SUM(E40)</f>
        <v>1.4250413671953275</v>
      </c>
      <c r="F41" s="944"/>
      <c r="G41" s="618">
        <f>SUM(G40)</f>
        <v>1.4250413671953275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169.66479121618892</v>
      </c>
      <c r="D43" s="610"/>
      <c r="E43" s="613">
        <f>E$37+E$42+E$41</f>
        <v>172.60998998369317</v>
      </c>
      <c r="F43" s="610"/>
      <c r="G43" s="236">
        <f>G$37+G$42+G$41</f>
        <v>169.82116219650013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157.8047912161889</v>
      </c>
      <c r="D46" s="610"/>
      <c r="E46" s="641">
        <f>E$43-E44-E45+F$38</f>
        <v>160.53998998369318</v>
      </c>
      <c r="F46" s="610"/>
      <c r="G46" s="642">
        <f>G$43-G44-G45+H$38</f>
        <v>157.95116219650012</v>
      </c>
      <c r="H46" s="573"/>
    </row>
    <row r="47" spans="1:8">
      <c r="B47" s="503" t="s">
        <v>445</v>
      </c>
      <c r="C47" s="644"/>
      <c r="D47" s="696" t="str">
        <f>CONCATENATE("+ ",ROUND((C$46*0.08),2))</f>
        <v>+ 12.62</v>
      </c>
      <c r="E47" s="644"/>
      <c r="F47" s="627" t="str">
        <f>CONCATENATE("+ ",ROUND((E$46*0.08),2))</f>
        <v>+ 12.84</v>
      </c>
      <c r="G47" s="645"/>
      <c r="H47" s="627" t="str">
        <f>CONCATENATE("+ ",ROUND((G$46*0.08),2))</f>
        <v>+ 12.64</v>
      </c>
    </row>
    <row r="48" spans="1:8" ht="15" thickBot="1">
      <c r="B48" s="646" t="s">
        <v>449</v>
      </c>
      <c r="C48" s="697" t="str">
        <f>D47</f>
        <v>+ 12.62</v>
      </c>
      <c r="D48" s="632"/>
      <c r="E48" s="631" t="str">
        <f>F47</f>
        <v>+ 12.84</v>
      </c>
      <c r="F48" s="632"/>
      <c r="G48" s="631" t="str">
        <f>H47</f>
        <v>+ 12.64</v>
      </c>
      <c r="H48" s="632"/>
    </row>
    <row r="49" spans="1:9" s="392" customFormat="1" ht="15" thickBot="1">
      <c r="B49" s="647" t="s">
        <v>452</v>
      </c>
      <c r="C49" s="648">
        <f>C$46+C$48+C$44+C$45</f>
        <v>170.42479121618891</v>
      </c>
      <c r="D49" s="649">
        <f>D38+D47</f>
        <v>0.75999999999999979</v>
      </c>
      <c r="E49" s="648">
        <f>E$46+E$48+E$44+E$45</f>
        <v>173.37998998369318</v>
      </c>
      <c r="F49" s="649">
        <f>F38+F47</f>
        <v>0.76999999999999957</v>
      </c>
      <c r="G49" s="650">
        <f>G$46+G$48+G$44+G$45</f>
        <v>170.59116219650014</v>
      </c>
      <c r="H49" s="651">
        <f>H38+H47</f>
        <v>0.77000000000000135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1-000000000000}">
  <sheetPr codeName="Sheet435"/>
  <dimension ref="B2:K31"/>
  <sheetViews>
    <sheetView topLeftCell="A13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556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1.5558098691261926</v>
      </c>
      <c r="E23" s="283">
        <f t="shared" ref="E23:F23" si="0">$G$23*$G$8</f>
        <v>1.5558098691261926</v>
      </c>
      <c r="F23" s="283">
        <f t="shared" si="0"/>
        <v>1.5558098691261926</v>
      </c>
      <c r="G23" s="284">
        <f>'Delivery &gt;40km-Sept 2013'!E24*I23/1000</f>
        <v>1.3412154044191316</v>
      </c>
      <c r="H23" s="262" t="s">
        <v>130</v>
      </c>
      <c r="I23" s="908">
        <v>112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158.64692691903102</v>
      </c>
      <c r="E25" s="285">
        <f>E19+E21+E23</f>
        <v>161.37050458343398</v>
      </c>
      <c r="F25" s="285">
        <f>F19+F21+F23</f>
        <v>158.80827109735156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1-000000000000}">
  <sheetPr codeName="Sheet436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Nambale!G23</f>
        <v>1.3412154044191316</v>
      </c>
      <c r="D40" s="943"/>
      <c r="E40" s="880">
        <f>C40</f>
        <v>1.3412154044191316</v>
      </c>
      <c r="F40" s="943"/>
      <c r="G40" s="613">
        <f>C40</f>
        <v>1.3412154044191316</v>
      </c>
      <c r="H40" s="943"/>
    </row>
    <row r="41" spans="1:8" s="392" customFormat="1">
      <c r="A41" s="605"/>
      <c r="B41" s="617" t="s">
        <v>446</v>
      </c>
      <c r="C41" s="618">
        <f>SUM(C40)</f>
        <v>1.3412154044191316</v>
      </c>
      <c r="D41" s="618"/>
      <c r="E41" s="626">
        <f>SUM(E40)</f>
        <v>1.3412154044191316</v>
      </c>
      <c r="F41" s="944"/>
      <c r="G41" s="618">
        <f>SUM(G40)</f>
        <v>1.3412154044191316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169.58096525341273</v>
      </c>
      <c r="D43" s="610"/>
      <c r="E43" s="613">
        <f>E$37+E$42+E$41</f>
        <v>172.52616402091698</v>
      </c>
      <c r="F43" s="610"/>
      <c r="G43" s="236">
        <f>G$37+G$42+G$41</f>
        <v>169.73733623372394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157.72096525341271</v>
      </c>
      <c r="D46" s="610"/>
      <c r="E46" s="641">
        <f>E$43-E44-E45+F$38</f>
        <v>160.45616402091699</v>
      </c>
      <c r="F46" s="610"/>
      <c r="G46" s="642">
        <f>G$43-G44-G45+H$38</f>
        <v>157.86733623372393</v>
      </c>
      <c r="H46" s="573"/>
    </row>
    <row r="47" spans="1:8">
      <c r="B47" s="503" t="s">
        <v>445</v>
      </c>
      <c r="C47" s="644"/>
      <c r="D47" s="696" t="str">
        <f>CONCATENATE("+ ",ROUND((C$46*0.08),2))</f>
        <v>+ 12.62</v>
      </c>
      <c r="E47" s="644"/>
      <c r="F47" s="627" t="str">
        <f>CONCATENATE("+ ",ROUND((E$46*0.08),2))</f>
        <v>+ 12.84</v>
      </c>
      <c r="G47" s="645"/>
      <c r="H47" s="627" t="str">
        <f>CONCATENATE("+ ",ROUND((G$46*0.08),2))</f>
        <v>+ 12.63</v>
      </c>
    </row>
    <row r="48" spans="1:8" ht="15" thickBot="1">
      <c r="B48" s="646" t="s">
        <v>449</v>
      </c>
      <c r="C48" s="697" t="str">
        <f>D47</f>
        <v>+ 12.62</v>
      </c>
      <c r="D48" s="632"/>
      <c r="E48" s="631" t="str">
        <f>F47</f>
        <v>+ 12.84</v>
      </c>
      <c r="F48" s="632"/>
      <c r="G48" s="631" t="str">
        <f>H47</f>
        <v>+ 12.63</v>
      </c>
      <c r="H48" s="632"/>
    </row>
    <row r="49" spans="1:9" s="392" customFormat="1" ht="15" thickBot="1">
      <c r="B49" s="647" t="s">
        <v>452</v>
      </c>
      <c r="C49" s="648">
        <f>C$46+C$48+C$44+C$45</f>
        <v>170.34096525341272</v>
      </c>
      <c r="D49" s="649">
        <f>D38+D47</f>
        <v>0.75999999999999979</v>
      </c>
      <c r="E49" s="648">
        <f>E$46+E$48+E$44+E$45</f>
        <v>173.29616402091699</v>
      </c>
      <c r="F49" s="649">
        <f>F38+F47</f>
        <v>0.76999999999999957</v>
      </c>
      <c r="G49" s="650">
        <f>G$46+G$48+G$44+G$45</f>
        <v>170.49733623372393</v>
      </c>
      <c r="H49" s="651">
        <f>H38+H47</f>
        <v>0.76000000000000156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1-000000000000}">
  <sheetPr codeName="Sheet437"/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556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1.5419187095804232</v>
      </c>
      <c r="E23" s="283">
        <f t="shared" ref="E23:F23" si="0">$G$23*$G$8</f>
        <v>1.5419187095804232</v>
      </c>
      <c r="F23" s="283">
        <f t="shared" si="0"/>
        <v>1.5419187095804232</v>
      </c>
      <c r="G23" s="284">
        <f>'Delivery &gt;40km-Sept 2013'!E24*I23/1000</f>
        <v>1.3292402668796752</v>
      </c>
      <c r="H23" s="262" t="s">
        <v>130</v>
      </c>
      <c r="I23" s="908">
        <v>111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158.63303575948524</v>
      </c>
      <c r="E25" s="285">
        <f>E19+E21+E23</f>
        <v>161.35661342388821</v>
      </c>
      <c r="F25" s="285">
        <f>F19+F21+F23</f>
        <v>158.79437993780579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1-000000000000}">
  <sheetPr codeName="Sheet438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'Sio Port'!G23</f>
        <v>1.3292402668796752</v>
      </c>
      <c r="D40" s="943"/>
      <c r="E40" s="880">
        <f>C40</f>
        <v>1.3292402668796752</v>
      </c>
      <c r="F40" s="943"/>
      <c r="G40" s="613">
        <f>C40</f>
        <v>1.3292402668796752</v>
      </c>
      <c r="H40" s="943"/>
    </row>
    <row r="41" spans="1:8" s="392" customFormat="1">
      <c r="A41" s="605"/>
      <c r="B41" s="617" t="s">
        <v>446</v>
      </c>
      <c r="C41" s="618">
        <f>SUM(C40)</f>
        <v>1.3292402668796752</v>
      </c>
      <c r="D41" s="618"/>
      <c r="E41" s="626">
        <f>SUM(E40)</f>
        <v>1.3292402668796752</v>
      </c>
      <c r="F41" s="944"/>
      <c r="G41" s="618">
        <f>SUM(G40)</f>
        <v>1.3292402668796752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169.56899011587328</v>
      </c>
      <c r="D43" s="610"/>
      <c r="E43" s="613">
        <f>E$37+E$42+E$41</f>
        <v>172.51418888337753</v>
      </c>
      <c r="F43" s="610"/>
      <c r="G43" s="236">
        <f>G$37+G$42+G$41</f>
        <v>169.72536109618449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157.70899011587329</v>
      </c>
      <c r="D46" s="610"/>
      <c r="E46" s="641">
        <f>E$43-E44-E45+F$38</f>
        <v>160.44418888337754</v>
      </c>
      <c r="F46" s="610"/>
      <c r="G46" s="642">
        <f>G$43-G44-G45+H$38</f>
        <v>157.85536109618448</v>
      </c>
      <c r="H46" s="573"/>
    </row>
    <row r="47" spans="1:8">
      <c r="B47" s="503" t="s">
        <v>445</v>
      </c>
      <c r="C47" s="644"/>
      <c r="D47" s="696" t="str">
        <f>CONCATENATE("+ ",ROUND((C$46*0.08),2))</f>
        <v>+ 12.62</v>
      </c>
      <c r="E47" s="644"/>
      <c r="F47" s="627" t="str">
        <f>CONCATENATE("+ ",ROUND((E$46*0.08),2))</f>
        <v>+ 12.84</v>
      </c>
      <c r="G47" s="645"/>
      <c r="H47" s="627" t="str">
        <f>CONCATENATE("+ ",ROUND((G$46*0.08),2))</f>
        <v>+ 12.63</v>
      </c>
    </row>
    <row r="48" spans="1:8" ht="15" thickBot="1">
      <c r="B48" s="646" t="s">
        <v>449</v>
      </c>
      <c r="C48" s="697" t="str">
        <f>D47</f>
        <v>+ 12.62</v>
      </c>
      <c r="D48" s="632"/>
      <c r="E48" s="631" t="str">
        <f>F47</f>
        <v>+ 12.84</v>
      </c>
      <c r="F48" s="632"/>
      <c r="G48" s="631" t="str">
        <f>H47</f>
        <v>+ 12.63</v>
      </c>
      <c r="H48" s="632"/>
    </row>
    <row r="49" spans="1:9" s="392" customFormat="1" ht="15" thickBot="1">
      <c r="B49" s="647" t="s">
        <v>452</v>
      </c>
      <c r="C49" s="648">
        <f>C$46+C$48+C$44+C$45</f>
        <v>170.3289901158733</v>
      </c>
      <c r="D49" s="649">
        <f>D38+D47</f>
        <v>0.75999999999999979</v>
      </c>
      <c r="E49" s="648">
        <f>E$46+E$48+E$44+E$45</f>
        <v>173.28418888337754</v>
      </c>
      <c r="F49" s="649">
        <f>F38+F47</f>
        <v>0.76999999999999957</v>
      </c>
      <c r="G49" s="650">
        <f>G$46+G$48+G$44+G$45</f>
        <v>170.48536109618448</v>
      </c>
      <c r="H49" s="651">
        <f>H38+H47</f>
        <v>0.76000000000000156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1-000000000000}">
  <sheetPr codeName="Sheet439"/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556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1.5974833477635015</v>
      </c>
      <c r="E23" s="283">
        <f t="shared" ref="E23:F23" si="0">$G$23*$G$8</f>
        <v>1.5974833477635015</v>
      </c>
      <c r="F23" s="283">
        <f t="shared" si="0"/>
        <v>1.5974833477635015</v>
      </c>
      <c r="G23" s="284">
        <f>'Delivery &gt;40km-Sept 2013'!E24*I23/1000</f>
        <v>1.3771408170375015</v>
      </c>
      <c r="H23" s="262" t="s">
        <v>130</v>
      </c>
      <c r="I23" s="908">
        <v>115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158.68860039766832</v>
      </c>
      <c r="E25" s="285">
        <f>E19+E21+E23</f>
        <v>161.41217806207129</v>
      </c>
      <c r="F25" s="285">
        <f>F19+F21+F23</f>
        <v>158.84994457598887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1-000000000000}">
  <sheetPr codeName="Sheet440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'Port Bunyala'!G23</f>
        <v>1.3771408170375015</v>
      </c>
      <c r="D40" s="943"/>
      <c r="E40" s="880">
        <f>C40</f>
        <v>1.3771408170375015</v>
      </c>
      <c r="F40" s="943"/>
      <c r="G40" s="613">
        <f>C40</f>
        <v>1.3771408170375015</v>
      </c>
      <c r="H40" s="943"/>
    </row>
    <row r="41" spans="1:8" s="392" customFormat="1">
      <c r="A41" s="605"/>
      <c r="B41" s="617" t="s">
        <v>446</v>
      </c>
      <c r="C41" s="618">
        <f>SUM(C40)</f>
        <v>1.3771408170375015</v>
      </c>
      <c r="D41" s="618"/>
      <c r="E41" s="626">
        <f>SUM(E40)</f>
        <v>1.3771408170375015</v>
      </c>
      <c r="F41" s="944"/>
      <c r="G41" s="618">
        <f>SUM(G40)</f>
        <v>1.3771408170375015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169.61689066603111</v>
      </c>
      <c r="D43" s="610"/>
      <c r="E43" s="613">
        <f>E$37+E$42+E$41</f>
        <v>172.56208943353536</v>
      </c>
      <c r="F43" s="610"/>
      <c r="G43" s="236">
        <f>G$37+G$42+G$41</f>
        <v>169.77326164634232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157.7568906660311</v>
      </c>
      <c r="D46" s="610"/>
      <c r="E46" s="641">
        <f>E$43-E44-E45+F$38</f>
        <v>160.49208943353537</v>
      </c>
      <c r="F46" s="610"/>
      <c r="G46" s="642">
        <f>G$43-G44-G45+H$38</f>
        <v>157.90326164634232</v>
      </c>
      <c r="H46" s="573"/>
    </row>
    <row r="47" spans="1:8">
      <c r="B47" s="503" t="s">
        <v>445</v>
      </c>
      <c r="C47" s="644"/>
      <c r="D47" s="696" t="str">
        <f>CONCATENATE("+ ",ROUND((C$46*0.08),2))</f>
        <v>+ 12.62</v>
      </c>
      <c r="E47" s="644"/>
      <c r="F47" s="627" t="str">
        <f>CONCATENATE("+ ",ROUND((E$46*0.08),2))</f>
        <v>+ 12.84</v>
      </c>
      <c r="G47" s="645"/>
      <c r="H47" s="627" t="str">
        <f>CONCATENATE("+ ",ROUND((G$46*0.08),2))</f>
        <v>+ 12.63</v>
      </c>
    </row>
    <row r="48" spans="1:8" ht="15" thickBot="1">
      <c r="B48" s="646" t="s">
        <v>449</v>
      </c>
      <c r="C48" s="697" t="str">
        <f>D47</f>
        <v>+ 12.62</v>
      </c>
      <c r="D48" s="632"/>
      <c r="E48" s="631" t="str">
        <f>F47</f>
        <v>+ 12.84</v>
      </c>
      <c r="F48" s="632"/>
      <c r="G48" s="631" t="str">
        <f>H47</f>
        <v>+ 12.63</v>
      </c>
      <c r="H48" s="632"/>
    </row>
    <row r="49" spans="1:9" s="392" customFormat="1" ht="15" thickBot="1">
      <c r="B49" s="647" t="s">
        <v>452</v>
      </c>
      <c r="C49" s="648">
        <f>C$46+C$48+C$44+C$45</f>
        <v>170.3768906660311</v>
      </c>
      <c r="D49" s="649">
        <f>D38+D47</f>
        <v>0.75999999999999979</v>
      </c>
      <c r="E49" s="648">
        <f>E$46+E$48+E$44+E$45</f>
        <v>173.33208943353537</v>
      </c>
      <c r="F49" s="649">
        <f>F38+F47</f>
        <v>0.76999999999999957</v>
      </c>
      <c r="G49" s="650">
        <f>G$46+G$48+G$44+G$45</f>
        <v>170.53326164634231</v>
      </c>
      <c r="H49" s="651">
        <f>H38+H47</f>
        <v>0.76000000000000156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1-000000000000}">
  <sheetPr codeName="Sheet441"/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556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1.4030071141227274</v>
      </c>
      <c r="E23" s="283">
        <f t="shared" ref="E23:F23" si="0">$G$23*$G$8</f>
        <v>1.4030071141227274</v>
      </c>
      <c r="F23" s="283">
        <f t="shared" si="0"/>
        <v>1.4030071141227274</v>
      </c>
      <c r="G23" s="284">
        <f>'Delivery &gt;40km-Sept 2013'!E24*I23/1000</f>
        <v>1.2094888914851099</v>
      </c>
      <c r="H23" s="262" t="s">
        <v>130</v>
      </c>
      <c r="I23" s="908">
        <v>101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158.49412416402754</v>
      </c>
      <c r="E25" s="285">
        <f>E19+E21+E23</f>
        <v>161.21770182843051</v>
      </c>
      <c r="F25" s="285">
        <f>F19+F21+F23</f>
        <v>158.65546834234809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1-000000000000}">
  <sheetPr codeName="Sheet442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Funyala!G23</f>
        <v>1.2094888914851099</v>
      </c>
      <c r="D40" s="943"/>
      <c r="E40" s="880">
        <f>C40</f>
        <v>1.2094888914851099</v>
      </c>
      <c r="F40" s="943"/>
      <c r="G40" s="613">
        <f>C40</f>
        <v>1.2094888914851099</v>
      </c>
      <c r="H40" s="943"/>
    </row>
    <row r="41" spans="1:8" s="392" customFormat="1">
      <c r="A41" s="605"/>
      <c r="B41" s="617" t="s">
        <v>446</v>
      </c>
      <c r="C41" s="618">
        <f>SUM(C40)</f>
        <v>1.2094888914851099</v>
      </c>
      <c r="D41" s="618"/>
      <c r="E41" s="626">
        <f>SUM(E40)</f>
        <v>1.2094888914851099</v>
      </c>
      <c r="F41" s="944"/>
      <c r="G41" s="618">
        <f>SUM(G40)</f>
        <v>1.2094888914851099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169.44923874047871</v>
      </c>
      <c r="D43" s="610"/>
      <c r="E43" s="613">
        <f>E$37+E$42+E$41</f>
        <v>172.39443750798296</v>
      </c>
      <c r="F43" s="610"/>
      <c r="G43" s="236">
        <f>G$37+G$42+G$41</f>
        <v>169.60560972078991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157.58923874047872</v>
      </c>
      <c r="D46" s="610"/>
      <c r="E46" s="641">
        <f>E$43-E44-E45+F$38</f>
        <v>160.32443750798296</v>
      </c>
      <c r="F46" s="610"/>
      <c r="G46" s="642">
        <f>G$43-G44-G45+H$38</f>
        <v>157.73560972078991</v>
      </c>
      <c r="H46" s="573"/>
    </row>
    <row r="47" spans="1:8">
      <c r="B47" s="503" t="s">
        <v>445</v>
      </c>
      <c r="C47" s="644"/>
      <c r="D47" s="696" t="str">
        <f>CONCATENATE("+ ",ROUND((C$46*0.08),2))</f>
        <v>+ 12.61</v>
      </c>
      <c r="E47" s="644"/>
      <c r="F47" s="627" t="str">
        <f>CONCATENATE("+ ",ROUND((E$46*0.08),2))</f>
        <v>+ 12.83</v>
      </c>
      <c r="G47" s="645"/>
      <c r="H47" s="627" t="str">
        <f>CONCATENATE("+ ",ROUND((G$46*0.08),2))</f>
        <v>+ 12.62</v>
      </c>
    </row>
    <row r="48" spans="1:8" ht="15" thickBot="1">
      <c r="B48" s="646" t="s">
        <v>449</v>
      </c>
      <c r="C48" s="697" t="str">
        <f>D47</f>
        <v>+ 12.61</v>
      </c>
      <c r="D48" s="632"/>
      <c r="E48" s="631" t="str">
        <f>F47</f>
        <v>+ 12.83</v>
      </c>
      <c r="F48" s="632"/>
      <c r="G48" s="631" t="str">
        <f>H47</f>
        <v>+ 12.62</v>
      </c>
      <c r="H48" s="632"/>
    </row>
    <row r="49" spans="1:9" s="392" customFormat="1" ht="15" thickBot="1">
      <c r="B49" s="647" t="s">
        <v>452</v>
      </c>
      <c r="C49" s="648">
        <f>C$46+C$48+C$44+C$45</f>
        <v>170.19923874047873</v>
      </c>
      <c r="D49" s="649">
        <f>D38+D47</f>
        <v>0.75</v>
      </c>
      <c r="E49" s="648">
        <f>E$46+E$48+E$44+E$45</f>
        <v>173.15443750798298</v>
      </c>
      <c r="F49" s="649">
        <f>F38+F47</f>
        <v>0.75999999999999979</v>
      </c>
      <c r="G49" s="650">
        <f>G$46+G$48+G$44+G$45</f>
        <v>170.35560972078991</v>
      </c>
      <c r="H49" s="651">
        <f>H38+H47</f>
        <v>0.75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1-000000000000}">
  <sheetPr codeName="Sheet443"/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556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1.7363949432211971</v>
      </c>
      <c r="E23" s="283">
        <f t="shared" ref="E23:F23" si="0">$G$23*$G$8</f>
        <v>1.7363949432211971</v>
      </c>
      <c r="F23" s="283">
        <f t="shared" si="0"/>
        <v>1.7363949432211971</v>
      </c>
      <c r="G23" s="284">
        <f>'Delivery &gt;40km-Sept 2013'!E24*I23/1000</f>
        <v>1.4968921924320666</v>
      </c>
      <c r="H23" s="262" t="s">
        <v>130</v>
      </c>
      <c r="I23" s="908">
        <v>125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158.82751199312602</v>
      </c>
      <c r="E25" s="285">
        <f>E19+E21+E23</f>
        <v>161.55108965752899</v>
      </c>
      <c r="F25" s="285">
        <f>F19+F21+F23</f>
        <v>158.98885617144657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1-000000000000}">
  <sheetPr codeName="Sheet444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Ogembo!G23</f>
        <v>1.4968921924320666</v>
      </c>
      <c r="D40" s="943"/>
      <c r="E40" s="880">
        <f>C40</f>
        <v>1.4968921924320666</v>
      </c>
      <c r="F40" s="943"/>
      <c r="G40" s="613">
        <f>C40</f>
        <v>1.4968921924320666</v>
      </c>
      <c r="H40" s="943"/>
    </row>
    <row r="41" spans="1:8" s="392" customFormat="1">
      <c r="A41" s="605"/>
      <c r="B41" s="617" t="s">
        <v>446</v>
      </c>
      <c r="C41" s="618">
        <f>SUM(C40)</f>
        <v>1.4968921924320666</v>
      </c>
      <c r="D41" s="618"/>
      <c r="E41" s="626">
        <f>SUM(E40)</f>
        <v>1.4968921924320666</v>
      </c>
      <c r="F41" s="944"/>
      <c r="G41" s="618">
        <f>SUM(G40)</f>
        <v>1.4968921924320666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169.73664204142565</v>
      </c>
      <c r="D43" s="610"/>
      <c r="E43" s="613">
        <f>E$37+E$42+E$41</f>
        <v>172.68184080892991</v>
      </c>
      <c r="F43" s="610"/>
      <c r="G43" s="236">
        <f>G$37+G$42+G$41</f>
        <v>169.89301302173686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157.87664204142567</v>
      </c>
      <c r="D46" s="610"/>
      <c r="E46" s="641">
        <f>E$43-E44-E45+F$38</f>
        <v>160.61184080892991</v>
      </c>
      <c r="F46" s="610"/>
      <c r="G46" s="642">
        <f>G$43-G44-G45+H$38</f>
        <v>158.02301302173686</v>
      </c>
      <c r="H46" s="573"/>
    </row>
    <row r="47" spans="1:8">
      <c r="B47" s="503" t="s">
        <v>445</v>
      </c>
      <c r="C47" s="644"/>
      <c r="D47" s="696" t="str">
        <f>CONCATENATE("+ ",ROUND((C$46*0.08),2))</f>
        <v>+ 12.63</v>
      </c>
      <c r="E47" s="644"/>
      <c r="F47" s="627" t="str">
        <f>CONCATENATE("+ ",ROUND((E$46*0.08),2))</f>
        <v>+ 12.85</v>
      </c>
      <c r="G47" s="645"/>
      <c r="H47" s="627" t="str">
        <f>CONCATENATE("+ ",ROUND((G$46*0.08),2))</f>
        <v>+ 12.64</v>
      </c>
    </row>
    <row r="48" spans="1:8" ht="15" thickBot="1">
      <c r="B48" s="646" t="s">
        <v>449</v>
      </c>
      <c r="C48" s="697" t="str">
        <f>D47</f>
        <v>+ 12.63</v>
      </c>
      <c r="D48" s="632"/>
      <c r="E48" s="631" t="str">
        <f>F47</f>
        <v>+ 12.85</v>
      </c>
      <c r="F48" s="632"/>
      <c r="G48" s="631" t="str">
        <f>H47</f>
        <v>+ 12.64</v>
      </c>
      <c r="H48" s="632"/>
    </row>
    <row r="49" spans="1:9" s="392" customFormat="1" ht="15" thickBot="1">
      <c r="B49" s="647" t="s">
        <v>452</v>
      </c>
      <c r="C49" s="648">
        <f>C$46+C$48+C$44+C$45</f>
        <v>170.50664204142566</v>
      </c>
      <c r="D49" s="649">
        <f>D38+D47</f>
        <v>0.77000000000000135</v>
      </c>
      <c r="E49" s="648">
        <f>E$46+E$48+E$44+E$45</f>
        <v>173.46184080892991</v>
      </c>
      <c r="F49" s="649">
        <f>F38+F47</f>
        <v>0.77999999999999936</v>
      </c>
      <c r="G49" s="650">
        <f>G$46+G$48+G$44+G$45</f>
        <v>170.66301302173684</v>
      </c>
      <c r="H49" s="651">
        <f>H38+H47</f>
        <v>0.77000000000000135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1-000000000000}">
  <sheetPr codeName="Sheet445"/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556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2.014218134136589</v>
      </c>
      <c r="E23" s="283">
        <f t="shared" ref="E23:F23" si="0">$G$23*$G$8</f>
        <v>2.014218134136589</v>
      </c>
      <c r="F23" s="283">
        <f t="shared" si="0"/>
        <v>2.014218134136589</v>
      </c>
      <c r="G23" s="284">
        <f>'Delivery &gt;40km-Sept 2013'!E24*I23/1000</f>
        <v>1.7363949432211974</v>
      </c>
      <c r="H23" s="262" t="s">
        <v>130</v>
      </c>
      <c r="I23" s="908">
        <v>145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159.10533518404142</v>
      </c>
      <c r="E25" s="285">
        <f>E19+E21+E23</f>
        <v>161.82891284844439</v>
      </c>
      <c r="F25" s="285">
        <f>F19+F21+F23</f>
        <v>159.26667936236197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1-000000000000}">
  <sheetPr codeName="Sheet446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Nyagusu!G23</f>
        <v>1.7363949432211974</v>
      </c>
      <c r="D40" s="943"/>
      <c r="E40" s="880">
        <f>C40</f>
        <v>1.7363949432211974</v>
      </c>
      <c r="F40" s="943"/>
      <c r="G40" s="613">
        <f>C40</f>
        <v>1.7363949432211974</v>
      </c>
      <c r="H40" s="943"/>
    </row>
    <row r="41" spans="1:8" s="392" customFormat="1">
      <c r="A41" s="605"/>
      <c r="B41" s="617" t="s">
        <v>446</v>
      </c>
      <c r="C41" s="618">
        <f>SUM(C40)</f>
        <v>1.7363949432211974</v>
      </c>
      <c r="D41" s="618"/>
      <c r="E41" s="626">
        <f>SUM(E40)</f>
        <v>1.7363949432211974</v>
      </c>
      <c r="F41" s="944"/>
      <c r="G41" s="618">
        <f>SUM(G40)</f>
        <v>1.7363949432211974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169.9761447922148</v>
      </c>
      <c r="D43" s="610"/>
      <c r="E43" s="613">
        <f>E$37+E$42+E$41</f>
        <v>172.92134355971905</v>
      </c>
      <c r="F43" s="610"/>
      <c r="G43" s="236">
        <f>G$37+G$42+G$41</f>
        <v>170.13251577252601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158.11614479221481</v>
      </c>
      <c r="D46" s="610"/>
      <c r="E46" s="641">
        <f>E$43-E44-E45+F$38</f>
        <v>160.85134355971906</v>
      </c>
      <c r="F46" s="610"/>
      <c r="G46" s="642">
        <f>G$43-G44-G45+H$38</f>
        <v>158.262515772526</v>
      </c>
      <c r="H46" s="573"/>
    </row>
    <row r="47" spans="1:8">
      <c r="B47" s="503" t="s">
        <v>445</v>
      </c>
      <c r="C47" s="644"/>
      <c r="D47" s="696" t="str">
        <f>CONCATENATE("+ ",ROUND((C$46*0.08),2))</f>
        <v>+ 12.65</v>
      </c>
      <c r="E47" s="644"/>
      <c r="F47" s="627" t="str">
        <f>CONCATENATE("+ ",ROUND((E$46*0.08),2))</f>
        <v>+ 12.87</v>
      </c>
      <c r="G47" s="645"/>
      <c r="H47" s="627" t="str">
        <f>CONCATENATE("+ ",ROUND((G$46*0.08),2))</f>
        <v>+ 12.66</v>
      </c>
    </row>
    <row r="48" spans="1:8" ht="15" thickBot="1">
      <c r="B48" s="646" t="s">
        <v>449</v>
      </c>
      <c r="C48" s="697" t="str">
        <f>D47</f>
        <v>+ 12.65</v>
      </c>
      <c r="D48" s="632"/>
      <c r="E48" s="631" t="str">
        <f>F47</f>
        <v>+ 12.87</v>
      </c>
      <c r="F48" s="632"/>
      <c r="G48" s="631" t="str">
        <f>H47</f>
        <v>+ 12.66</v>
      </c>
      <c r="H48" s="632"/>
    </row>
    <row r="49" spans="1:9" s="392" customFormat="1" ht="15" thickBot="1">
      <c r="B49" s="647" t="s">
        <v>452</v>
      </c>
      <c r="C49" s="648">
        <f>C$46+C$48+C$44+C$45</f>
        <v>170.76614479221482</v>
      </c>
      <c r="D49" s="649">
        <f>D38+D47</f>
        <v>0.79000000000000092</v>
      </c>
      <c r="E49" s="648">
        <f>E$46+E$48+E$44+E$45</f>
        <v>173.72134355971906</v>
      </c>
      <c r="F49" s="649">
        <f>F38+F47</f>
        <v>0.79999999999999893</v>
      </c>
      <c r="G49" s="650">
        <f>G$46+G$48+G$44+G$45</f>
        <v>170.922515772526</v>
      </c>
      <c r="H49" s="651">
        <f>H38+H47</f>
        <v>0.79000000000000092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1-000000000000}">
  <sheetPr codeName="Sheet447"/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556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1.9308711768619715</v>
      </c>
      <c r="E23" s="283">
        <f t="shared" ref="E23:F23" si="0">$G$23*$G$8</f>
        <v>1.9308711768619715</v>
      </c>
      <c r="F23" s="283">
        <f t="shared" si="0"/>
        <v>1.9308711768619715</v>
      </c>
      <c r="G23" s="284">
        <f>'Delivery &gt;40km-Sept 2013'!E24*I23/1000</f>
        <v>1.6645441179844582</v>
      </c>
      <c r="H23" s="262" t="s">
        <v>130</v>
      </c>
      <c r="I23" s="908">
        <v>139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159.02198822676681</v>
      </c>
      <c r="E25" s="285">
        <f>E19+E21+E23</f>
        <v>161.74556589116978</v>
      </c>
      <c r="F25" s="285">
        <f>F19+F21+F23</f>
        <v>159.18333240508736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1-000000000000}">
  <sheetPr codeName="Sheet448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Sengera!G23</f>
        <v>1.6645441179844582</v>
      </c>
      <c r="D40" s="943"/>
      <c r="E40" s="880">
        <f>C40</f>
        <v>1.6645441179844582</v>
      </c>
      <c r="F40" s="943"/>
      <c r="G40" s="613">
        <f>C40</f>
        <v>1.6645441179844582</v>
      </c>
      <c r="H40" s="943"/>
    </row>
    <row r="41" spans="1:8" s="392" customFormat="1">
      <c r="A41" s="605"/>
      <c r="B41" s="617" t="s">
        <v>446</v>
      </c>
      <c r="C41" s="618">
        <f>SUM(C40)</f>
        <v>1.6645441179844582</v>
      </c>
      <c r="D41" s="618"/>
      <c r="E41" s="626">
        <f>SUM(E40)</f>
        <v>1.6645441179844582</v>
      </c>
      <c r="F41" s="944"/>
      <c r="G41" s="618">
        <f>SUM(G40)</f>
        <v>1.6645441179844582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169.90429396697806</v>
      </c>
      <c r="D43" s="610"/>
      <c r="E43" s="613">
        <f>E$37+E$42+E$41</f>
        <v>172.84949273448231</v>
      </c>
      <c r="F43" s="610"/>
      <c r="G43" s="236">
        <f>G$37+G$42+G$41</f>
        <v>170.06066494728927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158.04429396697805</v>
      </c>
      <c r="D46" s="610"/>
      <c r="E46" s="641">
        <f>E$43-E44-E45+F$38</f>
        <v>160.77949273448232</v>
      </c>
      <c r="F46" s="610"/>
      <c r="G46" s="642">
        <f>G$43-G44-G45+H$38</f>
        <v>158.19066494728926</v>
      </c>
      <c r="H46" s="573"/>
    </row>
    <row r="47" spans="1:8">
      <c r="B47" s="503" t="s">
        <v>445</v>
      </c>
      <c r="C47" s="644"/>
      <c r="D47" s="696" t="str">
        <f>CONCATENATE("+ ",ROUND((C$46*0.08),2))</f>
        <v>+ 12.64</v>
      </c>
      <c r="E47" s="644"/>
      <c r="F47" s="627" t="str">
        <f>CONCATENATE("+ ",ROUND((E$46*0.08),2))</f>
        <v>+ 12.86</v>
      </c>
      <c r="G47" s="645"/>
      <c r="H47" s="627" t="str">
        <f>CONCATENATE("+ ",ROUND((G$46*0.08),2))</f>
        <v>+ 12.66</v>
      </c>
    </row>
    <row r="48" spans="1:8" ht="15" thickBot="1">
      <c r="B48" s="646" t="s">
        <v>449</v>
      </c>
      <c r="C48" s="697" t="str">
        <f>D47</f>
        <v>+ 12.64</v>
      </c>
      <c r="D48" s="632"/>
      <c r="E48" s="631" t="str">
        <f>F47</f>
        <v>+ 12.86</v>
      </c>
      <c r="F48" s="632"/>
      <c r="G48" s="631" t="str">
        <f>H47</f>
        <v>+ 12.66</v>
      </c>
      <c r="H48" s="632"/>
    </row>
    <row r="49" spans="1:9" s="392" customFormat="1" ht="15" thickBot="1">
      <c r="B49" s="647" t="s">
        <v>452</v>
      </c>
      <c r="C49" s="648">
        <f>C$46+C$48+C$44+C$45</f>
        <v>170.68429396697803</v>
      </c>
      <c r="D49" s="649">
        <f>D38+D47</f>
        <v>0.78000000000000114</v>
      </c>
      <c r="E49" s="648">
        <f>E$46+E$48+E$44+E$45</f>
        <v>173.6394927344823</v>
      </c>
      <c r="F49" s="649">
        <f>F38+F47</f>
        <v>0.78999999999999915</v>
      </c>
      <c r="G49" s="650">
        <f>G$46+G$48+G$44+G$45</f>
        <v>170.85066494728926</v>
      </c>
      <c r="H49" s="651">
        <f>H38+H47</f>
        <v>0.79000000000000092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1-000000000000}">
  <sheetPr codeName="Sheet449"/>
  <dimension ref="B2:K31"/>
  <sheetViews>
    <sheetView topLeftCell="A8" workbookViewId="0">
      <selection activeCell="N25" sqref="N25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556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1.6391568264008101</v>
      </c>
      <c r="E23" s="283">
        <f t="shared" ref="E23:F23" si="0">$G$23*$G$8</f>
        <v>1.6391568264008101</v>
      </c>
      <c r="F23" s="283">
        <f t="shared" si="0"/>
        <v>1.6391568264008101</v>
      </c>
      <c r="G23" s="284">
        <f>'Delivery &gt;40km-Sept 2013'!E24*I23/1000</f>
        <v>1.4130662296558709</v>
      </c>
      <c r="H23" s="262" t="s">
        <v>130</v>
      </c>
      <c r="I23" s="908">
        <v>118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158.73027387630563</v>
      </c>
      <c r="E25" s="285">
        <f>E19+E21+E23</f>
        <v>161.4538515407086</v>
      </c>
      <c r="F25" s="285">
        <f>F19+F21+F23</f>
        <v>158.89161805462618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1-000000000000}">
  <sheetPr codeName="Sheet450"/>
  <dimension ref="A2:M68"/>
  <sheetViews>
    <sheetView topLeftCell="A43" workbookViewId="0">
      <selection activeCell="A43" sqref="A1:XFD1048576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Keumbu!G23</f>
        <v>1.4130662296558709</v>
      </c>
      <c r="D40" s="943"/>
      <c r="E40" s="880">
        <f>C40</f>
        <v>1.4130662296558709</v>
      </c>
      <c r="F40" s="943"/>
      <c r="G40" s="613">
        <f>C40</f>
        <v>1.4130662296558709</v>
      </c>
      <c r="H40" s="943"/>
    </row>
    <row r="41" spans="1:8" s="392" customFormat="1">
      <c r="A41" s="605"/>
      <c r="B41" s="617" t="s">
        <v>446</v>
      </c>
      <c r="C41" s="618">
        <f>SUM(C40)</f>
        <v>1.4130662296558709</v>
      </c>
      <c r="D41" s="618"/>
      <c r="E41" s="626">
        <f>SUM(E40)</f>
        <v>1.4130662296558709</v>
      </c>
      <c r="F41" s="944"/>
      <c r="G41" s="618">
        <f>SUM(G40)</f>
        <v>1.4130662296558709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169.65281607864947</v>
      </c>
      <c r="D43" s="610"/>
      <c r="E43" s="613">
        <f>E$37+E$42+E$41</f>
        <v>172.59801484615372</v>
      </c>
      <c r="F43" s="610"/>
      <c r="G43" s="236">
        <f>G$37+G$42+G$41</f>
        <v>169.80918705896067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157.79281607864948</v>
      </c>
      <c r="D46" s="610"/>
      <c r="E46" s="641">
        <f>E$43-E44-E45+F$38</f>
        <v>160.52801484615372</v>
      </c>
      <c r="F46" s="610"/>
      <c r="G46" s="642">
        <f>G$43-G44-G45+H$38</f>
        <v>157.93918705896067</v>
      </c>
      <c r="H46" s="573"/>
    </row>
    <row r="47" spans="1:8">
      <c r="B47" s="503" t="s">
        <v>445</v>
      </c>
      <c r="C47" s="644"/>
      <c r="D47" s="696" t="str">
        <f>CONCATENATE("+ ",ROUND((C$46*0.08),2))</f>
        <v>+ 12.62</v>
      </c>
      <c r="E47" s="644"/>
      <c r="F47" s="627" t="str">
        <f>CONCATENATE("+ ",ROUND((E$46*0.08),2))</f>
        <v>+ 12.84</v>
      </c>
      <c r="G47" s="645"/>
      <c r="H47" s="627" t="str">
        <f>CONCATENATE("+ ",ROUND((G$46*0.08),2))</f>
        <v>+ 12.64</v>
      </c>
    </row>
    <row r="48" spans="1:8" ht="15" thickBot="1">
      <c r="B48" s="646" t="s">
        <v>449</v>
      </c>
      <c r="C48" s="697" t="str">
        <f>D47</f>
        <v>+ 12.62</v>
      </c>
      <c r="D48" s="632"/>
      <c r="E48" s="631" t="str">
        <f>F47</f>
        <v>+ 12.84</v>
      </c>
      <c r="F48" s="632"/>
      <c r="G48" s="631" t="str">
        <f>H47</f>
        <v>+ 12.64</v>
      </c>
      <c r="H48" s="632"/>
    </row>
    <row r="49" spans="1:9" s="392" customFormat="1" ht="15" thickBot="1">
      <c r="B49" s="647" t="s">
        <v>452</v>
      </c>
      <c r="C49" s="648">
        <f>C$46+C$48+C$44+C$45</f>
        <v>170.41281607864948</v>
      </c>
      <c r="D49" s="649">
        <f>D38+D47</f>
        <v>0.75999999999999979</v>
      </c>
      <c r="E49" s="648">
        <f>E$46+E$48+E$44+E$45</f>
        <v>173.36801484615373</v>
      </c>
      <c r="F49" s="649">
        <f>F38+F47</f>
        <v>0.76999999999999957</v>
      </c>
      <c r="G49" s="650">
        <f>G$46+G$48+G$44+G$45</f>
        <v>170.57918705896066</v>
      </c>
      <c r="H49" s="651">
        <f>H38+H47</f>
        <v>0.77000000000000135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1-000000000000}">
  <sheetPr codeName="Sheet451"/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556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1.3196601568481099</v>
      </c>
      <c r="E23" s="283">
        <f t="shared" ref="E23:F23" si="0">$G$23*$G$8</f>
        <v>1.3196601568481099</v>
      </c>
      <c r="F23" s="283">
        <f t="shared" si="0"/>
        <v>1.3196601568481099</v>
      </c>
      <c r="G23" s="284">
        <f>'Delivery &gt;40km-Sept 2013'!E24*I23/1000</f>
        <v>1.1376380662483707</v>
      </c>
      <c r="H23" s="262" t="s">
        <v>130</v>
      </c>
      <c r="I23" s="908">
        <v>95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158.41077720675293</v>
      </c>
      <c r="E25" s="285">
        <f>E19+E21+E23</f>
        <v>161.13435487115589</v>
      </c>
      <c r="F25" s="285">
        <f>F19+F21+F23</f>
        <v>158.57212138507347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1-000000000000}">
  <sheetPr codeName="Sheet452"/>
  <dimension ref="A2:M68"/>
  <sheetViews>
    <sheetView topLeftCell="A34" workbookViewId="0">
      <selection activeCell="D58" sqref="D58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Marani!G23</f>
        <v>1.1376380662483707</v>
      </c>
      <c r="D40" s="943"/>
      <c r="E40" s="880">
        <f>C40</f>
        <v>1.1376380662483707</v>
      </c>
      <c r="F40" s="943"/>
      <c r="G40" s="613">
        <f>C40</f>
        <v>1.1376380662483707</v>
      </c>
      <c r="H40" s="943"/>
    </row>
    <row r="41" spans="1:8" s="392" customFormat="1">
      <c r="A41" s="605"/>
      <c r="B41" s="617" t="s">
        <v>446</v>
      </c>
      <c r="C41" s="618">
        <f>SUM(C40)</f>
        <v>1.1376380662483707</v>
      </c>
      <c r="D41" s="618"/>
      <c r="E41" s="626">
        <f>SUM(E40)</f>
        <v>1.1376380662483707</v>
      </c>
      <c r="F41" s="944"/>
      <c r="G41" s="618">
        <f>SUM(G40)</f>
        <v>1.1376380662483707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169.37738791524197</v>
      </c>
      <c r="D43" s="610"/>
      <c r="E43" s="613">
        <f>E$37+E$42+E$41</f>
        <v>172.32258668274622</v>
      </c>
      <c r="F43" s="610"/>
      <c r="G43" s="236">
        <f>G$37+G$42+G$41</f>
        <v>169.53375889555318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157.51738791524195</v>
      </c>
      <c r="D46" s="610"/>
      <c r="E46" s="641">
        <f>E$43-E44-E45+F$38</f>
        <v>160.25258668274623</v>
      </c>
      <c r="F46" s="610"/>
      <c r="G46" s="642">
        <f>G$43-G44-G45+H$38</f>
        <v>157.66375889555317</v>
      </c>
      <c r="H46" s="573"/>
    </row>
    <row r="47" spans="1:8">
      <c r="B47" s="503" t="s">
        <v>445</v>
      </c>
      <c r="C47" s="644"/>
      <c r="D47" s="696" t="str">
        <f>CONCATENATE("+ ",ROUND((C$46*0.08),2))</f>
        <v>+ 12.6</v>
      </c>
      <c r="E47" s="644"/>
      <c r="F47" s="627" t="str">
        <f>CONCATENATE("+ ",ROUND((E$46*0.08),2))</f>
        <v>+ 12.82</v>
      </c>
      <c r="G47" s="645"/>
      <c r="H47" s="627" t="str">
        <f>CONCATENATE("+ ",ROUND((G$46*0.08),2))</f>
        <v>+ 12.61</v>
      </c>
    </row>
    <row r="48" spans="1:8" ht="15" thickBot="1">
      <c r="B48" s="646" t="s">
        <v>449</v>
      </c>
      <c r="C48" s="697" t="str">
        <f>D47</f>
        <v>+ 12.6</v>
      </c>
      <c r="D48" s="632"/>
      <c r="E48" s="631" t="str">
        <f>F47</f>
        <v>+ 12.82</v>
      </c>
      <c r="F48" s="632"/>
      <c r="G48" s="631" t="str">
        <f>H47</f>
        <v>+ 12.61</v>
      </c>
      <c r="H48" s="632"/>
    </row>
    <row r="49" spans="1:9" s="392" customFormat="1" ht="15" thickBot="1">
      <c r="B49" s="647" t="s">
        <v>452</v>
      </c>
      <c r="C49" s="648">
        <f>C$46+C$48+C$44+C$45</f>
        <v>170.11738791524195</v>
      </c>
      <c r="D49" s="649">
        <f>D38+D47</f>
        <v>0.74000000000000021</v>
      </c>
      <c r="E49" s="648">
        <f>E$46+E$48+E$44+E$45</f>
        <v>173.07258668274622</v>
      </c>
      <c r="F49" s="649">
        <f>F38+F47</f>
        <v>0.75</v>
      </c>
      <c r="G49" s="650">
        <f>G$46+G$48+G$44+G$45</f>
        <v>170.27375889555316</v>
      </c>
      <c r="H49" s="651">
        <f>H38+H47</f>
        <v>0.74000000000000021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1-000000000000}">
  <sheetPr codeName="Sheet453"/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556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1.708612624129658</v>
      </c>
      <c r="E23" s="283">
        <f t="shared" ref="E23:F23" si="0">$G$23*$G$8</f>
        <v>1.708612624129658</v>
      </c>
      <c r="F23" s="283">
        <f t="shared" si="0"/>
        <v>1.708612624129658</v>
      </c>
      <c r="G23" s="284">
        <f>'Delivery &gt;40km-Sept 2013'!E24*I23/1000</f>
        <v>1.4729419173531535</v>
      </c>
      <c r="H23" s="262" t="s">
        <v>130</v>
      </c>
      <c r="I23" s="908">
        <v>123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158.7997296740345</v>
      </c>
      <c r="E25" s="285">
        <f>E19+E21+E23</f>
        <v>161.52330733843746</v>
      </c>
      <c r="F25" s="285">
        <f>F19+F21+F23</f>
        <v>158.96107385235504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1-000000000000}">
  <sheetPr codeName="Sheet454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Kerina!G23</f>
        <v>1.4729419173531535</v>
      </c>
      <c r="D40" s="943"/>
      <c r="E40" s="880">
        <f>C40</f>
        <v>1.4729419173531535</v>
      </c>
      <c r="F40" s="943"/>
      <c r="G40" s="613">
        <f>C40</f>
        <v>1.4729419173531535</v>
      </c>
      <c r="H40" s="943"/>
    </row>
    <row r="41" spans="1:8" s="392" customFormat="1">
      <c r="A41" s="605"/>
      <c r="B41" s="617" t="s">
        <v>446</v>
      </c>
      <c r="C41" s="618">
        <f>SUM(C40)</f>
        <v>1.4729419173531535</v>
      </c>
      <c r="D41" s="618"/>
      <c r="E41" s="626">
        <f>SUM(E40)</f>
        <v>1.4729419173531535</v>
      </c>
      <c r="F41" s="944"/>
      <c r="G41" s="618">
        <f>SUM(G40)</f>
        <v>1.4729419173531535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169.71269176634675</v>
      </c>
      <c r="D43" s="610"/>
      <c r="E43" s="613">
        <f>E$37+E$42+E$41</f>
        <v>172.657890533851</v>
      </c>
      <c r="F43" s="610"/>
      <c r="G43" s="236">
        <f>G$37+G$42+G$41</f>
        <v>169.86906274665796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157.85269176634677</v>
      </c>
      <c r="D46" s="610"/>
      <c r="E46" s="641">
        <f>E$43-E44-E45+F$38</f>
        <v>160.58789053385101</v>
      </c>
      <c r="F46" s="610"/>
      <c r="G46" s="642">
        <f>G$43-G44-G45+H$38</f>
        <v>157.99906274665796</v>
      </c>
      <c r="H46" s="573"/>
    </row>
    <row r="47" spans="1:8">
      <c r="B47" s="503" t="s">
        <v>445</v>
      </c>
      <c r="C47" s="644"/>
      <c r="D47" s="696" t="str">
        <f>CONCATENATE("+ ",ROUND((C$46*0.08),2))</f>
        <v>+ 12.63</v>
      </c>
      <c r="E47" s="644"/>
      <c r="F47" s="627" t="str">
        <f>CONCATENATE("+ ",ROUND((E$46*0.08),2))</f>
        <v>+ 12.85</v>
      </c>
      <c r="G47" s="645"/>
      <c r="H47" s="627" t="str">
        <f>CONCATENATE("+ ",ROUND((G$46*0.08),2))</f>
        <v>+ 12.64</v>
      </c>
    </row>
    <row r="48" spans="1:8" ht="15" thickBot="1">
      <c r="B48" s="646" t="s">
        <v>449</v>
      </c>
      <c r="C48" s="697" t="str">
        <f>D47</f>
        <v>+ 12.63</v>
      </c>
      <c r="D48" s="632"/>
      <c r="E48" s="631" t="str">
        <f>F47</f>
        <v>+ 12.85</v>
      </c>
      <c r="F48" s="632"/>
      <c r="G48" s="631" t="str">
        <f>H47</f>
        <v>+ 12.64</v>
      </c>
      <c r="H48" s="632"/>
    </row>
    <row r="49" spans="1:9" s="392" customFormat="1" ht="15" thickBot="1">
      <c r="B49" s="647" t="s">
        <v>452</v>
      </c>
      <c r="C49" s="648">
        <f>C$46+C$48+C$44+C$45</f>
        <v>170.48269176634676</v>
      </c>
      <c r="D49" s="649">
        <f>D38+D47</f>
        <v>0.77000000000000135</v>
      </c>
      <c r="E49" s="648">
        <f>E$46+E$48+E$44+E$45</f>
        <v>173.437890533851</v>
      </c>
      <c r="F49" s="649">
        <f>F38+F47</f>
        <v>0.77999999999999936</v>
      </c>
      <c r="G49" s="650">
        <f>G$46+G$48+G$44+G$45</f>
        <v>170.63906274665794</v>
      </c>
      <c r="H49" s="651">
        <f>H38+H47</f>
        <v>0.77000000000000135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1-000000000000}">
  <sheetPr codeName="Sheet455"/>
  <dimension ref="B2:K31"/>
  <sheetViews>
    <sheetView topLeftCell="A8" workbookViewId="0">
      <selection activeCell="D23" sqref="D23:F23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556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f>Kisumu!G8</f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1.0140546468411791</v>
      </c>
      <c r="E23" s="283">
        <f t="shared" ref="E23:F23" si="0">$G$23*$G$8</f>
        <v>1.0140546468411791</v>
      </c>
      <c r="F23" s="283">
        <f t="shared" si="0"/>
        <v>1.0140546468411791</v>
      </c>
      <c r="G23" s="284">
        <f>'Delivery &gt;40km-Sept 2013'!E24*I23/1000</f>
        <v>0.87418504038032685</v>
      </c>
      <c r="H23" s="262" t="s">
        <v>130</v>
      </c>
      <c r="I23" s="908">
        <v>73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158.105171696746</v>
      </c>
      <c r="E25" s="285">
        <f>E19+E21+E23</f>
        <v>160.82874936114897</v>
      </c>
      <c r="F25" s="285">
        <f>F19+F21+F23</f>
        <v>158.26651587506655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1-000000000000}">
  <sheetPr codeName="Sheet456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Ikonge!G23</f>
        <v>0.87418504038032685</v>
      </c>
      <c r="D40" s="943"/>
      <c r="E40" s="880">
        <f>C40</f>
        <v>0.87418504038032685</v>
      </c>
      <c r="F40" s="943"/>
      <c r="G40" s="613">
        <f>C40</f>
        <v>0.87418504038032685</v>
      </c>
      <c r="H40" s="943"/>
    </row>
    <row r="41" spans="1:8" s="392" customFormat="1">
      <c r="A41" s="605"/>
      <c r="B41" s="617" t="s">
        <v>446</v>
      </c>
      <c r="C41" s="618">
        <f>SUM(C40)</f>
        <v>0.87418504038032685</v>
      </c>
      <c r="D41" s="618"/>
      <c r="E41" s="626">
        <f>SUM(E40)</f>
        <v>0.87418504038032685</v>
      </c>
      <c r="F41" s="944"/>
      <c r="G41" s="618">
        <f>SUM(G40)</f>
        <v>0.87418504038032685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169.11393488937392</v>
      </c>
      <c r="D43" s="610"/>
      <c r="E43" s="613">
        <f>E$37+E$42+E$41</f>
        <v>172.05913365687817</v>
      </c>
      <c r="F43" s="610"/>
      <c r="G43" s="236">
        <f>G$37+G$42+G$41</f>
        <v>169.27030586968513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157.25393488937391</v>
      </c>
      <c r="D46" s="610"/>
      <c r="E46" s="641">
        <f>E$43-E44-E45+F$38</f>
        <v>159.98913365687818</v>
      </c>
      <c r="F46" s="610"/>
      <c r="G46" s="642">
        <f>G$43-G44-G45+H$38</f>
        <v>157.40030586968513</v>
      </c>
      <c r="H46" s="573"/>
    </row>
    <row r="47" spans="1:8">
      <c r="B47" s="503" t="s">
        <v>445</v>
      </c>
      <c r="C47" s="644"/>
      <c r="D47" s="696" t="str">
        <f>CONCATENATE("+ ",ROUND((C$46*0.08),2))</f>
        <v>+ 12.58</v>
      </c>
      <c r="E47" s="644"/>
      <c r="F47" s="627" t="str">
        <f>CONCATENATE("+ ",ROUND((E$46*0.08),2))</f>
        <v>+ 12.8</v>
      </c>
      <c r="G47" s="645"/>
      <c r="H47" s="627" t="str">
        <f>CONCATENATE("+ ",ROUND((G$46*0.08),2))</f>
        <v>+ 12.59</v>
      </c>
    </row>
    <row r="48" spans="1:8" ht="15" thickBot="1">
      <c r="B48" s="646" t="s">
        <v>449</v>
      </c>
      <c r="C48" s="697" t="str">
        <f>D47</f>
        <v>+ 12.58</v>
      </c>
      <c r="D48" s="632"/>
      <c r="E48" s="631" t="str">
        <f>F47</f>
        <v>+ 12.8</v>
      </c>
      <c r="F48" s="632"/>
      <c r="G48" s="631" t="str">
        <f>H47</f>
        <v>+ 12.59</v>
      </c>
      <c r="H48" s="632"/>
    </row>
    <row r="49" spans="1:9" s="392" customFormat="1" ht="15" thickBot="1">
      <c r="B49" s="647" t="s">
        <v>452</v>
      </c>
      <c r="C49" s="648">
        <f>C$46+C$48+C$44+C$45</f>
        <v>169.83393488937392</v>
      </c>
      <c r="D49" s="649">
        <f>D38+D47</f>
        <v>0.72000000000000064</v>
      </c>
      <c r="E49" s="648">
        <f>E$46+E$48+E$44+E$45</f>
        <v>172.78913365687819</v>
      </c>
      <c r="F49" s="649">
        <f>F38+F47</f>
        <v>0.73000000000000043</v>
      </c>
      <c r="G49" s="650">
        <f>G$46+G$48+G$44+G$45</f>
        <v>169.99030586968513</v>
      </c>
      <c r="H49" s="651">
        <f>H38+H47</f>
        <v>0.72000000000000064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1-000000000000}">
  <sheetPr codeName="Sheet457"/>
  <dimension ref="B2:K31"/>
  <sheetViews>
    <sheetView topLeftCell="A8" workbookViewId="0">
      <selection activeCell="G9" sqref="G9"/>
    </sheetView>
  </sheetViews>
  <sheetFormatPr defaultColWidth="9.1796875" defaultRowHeight="14.5"/>
  <cols>
    <col min="1" max="3" width="9.1796875" style="159"/>
    <col min="4" max="4" width="12.54296875" style="159" bestFit="1" customWidth="1"/>
    <col min="5" max="5" width="13.7265625" style="159" bestFit="1" customWidth="1"/>
    <col min="6" max="7" width="13.81640625" style="159" bestFit="1" customWidth="1"/>
    <col min="8" max="8" width="56" style="159" bestFit="1" customWidth="1"/>
    <col min="9" max="16384" width="9.1796875" style="159"/>
  </cols>
  <sheetData>
    <row r="2" spans="2:11">
      <c r="C2" s="258" t="s">
        <v>556</v>
      </c>
      <c r="G2" s="160"/>
    </row>
    <row r="3" spans="2:11">
      <c r="C3" s="258" t="s">
        <v>27</v>
      </c>
      <c r="G3" s="160"/>
    </row>
    <row r="4" spans="2:11">
      <c r="C4" s="259" t="str">
        <f>Eldoret!C4</f>
        <v>March 15 - April 14, 2023</v>
      </c>
      <c r="D4" s="258"/>
      <c r="E4" s="160"/>
      <c r="F4" s="160"/>
      <c r="G4" s="260"/>
    </row>
    <row r="5" spans="2:11" ht="15" thickBot="1">
      <c r="C5" s="160"/>
      <c r="D5" s="160"/>
      <c r="E5" s="160"/>
      <c r="F5" s="160"/>
      <c r="G5" s="261"/>
      <c r="H5" s="262"/>
      <c r="I5" s="262"/>
      <c r="J5" s="262"/>
      <c r="K5" s="262"/>
    </row>
    <row r="6" spans="2:11" ht="15" thickBot="1">
      <c r="C6" s="263"/>
      <c r="D6" s="264" t="s">
        <v>0</v>
      </c>
      <c r="E6" s="264" t="s">
        <v>1</v>
      </c>
      <c r="F6" s="264" t="s">
        <v>3</v>
      </c>
      <c r="G6" s="265">
        <v>1</v>
      </c>
      <c r="H6" s="266" t="s">
        <v>167</v>
      </c>
      <c r="I6" s="262"/>
      <c r="J6" s="262"/>
      <c r="K6" s="262"/>
    </row>
    <row r="7" spans="2:11">
      <c r="B7" s="258"/>
      <c r="C7" s="263" t="s">
        <v>20</v>
      </c>
      <c r="D7" s="267">
        <f>'WEIGHTED AVERAGE COST'!L40</f>
        <v>140.89004796085644</v>
      </c>
      <c r="E7" s="267">
        <f>'WEIGHTED AVERAGE COST'!L76</f>
        <v>143.64234122173767</v>
      </c>
      <c r="F7" s="267">
        <f>'WEIGHTED AVERAGE COST'!L104</f>
        <v>141.08130288687818</v>
      </c>
      <c r="G7" s="160"/>
      <c r="H7" s="262" t="s">
        <v>26</v>
      </c>
      <c r="I7" s="262"/>
      <c r="J7" s="262"/>
      <c r="K7" s="262"/>
    </row>
    <row r="8" spans="2:11" ht="15" thickBot="1">
      <c r="C8" s="263"/>
      <c r="D8" s="263"/>
      <c r="E8" s="263"/>
      <c r="F8" s="263"/>
      <c r="G8" s="268">
        <v>1.1599999999999999</v>
      </c>
      <c r="H8" s="262" t="str">
        <f>Eldoret!I8</f>
        <v>Weighted average cost (KPRL + KOSF)</v>
      </c>
      <c r="I8" s="262"/>
      <c r="J8" s="262"/>
      <c r="K8" s="262"/>
    </row>
    <row r="9" spans="2:11" ht="15" thickBot="1">
      <c r="C9" s="263" t="s">
        <v>20</v>
      </c>
      <c r="D9" s="269">
        <f>$G$10*G9*$G$8</f>
        <v>4.405320399999999</v>
      </c>
      <c r="E9" s="269">
        <f>$G$10*$G$9*$G$8</f>
        <v>4.405320399999999</v>
      </c>
      <c r="F9" s="269">
        <f>$G$10*G6*$G$8</f>
        <v>4.405320399999999</v>
      </c>
      <c r="G9" s="270">
        <v>1</v>
      </c>
      <c r="H9" s="266" t="s">
        <v>166</v>
      </c>
      <c r="I9" s="262"/>
      <c r="J9" s="262"/>
      <c r="K9" s="262"/>
    </row>
    <row r="10" spans="2:11" ht="15" thickBot="1">
      <c r="C10" s="263"/>
      <c r="D10" s="271"/>
      <c r="E10" s="271"/>
      <c r="F10" s="271"/>
      <c r="G10" s="272">
        <f>Kisumu!G10</f>
        <v>3.7976899999999998</v>
      </c>
      <c r="H10" s="262" t="s">
        <v>30</v>
      </c>
      <c r="I10" s="262"/>
      <c r="J10" s="262"/>
      <c r="K10" s="262"/>
    </row>
    <row r="11" spans="2:11" ht="15" thickBot="1">
      <c r="C11" s="227" t="s">
        <v>20</v>
      </c>
      <c r="D11" s="269">
        <f>Kisumu!D11</f>
        <v>0</v>
      </c>
      <c r="E11" s="269">
        <f>Kisumu!E11</f>
        <v>0</v>
      </c>
      <c r="F11" s="269">
        <f>Kisumu!F11</f>
        <v>0</v>
      </c>
      <c r="G11" s="273">
        <f>'Bridging - Sept 2013'!E23*G14/1000</f>
        <v>7.5850637096422648</v>
      </c>
      <c r="H11" s="262" t="s">
        <v>177</v>
      </c>
      <c r="I11" s="262"/>
      <c r="J11" s="262"/>
      <c r="K11" s="262"/>
    </row>
    <row r="12" spans="2:11">
      <c r="C12" s="263"/>
      <c r="D12" s="274"/>
      <c r="E12" s="274"/>
      <c r="F12" s="274"/>
      <c r="G12" s="665">
        <f>1-G9</f>
        <v>0</v>
      </c>
      <c r="H12" s="275" t="s">
        <v>41</v>
      </c>
      <c r="I12" s="262"/>
      <c r="J12" s="262"/>
      <c r="K12" s="262"/>
    </row>
    <row r="13" spans="2:11" ht="15" thickBot="1">
      <c r="C13" s="276" t="s">
        <v>20</v>
      </c>
      <c r="D13" s="277">
        <f>$G$13*D7</f>
        <v>6.5748689048399672E-2</v>
      </c>
      <c r="E13" s="277">
        <f>$G$13*E7</f>
        <v>6.703309257014424E-2</v>
      </c>
      <c r="F13" s="277">
        <f>$G$13*F7</f>
        <v>6.5837941347209814E-2</v>
      </c>
      <c r="G13" s="278">
        <f>Nairobi!$G$13</f>
        <v>4.6666666666666666E-4</v>
      </c>
      <c r="H13" s="262" t="s">
        <v>25</v>
      </c>
      <c r="I13" s="262"/>
      <c r="J13" s="262"/>
      <c r="K13" s="262"/>
    </row>
    <row r="14" spans="2:11" ht="15" thickBot="1">
      <c r="C14" s="263"/>
      <c r="D14" s="274"/>
      <c r="E14" s="274"/>
      <c r="F14" s="274"/>
      <c r="G14" s="279">
        <v>832</v>
      </c>
      <c r="H14" s="262" t="s">
        <v>35</v>
      </c>
      <c r="I14" s="262"/>
      <c r="J14" s="262"/>
      <c r="K14" s="262"/>
    </row>
    <row r="15" spans="2:11">
      <c r="C15" s="263" t="s">
        <v>20</v>
      </c>
      <c r="D15" s="195">
        <f>G15*D7</f>
        <v>0</v>
      </c>
      <c r="E15" s="195">
        <f>G16*E7</f>
        <v>0</v>
      </c>
      <c r="F15" s="195">
        <f>G16*F7</f>
        <v>0</v>
      </c>
      <c r="G15" s="278">
        <v>0</v>
      </c>
      <c r="H15" s="262" t="s">
        <v>29</v>
      </c>
      <c r="I15" s="262"/>
      <c r="J15" s="262"/>
      <c r="K15" s="262"/>
    </row>
    <row r="16" spans="2:11">
      <c r="C16" s="263"/>
      <c r="D16" s="263"/>
      <c r="E16" s="263"/>
      <c r="F16" s="263"/>
      <c r="G16" s="278">
        <v>0</v>
      </c>
      <c r="H16" s="262"/>
      <c r="I16" s="262"/>
      <c r="J16" s="262"/>
      <c r="K16" s="262"/>
    </row>
    <row r="17" spans="3:11">
      <c r="C17" s="263" t="s">
        <v>20</v>
      </c>
      <c r="D17" s="280">
        <f>Kisumu!D17</f>
        <v>3.54</v>
      </c>
      <c r="E17" s="280">
        <f>Kisumu!E17</f>
        <v>3.51</v>
      </c>
      <c r="F17" s="280">
        <f>Kisumu!F17</f>
        <v>3.51</v>
      </c>
      <c r="G17" s="281"/>
      <c r="H17" s="262" t="s">
        <v>24</v>
      </c>
      <c r="I17" s="262"/>
      <c r="J17" s="262"/>
      <c r="K17" s="262"/>
    </row>
    <row r="18" spans="3:11">
      <c r="C18" s="263"/>
      <c r="D18" s="263"/>
      <c r="E18" s="263"/>
      <c r="F18" s="263"/>
      <c r="G18" s="160"/>
      <c r="H18" s="262"/>
      <c r="I18" s="262"/>
      <c r="J18" s="262"/>
      <c r="K18" s="262"/>
    </row>
    <row r="19" spans="3:11">
      <c r="C19" s="263" t="s">
        <v>20</v>
      </c>
      <c r="D19" s="282">
        <f>SUM(D7:D18)</f>
        <v>148.90111704990483</v>
      </c>
      <c r="E19" s="282">
        <f>SUM(E7:E18)</f>
        <v>151.62469471430779</v>
      </c>
      <c r="F19" s="282">
        <f>SUM(F7:F18)</f>
        <v>149.06246122822537</v>
      </c>
      <c r="G19" s="160"/>
      <c r="H19" s="262" t="s">
        <v>23</v>
      </c>
      <c r="I19" s="262"/>
      <c r="J19" s="262"/>
      <c r="K19" s="262"/>
    </row>
    <row r="20" spans="3:11">
      <c r="C20" s="263"/>
      <c r="D20" s="263"/>
      <c r="E20" s="263"/>
      <c r="F20" s="263"/>
      <c r="G20" s="160"/>
      <c r="H20" s="262"/>
      <c r="I20" s="262"/>
      <c r="J20" s="262"/>
      <c r="K20" s="262"/>
    </row>
    <row r="21" spans="3:11">
      <c r="C21" s="263" t="s">
        <v>20</v>
      </c>
      <c r="D21" s="271">
        <f>Kisumu!D21</f>
        <v>8.19</v>
      </c>
      <c r="E21" s="271">
        <f>Kisumu!E21</f>
        <v>8.19</v>
      </c>
      <c r="F21" s="271">
        <f>Kisumu!F21</f>
        <v>8.19</v>
      </c>
      <c r="G21" s="160"/>
      <c r="H21" s="262" t="s">
        <v>22</v>
      </c>
      <c r="I21" s="262"/>
      <c r="J21" s="262"/>
      <c r="K21" s="262"/>
    </row>
    <row r="22" spans="3:11" ht="15" thickBot="1">
      <c r="C22" s="263"/>
      <c r="D22" s="168"/>
      <c r="E22" s="168"/>
      <c r="F22" s="168"/>
      <c r="G22" s="160"/>
      <c r="H22" s="262"/>
      <c r="I22" s="262"/>
      <c r="J22" s="262"/>
      <c r="K22" s="262"/>
    </row>
    <row r="23" spans="3:11" ht="15" thickBot="1">
      <c r="C23" s="263" t="s">
        <v>20</v>
      </c>
      <c r="D23" s="283">
        <f>$G$23*$G$8</f>
        <v>1.4446805927600361</v>
      </c>
      <c r="E23" s="283">
        <f t="shared" ref="E23:F23" si="0">$G$23*$G$8</f>
        <v>1.4446805927600361</v>
      </c>
      <c r="F23" s="283">
        <f t="shared" si="0"/>
        <v>1.4446805927600361</v>
      </c>
      <c r="G23" s="284">
        <f>'Delivery &gt;40km-Sept 2013'!E24*I23/1000</f>
        <v>1.2454143041034795</v>
      </c>
      <c r="H23" s="262" t="s">
        <v>130</v>
      </c>
      <c r="I23" s="908">
        <v>104</v>
      </c>
      <c r="J23" s="262"/>
      <c r="K23" s="262"/>
    </row>
    <row r="24" spans="3:11">
      <c r="C24" s="263"/>
      <c r="D24" s="263"/>
      <c r="E24" s="263"/>
      <c r="F24" s="263"/>
      <c r="G24" s="160"/>
      <c r="H24" s="262"/>
      <c r="I24" s="262"/>
      <c r="J24" s="262"/>
      <c r="K24" s="262"/>
    </row>
    <row r="25" spans="3:11">
      <c r="C25" s="263" t="s">
        <v>20</v>
      </c>
      <c r="D25" s="285">
        <f>D19+D21+D23</f>
        <v>158.53579764266485</v>
      </c>
      <c r="E25" s="285">
        <f>E19+E21+E23</f>
        <v>161.25937530706781</v>
      </c>
      <c r="F25" s="285">
        <f>F19+F21+F23</f>
        <v>158.69714182098539</v>
      </c>
      <c r="G25" s="160"/>
      <c r="H25" s="262" t="s">
        <v>19</v>
      </c>
      <c r="I25" s="262"/>
      <c r="J25" s="262"/>
      <c r="K25" s="262"/>
    </row>
    <row r="26" spans="3:11">
      <c r="C26" s="160"/>
      <c r="D26" s="286"/>
      <c r="E26" s="160"/>
      <c r="F26" s="160"/>
      <c r="G26" s="160"/>
    </row>
    <row r="27" spans="3:11">
      <c r="C27" s="666"/>
      <c r="D27" s="667"/>
      <c r="E27" s="667"/>
      <c r="F27" s="667"/>
    </row>
    <row r="29" spans="3:11">
      <c r="D29" s="210"/>
      <c r="E29" s="210"/>
      <c r="F29" s="210"/>
    </row>
    <row r="31" spans="3:11">
      <c r="E31" s="210"/>
    </row>
  </sheetData>
  <pageMargins left="0.7" right="0.7" top="0.75" bottom="0.75" header="0.3" footer="0.3"/>
  <drawing r:id="rId1"/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1-000000000000}">
  <sheetPr codeName="Sheet458"/>
  <dimension ref="A2:M68"/>
  <sheetViews>
    <sheetView topLeftCell="A43" workbookViewId="0">
      <selection activeCell="C41" sqref="C41"/>
    </sheetView>
  </sheetViews>
  <sheetFormatPr defaultColWidth="9.1796875" defaultRowHeight="14.5"/>
  <cols>
    <col min="1" max="1" width="5.26953125" style="159" customWidth="1"/>
    <col min="2" max="2" width="48.1796875" style="159" customWidth="1"/>
    <col min="3" max="3" width="18" style="159" customWidth="1"/>
    <col min="4" max="4" width="21.26953125" style="159" bestFit="1" customWidth="1"/>
    <col min="5" max="8" width="15.453125" style="159" customWidth="1"/>
    <col min="9" max="9" width="5.81640625" style="159" customWidth="1"/>
    <col min="10" max="16384" width="9.1796875" style="159"/>
  </cols>
  <sheetData>
    <row r="2" spans="1:13" ht="15" thickBot="1"/>
    <row r="3" spans="1:13" ht="15" thickBot="1">
      <c r="B3" s="1227" t="s">
        <v>435</v>
      </c>
      <c r="C3" s="1229"/>
      <c r="D3" s="1229"/>
      <c r="E3" s="1229"/>
      <c r="F3" s="1229"/>
      <c r="G3" s="1229"/>
      <c r="H3" s="1228"/>
    </row>
    <row r="4" spans="1:13" ht="15" thickBot="1">
      <c r="B4" s="443" t="str">
        <f>Mombasa!C4</f>
        <v>March 15 - April 14, 2023</v>
      </c>
      <c r="C4" s="1230" t="s">
        <v>399</v>
      </c>
      <c r="D4" s="1231"/>
      <c r="E4" s="1230" t="s">
        <v>338</v>
      </c>
      <c r="F4" s="1230"/>
      <c r="G4" s="1232" t="s">
        <v>337</v>
      </c>
      <c r="H4" s="1231"/>
    </row>
    <row r="5" spans="1:13" ht="28.5" customHeight="1" thickBot="1">
      <c r="B5" s="593" t="s">
        <v>439</v>
      </c>
      <c r="C5" s="945" t="s">
        <v>431</v>
      </c>
      <c r="D5" s="204" t="s">
        <v>430</v>
      </c>
      <c r="E5" s="945" t="s">
        <v>431</v>
      </c>
      <c r="F5" s="204" t="s">
        <v>430</v>
      </c>
      <c r="G5" s="945" t="s">
        <v>431</v>
      </c>
      <c r="H5" s="204" t="s">
        <v>430</v>
      </c>
    </row>
    <row r="6" spans="1:13" ht="18" customHeight="1">
      <c r="B6" s="405" t="s">
        <v>438</v>
      </c>
      <c r="C6" s="242">
        <f>C$7+C$8</f>
        <v>90.386688709458426</v>
      </c>
      <c r="D6" s="595"/>
      <c r="E6" s="242">
        <f>E$7+E$8</f>
        <v>103.0117818482814</v>
      </c>
      <c r="F6" s="596"/>
      <c r="G6" s="242">
        <f>G$7+G$8</f>
        <v>105.40310318889841</v>
      </c>
      <c r="H6" s="595"/>
    </row>
    <row r="7" spans="1:13" ht="18" customHeight="1">
      <c r="B7" s="597" t="s">
        <v>400</v>
      </c>
      <c r="C7" s="598">
        <f>'PMS SUMMARY'!D45</f>
        <v>89.740844909393786</v>
      </c>
      <c r="D7" s="599"/>
      <c r="E7" s="598">
        <f>'AGO SUMMARY'!E47</f>
        <v>102.43801744706063</v>
      </c>
      <c r="F7" s="600"/>
      <c r="G7" s="849">
        <f>'DPK SUMMARY'!D44</f>
        <v>104.66296430977627</v>
      </c>
      <c r="H7" s="599"/>
    </row>
    <row r="8" spans="1:13" s="163" customFormat="1">
      <c r="B8" s="601" t="s">
        <v>420</v>
      </c>
      <c r="C8" s="602">
        <f>'PMS SUMMARY'!D44</f>
        <v>0.64584380006463771</v>
      </c>
      <c r="D8" s="603">
        <f>-C8*0.16</f>
        <v>-0.10333500801034204</v>
      </c>
      <c r="E8" s="602">
        <f>'AGO SUMMARY'!E46</f>
        <v>0.57376440122077432</v>
      </c>
      <c r="F8" s="603">
        <f>-E8*0.16</f>
        <v>-9.1802304195323897E-2</v>
      </c>
      <c r="G8" s="850">
        <f>'DPK SUMMARY'!D43</f>
        <v>0.74013887912213949</v>
      </c>
      <c r="H8" s="603">
        <f>-G8*0.16</f>
        <v>-0.11842222065954232</v>
      </c>
      <c r="K8" s="159"/>
      <c r="L8" s="159"/>
      <c r="M8" s="159"/>
    </row>
    <row r="9" spans="1:13">
      <c r="A9" s="605" t="s">
        <v>401</v>
      </c>
      <c r="B9" s="494" t="s">
        <v>453</v>
      </c>
      <c r="C9" s="606">
        <f>C$6</f>
        <v>90.386688709458426</v>
      </c>
      <c r="D9" s="573"/>
      <c r="E9" s="606">
        <f>E$6</f>
        <v>103.0117818482814</v>
      </c>
      <c r="F9" s="573"/>
      <c r="G9" s="606">
        <f>G$6</f>
        <v>105.40310318889841</v>
      </c>
      <c r="H9" s="573"/>
    </row>
    <row r="10" spans="1:13">
      <c r="A10" s="605"/>
      <c r="B10" s="607" t="s">
        <v>424</v>
      </c>
      <c r="C10" s="608"/>
      <c r="D10" s="609">
        <f>-(C9*0.08)</f>
        <v>-7.2309350967566743</v>
      </c>
      <c r="E10" s="608"/>
      <c r="F10" s="609">
        <f>-(E9*0.08)</f>
        <v>-8.2409425478625131</v>
      </c>
      <c r="G10" s="608"/>
      <c r="H10" s="609">
        <f>-(G9*0.08)</f>
        <v>-8.4322482551118725</v>
      </c>
    </row>
    <row r="11" spans="1:13">
      <c r="A11" s="605" t="s">
        <v>402</v>
      </c>
      <c r="B11" s="494" t="s">
        <v>423</v>
      </c>
      <c r="C11" s="226"/>
      <c r="D11" s="610"/>
      <c r="E11" s="611"/>
      <c r="F11" s="612"/>
      <c r="G11" s="613"/>
      <c r="H11" s="610"/>
    </row>
    <row r="12" spans="1:13">
      <c r="B12" s="614" t="s">
        <v>454</v>
      </c>
      <c r="C12" s="236">
        <f>'Breakdown for PMS, AGO &amp; DPK'!D19</f>
        <v>21.953019999999999</v>
      </c>
      <c r="D12" s="573"/>
      <c r="E12" s="236">
        <f>'Breakdown for PMS, AGO &amp; DPK'!E19</f>
        <v>11.370990000000001</v>
      </c>
      <c r="F12" s="615"/>
      <c r="G12" s="236">
        <f>'Breakdown for PMS, AGO &amp; DPK'!F19</f>
        <v>11.370979999999999</v>
      </c>
      <c r="H12" s="573"/>
    </row>
    <row r="13" spans="1:13">
      <c r="A13" s="605"/>
      <c r="B13" s="614" t="s">
        <v>280</v>
      </c>
      <c r="C13" s="613">
        <f>'PMS SUMMARY'!D46</f>
        <v>2.9475332485588122E-2</v>
      </c>
      <c r="D13" s="610"/>
      <c r="E13" s="613">
        <f>'AGO SUMMARY'!E48</f>
        <v>3.3048548193121079E-2</v>
      </c>
      <c r="F13" s="612"/>
      <c r="G13" s="613">
        <f>'DPK SUMMARY'!D45</f>
        <v>1.4519287439229566E-3</v>
      </c>
      <c r="H13" s="610"/>
    </row>
    <row r="14" spans="1:13">
      <c r="A14" s="605"/>
      <c r="B14" s="614" t="s">
        <v>398</v>
      </c>
      <c r="C14" s="613">
        <f>'PMS SUMMARY'!D47</f>
        <v>3.0336263478189398</v>
      </c>
      <c r="D14" s="610"/>
      <c r="E14" s="613">
        <f>'AGO SUMMARY'!E49</f>
        <v>3.4900759901975014</v>
      </c>
      <c r="F14" s="616"/>
      <c r="G14" s="613">
        <f>'DPK SUMMARY'!D46</f>
        <v>3.523582217473364</v>
      </c>
      <c r="H14" s="610"/>
    </row>
    <row r="15" spans="1:13">
      <c r="A15" s="605"/>
      <c r="B15" s="614" t="s">
        <v>322</v>
      </c>
      <c r="C15" s="613">
        <f>'Breakdown for PMS, AGO &amp; DPK'!D20</f>
        <v>18</v>
      </c>
      <c r="D15" s="610"/>
      <c r="E15" s="613">
        <f>'Breakdown for PMS, AGO &amp; DPK'!E20</f>
        <v>18</v>
      </c>
      <c r="F15" s="616"/>
      <c r="G15" s="613">
        <f>'Breakdown for PMS, AGO &amp; DPK'!F20</f>
        <v>0</v>
      </c>
      <c r="H15" s="610"/>
    </row>
    <row r="16" spans="1:13">
      <c r="A16" s="605"/>
      <c r="B16" s="614" t="s">
        <v>470</v>
      </c>
      <c r="C16" s="613">
        <v>0</v>
      </c>
      <c r="D16" s="610"/>
      <c r="E16" s="613">
        <v>0</v>
      </c>
      <c r="F16" s="616"/>
      <c r="G16" s="613">
        <f>'Breakdown for PMS, AGO &amp; DPK'!F24</f>
        <v>18</v>
      </c>
      <c r="H16" s="610"/>
    </row>
    <row r="17" spans="1:8">
      <c r="A17" s="605"/>
      <c r="B17" s="614" t="s">
        <v>321</v>
      </c>
      <c r="C17" s="613">
        <f>'Breakdown for PMS, AGO &amp; DPK'!D21</f>
        <v>5.4</v>
      </c>
      <c r="D17" s="610"/>
      <c r="E17" s="613">
        <f>'Breakdown for PMS, AGO &amp; DPK'!E21</f>
        <v>5.4</v>
      </c>
      <c r="F17" s="616"/>
      <c r="G17" s="613">
        <f>'Breakdown for PMS, AGO &amp; DPK'!F21</f>
        <v>0.4</v>
      </c>
      <c r="H17" s="610"/>
    </row>
    <row r="18" spans="1:8">
      <c r="A18" s="605"/>
      <c r="B18" s="614" t="s">
        <v>320</v>
      </c>
      <c r="C18" s="613">
        <f>'Breakdown for PMS, AGO &amp; DPK'!D22</f>
        <v>0.25</v>
      </c>
      <c r="D18" s="610"/>
      <c r="E18" s="613">
        <f>'Breakdown for PMS, AGO &amp; DPK'!E22</f>
        <v>0.25</v>
      </c>
      <c r="F18" s="616"/>
      <c r="G18" s="613">
        <f>'Breakdown for PMS, AGO &amp; DPK'!F22</f>
        <v>0.25</v>
      </c>
      <c r="H18" s="610"/>
    </row>
    <row r="19" spans="1:8">
      <c r="A19" s="605"/>
      <c r="B19" s="614" t="s">
        <v>319</v>
      </c>
      <c r="C19" s="613">
        <f>'PMS Import'!R16</f>
        <v>1.7335007701822511</v>
      </c>
      <c r="D19" s="610"/>
      <c r="E19" s="613">
        <f>'AGO Import'!R16</f>
        <v>1.994329137255715</v>
      </c>
      <c r="F19" s="616"/>
      <c r="G19" s="613">
        <f>'DPK Import'!R12</f>
        <v>2.0134755528419217</v>
      </c>
      <c r="H19" s="610"/>
    </row>
    <row r="20" spans="1:8">
      <c r="A20" s="605"/>
      <c r="B20" s="617" t="s">
        <v>446</v>
      </c>
      <c r="C20" s="618">
        <f>SUM(C12:C19)</f>
        <v>50.399622450486781</v>
      </c>
      <c r="D20" s="610"/>
      <c r="E20" s="618">
        <f>SUM(E12:E19)</f>
        <v>40.538443675646342</v>
      </c>
      <c r="F20" s="619"/>
      <c r="G20" s="618">
        <f>SUM(G12:G19)</f>
        <v>35.559489699059206</v>
      </c>
      <c r="H20" s="610"/>
    </row>
    <row r="21" spans="1:8">
      <c r="A21" s="605" t="s">
        <v>403</v>
      </c>
      <c r="B21" s="620" t="s">
        <v>421</v>
      </c>
      <c r="C21" s="618">
        <f>SUM(C$22:C$23)</f>
        <v>3.8634386890483996</v>
      </c>
      <c r="D21" s="573"/>
      <c r="E21" s="618">
        <f>SUM(E$22:E$23)</f>
        <v>3.8647230925701441</v>
      </c>
      <c r="F21" s="621"/>
      <c r="G21" s="618">
        <f>SUM(G$22:G$23)</f>
        <v>3.8635279413472094</v>
      </c>
      <c r="H21" s="573"/>
    </row>
    <row r="22" spans="1:8">
      <c r="A22" s="605"/>
      <c r="B22" s="614" t="s">
        <v>455</v>
      </c>
      <c r="C22" s="613">
        <f>SUM(C$24:C$25)</f>
        <v>3.7976899999999998</v>
      </c>
      <c r="D22" s="573"/>
      <c r="E22" s="613">
        <f>SUM(E$24:E$25)</f>
        <v>3.7976899999999998</v>
      </c>
      <c r="F22" s="621"/>
      <c r="G22" s="613">
        <f>SUM(G$24:G$25)</f>
        <v>3.7976899999999998</v>
      </c>
      <c r="H22" s="573"/>
    </row>
    <row r="23" spans="1:8">
      <c r="A23" s="605"/>
      <c r="B23" s="614" t="s">
        <v>456</v>
      </c>
      <c r="C23" s="613">
        <f>C$26+C$27</f>
        <v>6.5748689048399672E-2</v>
      </c>
      <c r="D23" s="573"/>
      <c r="E23" s="613">
        <f>E$26+E$27</f>
        <v>6.703309257014424E-2</v>
      </c>
      <c r="F23" s="621"/>
      <c r="G23" s="613">
        <f>G$26+G$27</f>
        <v>6.5837941347209814E-2</v>
      </c>
      <c r="H23" s="573"/>
    </row>
    <row r="24" spans="1:8">
      <c r="A24" s="605"/>
      <c r="B24" s="622" t="s">
        <v>466</v>
      </c>
      <c r="C24" s="602">
        <f>Kisumu!G10</f>
        <v>3.7976899999999998</v>
      </c>
      <c r="D24" s="623"/>
      <c r="E24" s="602">
        <f>C24</f>
        <v>3.7976899999999998</v>
      </c>
      <c r="F24" s="624"/>
      <c r="G24" s="602">
        <f>E24</f>
        <v>3.7976899999999998</v>
      </c>
      <c r="H24" s="573"/>
    </row>
    <row r="25" spans="1:8">
      <c r="A25" s="605"/>
      <c r="B25" s="622" t="s">
        <v>465</v>
      </c>
      <c r="C25" s="602">
        <f>Kisumu!D11/1.14</f>
        <v>0</v>
      </c>
      <c r="D25" s="623"/>
      <c r="E25" s="602">
        <f>Kisumu!E11/1.14</f>
        <v>0</v>
      </c>
      <c r="F25" s="624"/>
      <c r="G25" s="602">
        <f>Kisumu!E11/1.14</f>
        <v>0</v>
      </c>
      <c r="H25" s="573"/>
    </row>
    <row r="26" spans="1:8">
      <c r="A26" s="605"/>
      <c r="B26" s="622" t="s">
        <v>334</v>
      </c>
      <c r="C26" s="602">
        <f>Kisumu!D13</f>
        <v>6.5748689048399672E-2</v>
      </c>
      <c r="D26" s="623"/>
      <c r="E26" s="602">
        <f>Kisumu!E13</f>
        <v>6.703309257014424E-2</v>
      </c>
      <c r="F26" s="624"/>
      <c r="G26" s="602">
        <f>Kisumu!F13</f>
        <v>6.5837941347209814E-2</v>
      </c>
      <c r="H26" s="573"/>
    </row>
    <row r="27" spans="1:8">
      <c r="A27" s="605"/>
      <c r="B27" s="622" t="s">
        <v>332</v>
      </c>
      <c r="C27" s="602">
        <f>Kisumu!D15</f>
        <v>0</v>
      </c>
      <c r="D27" s="623"/>
      <c r="E27" s="602">
        <f>Kisumu!E15</f>
        <v>0</v>
      </c>
      <c r="F27" s="624"/>
      <c r="G27" s="602">
        <f>Kisumu!F15</f>
        <v>0</v>
      </c>
      <c r="H27" s="573"/>
    </row>
    <row r="28" spans="1:8">
      <c r="A28" s="605" t="s">
        <v>404</v>
      </c>
      <c r="B28" s="620" t="s">
        <v>427</v>
      </c>
      <c r="C28" s="618">
        <f>Kisumu!D17</f>
        <v>3.54</v>
      </c>
      <c r="D28" s="625"/>
      <c r="E28" s="626">
        <f>Kisumu!E17</f>
        <v>3.51</v>
      </c>
      <c r="F28" s="625"/>
      <c r="G28" s="618">
        <f>Kisumu!F17</f>
        <v>3.51</v>
      </c>
      <c r="H28" s="573"/>
    </row>
    <row r="29" spans="1:8">
      <c r="A29" s="605"/>
      <c r="B29" s="620" t="s">
        <v>440</v>
      </c>
      <c r="C29" s="618">
        <f>C$9+C$20+C$22+C$23+C$28</f>
        <v>148.18974984899359</v>
      </c>
      <c r="D29" s="625"/>
      <c r="E29" s="626">
        <f>E$9+E$20+E$22+E$23+E$28</f>
        <v>150.92494861649786</v>
      </c>
      <c r="F29" s="625"/>
      <c r="G29" s="618">
        <f>G$9+G$20+G$22+G$23+G$28</f>
        <v>148.3361208293048</v>
      </c>
      <c r="H29" s="625"/>
    </row>
    <row r="30" spans="1:8">
      <c r="A30" s="605"/>
      <c r="B30" s="494" t="s">
        <v>444</v>
      </c>
      <c r="C30" s="606"/>
      <c r="D30" s="627" t="str">
        <f>CONCATENATE("+ ",ROUND((C$29*0.08),2))</f>
        <v>+ 11.86</v>
      </c>
      <c r="E30" s="628"/>
      <c r="F30" s="627" t="str">
        <f>CONCATENATE("+ ",ROUND((E$29*0.08),2))</f>
        <v>+ 12.07</v>
      </c>
      <c r="G30" s="606"/>
      <c r="H30" s="627" t="str">
        <f>CONCATENATE("+ ",ROUND((G$29*0.08),2))</f>
        <v>+ 11.87</v>
      </c>
    </row>
    <row r="31" spans="1:8">
      <c r="A31" s="605"/>
      <c r="B31" s="620" t="s">
        <v>436</v>
      </c>
      <c r="C31" s="606">
        <f>C$9+C$20+C$21+C$28</f>
        <v>148.18974984899359</v>
      </c>
      <c r="D31" s="629"/>
      <c r="E31" s="628">
        <f>E$9+E$20+E$21+E$28</f>
        <v>150.92494861649786</v>
      </c>
      <c r="F31" s="629"/>
      <c r="G31" s="606">
        <f>G$9+G$20+G$21+G$28</f>
        <v>148.3361208293048</v>
      </c>
      <c r="H31" s="629"/>
    </row>
    <row r="32" spans="1:8" ht="15" thickBot="1">
      <c r="A32" s="605"/>
      <c r="B32" s="630" t="s">
        <v>448</v>
      </c>
      <c r="C32" s="631" t="str">
        <f>D30</f>
        <v>+ 11.86</v>
      </c>
      <c r="D32" s="632"/>
      <c r="E32" s="631" t="str">
        <f>F30</f>
        <v>+ 12.07</v>
      </c>
      <c r="F32" s="632"/>
      <c r="G32" s="631" t="str">
        <f>H30</f>
        <v>+ 11.87</v>
      </c>
      <c r="H32" s="632"/>
    </row>
    <row r="33" spans="1:8" ht="15" thickBot="1">
      <c r="A33" s="605"/>
      <c r="B33" s="633" t="s">
        <v>529</v>
      </c>
      <c r="C33" s="634">
        <f>C31+C32</f>
        <v>160.0497498489936</v>
      </c>
      <c r="D33" s="634">
        <f>D8+D10+D30</f>
        <v>4.525729895232983</v>
      </c>
      <c r="E33" s="635">
        <f>E31+E32</f>
        <v>162.99494861649785</v>
      </c>
      <c r="F33" s="634">
        <f>F8+F10+F30</f>
        <v>3.7372551479421627</v>
      </c>
      <c r="G33" s="634">
        <f>G31+G32</f>
        <v>160.20612082930481</v>
      </c>
      <c r="H33" s="636">
        <f>H8+H10+H30</f>
        <v>3.3193295242285838</v>
      </c>
    </row>
    <row r="34" spans="1:8" ht="15" thickBot="1"/>
    <row r="35" spans="1:8" ht="15" thickBot="1">
      <c r="B35" s="1224" t="s">
        <v>417</v>
      </c>
      <c r="C35" s="1225"/>
      <c r="D35" s="1225"/>
      <c r="E35" s="1225"/>
      <c r="F35" s="1225"/>
      <c r="G35" s="1225"/>
      <c r="H35" s="1226"/>
    </row>
    <row r="36" spans="1:8" ht="15" thickBot="1">
      <c r="B36" s="443"/>
      <c r="C36" s="1227" t="str">
        <f>C4</f>
        <v>Super petrol</v>
      </c>
      <c r="D36" s="1228"/>
      <c r="E36" s="1229" t="str">
        <f>E4</f>
        <v>Diesel</v>
      </c>
      <c r="F36" s="1229"/>
      <c r="G36" s="1227" t="str">
        <f>G4</f>
        <v>Kerosene</v>
      </c>
      <c r="H36" s="1228"/>
    </row>
    <row r="37" spans="1:8">
      <c r="A37" s="605" t="s">
        <v>428</v>
      </c>
      <c r="B37" s="503" t="s">
        <v>422</v>
      </c>
      <c r="C37" s="236">
        <f>C33</f>
        <v>160.0497498489936</v>
      </c>
      <c r="D37" s="573"/>
      <c r="E37" s="236">
        <f>E33</f>
        <v>162.99494861649785</v>
      </c>
      <c r="F37" s="573"/>
      <c r="G37" s="236">
        <f>G33</f>
        <v>160.20612082930481</v>
      </c>
      <c r="H37" s="629"/>
    </row>
    <row r="38" spans="1:8">
      <c r="A38" s="605"/>
      <c r="B38" s="637" t="s">
        <v>425</v>
      </c>
      <c r="C38" s="638"/>
      <c r="D38" s="609">
        <f>-C32</f>
        <v>-11.86</v>
      </c>
      <c r="E38" s="639"/>
      <c r="F38" s="609">
        <f>-E32</f>
        <v>-12.07</v>
      </c>
      <c r="G38" s="638"/>
      <c r="H38" s="609">
        <f>-G32</f>
        <v>-11.87</v>
      </c>
    </row>
    <row r="39" spans="1:8">
      <c r="A39" s="605" t="s">
        <v>643</v>
      </c>
      <c r="B39" s="503" t="s">
        <v>644</v>
      </c>
      <c r="C39" s="613"/>
      <c r="D39" s="943"/>
      <c r="E39" s="879"/>
      <c r="F39" s="943"/>
      <c r="G39" s="613"/>
      <c r="H39" s="943"/>
    </row>
    <row r="40" spans="1:8">
      <c r="A40" s="605"/>
      <c r="B40" s="614" t="s">
        <v>645</v>
      </c>
      <c r="C40" s="613">
        <f>Nyansiongo!G23</f>
        <v>1.2454143041034795</v>
      </c>
      <c r="D40" s="943"/>
      <c r="E40" s="880">
        <f>C40</f>
        <v>1.2454143041034795</v>
      </c>
      <c r="F40" s="943"/>
      <c r="G40" s="613">
        <f>C40</f>
        <v>1.2454143041034795</v>
      </c>
      <c r="H40" s="943"/>
    </row>
    <row r="41" spans="1:8" s="392" customFormat="1">
      <c r="A41" s="605"/>
      <c r="B41" s="617" t="s">
        <v>446</v>
      </c>
      <c r="C41" s="618">
        <f>SUM(C40)</f>
        <v>1.2454143041034795</v>
      </c>
      <c r="D41" s="618"/>
      <c r="E41" s="626">
        <f>SUM(E40)</f>
        <v>1.2454143041034795</v>
      </c>
      <c r="F41" s="944"/>
      <c r="G41" s="618">
        <f>SUM(G40)</f>
        <v>1.2454143041034795</v>
      </c>
      <c r="H41" s="944"/>
    </row>
    <row r="42" spans="1:8">
      <c r="A42" s="605" t="s">
        <v>642</v>
      </c>
      <c r="B42" s="503" t="s">
        <v>426</v>
      </c>
      <c r="C42" s="236">
        <f>Kisumu!D21</f>
        <v>8.19</v>
      </c>
      <c r="D42" s="573"/>
      <c r="E42" s="236">
        <f>Kisumu!E21</f>
        <v>8.19</v>
      </c>
      <c r="F42" s="573"/>
      <c r="G42" s="236">
        <f>Kisumu!F21</f>
        <v>8.19</v>
      </c>
      <c r="H42" s="629"/>
    </row>
    <row r="43" spans="1:8">
      <c r="B43" s="620" t="s">
        <v>447</v>
      </c>
      <c r="C43" s="613">
        <f>C$37+C$42+C$41</f>
        <v>169.48516415309709</v>
      </c>
      <c r="D43" s="610"/>
      <c r="E43" s="613">
        <f>E$37+E$42+E$41</f>
        <v>172.43036292060134</v>
      </c>
      <c r="F43" s="610"/>
      <c r="G43" s="236">
        <f>G$37+G$42+G$41</f>
        <v>169.6415351334083</v>
      </c>
      <c r="H43" s="573"/>
    </row>
    <row r="44" spans="1:8" s="392" customFormat="1">
      <c r="B44" s="640" t="s">
        <v>458</v>
      </c>
      <c r="C44" s="618">
        <v>0</v>
      </c>
      <c r="D44" s="946"/>
      <c r="E44" s="947">
        <v>0</v>
      </c>
      <c r="F44" s="946"/>
      <c r="G44" s="645">
        <v>0</v>
      </c>
      <c r="H44" s="625"/>
    </row>
    <row r="45" spans="1:8">
      <c r="B45" s="643" t="s">
        <v>457</v>
      </c>
      <c r="C45" s="641">
        <v>0</v>
      </c>
      <c r="D45" s="610"/>
      <c r="E45" s="641">
        <v>0</v>
      </c>
      <c r="F45" s="610"/>
      <c r="G45" s="642">
        <v>0</v>
      </c>
      <c r="H45" s="573"/>
    </row>
    <row r="46" spans="1:8">
      <c r="B46" s="620" t="s">
        <v>432</v>
      </c>
      <c r="C46" s="641">
        <f>C$43-$C$44-$C$45+D$38</f>
        <v>157.6251641530971</v>
      </c>
      <c r="D46" s="610"/>
      <c r="E46" s="641">
        <f>E$43-E44-E45+F$38</f>
        <v>160.36036292060135</v>
      </c>
      <c r="F46" s="610"/>
      <c r="G46" s="642">
        <f>G$43-G44-G45+H$38</f>
        <v>157.77153513340829</v>
      </c>
      <c r="H46" s="573"/>
    </row>
    <row r="47" spans="1:8">
      <c r="B47" s="503" t="s">
        <v>445</v>
      </c>
      <c r="C47" s="644"/>
      <c r="D47" s="696" t="str">
        <f>CONCATENATE("+ ",ROUND((C$46*0.08),2))</f>
        <v>+ 12.61</v>
      </c>
      <c r="E47" s="644"/>
      <c r="F47" s="627" t="str">
        <f>CONCATENATE("+ ",ROUND((E$46*0.08),2))</f>
        <v>+ 12.83</v>
      </c>
      <c r="G47" s="645"/>
      <c r="H47" s="627" t="str">
        <f>CONCATENATE("+ ",ROUND((G$46*0.08),2))</f>
        <v>+ 12.62</v>
      </c>
    </row>
    <row r="48" spans="1:8" ht="15" thickBot="1">
      <c r="B48" s="646" t="s">
        <v>449</v>
      </c>
      <c r="C48" s="697" t="str">
        <f>D47</f>
        <v>+ 12.61</v>
      </c>
      <c r="D48" s="632"/>
      <c r="E48" s="631" t="str">
        <f>F47</f>
        <v>+ 12.83</v>
      </c>
      <c r="F48" s="632"/>
      <c r="G48" s="631" t="str">
        <f>H47</f>
        <v>+ 12.62</v>
      </c>
      <c r="H48" s="632"/>
    </row>
    <row r="49" spans="1:9" s="392" customFormat="1" ht="15" thickBot="1">
      <c r="B49" s="647" t="s">
        <v>452</v>
      </c>
      <c r="C49" s="648">
        <f>C$46+C$48+C$44+C$45</f>
        <v>170.23516415309712</v>
      </c>
      <c r="D49" s="649">
        <f>D38+D47</f>
        <v>0.75</v>
      </c>
      <c r="E49" s="648">
        <f>E$46+E$48+E$44+E$45</f>
        <v>173.19036292060136</v>
      </c>
      <c r="F49" s="649">
        <f>F38+F47</f>
        <v>0.75999999999999979</v>
      </c>
      <c r="G49" s="650">
        <f>G$46+G$48+G$44+G$45</f>
        <v>170.3915351334083</v>
      </c>
      <c r="H49" s="651">
        <f>H38+H47</f>
        <v>0.75</v>
      </c>
    </row>
    <row r="50" spans="1:9" s="392" customFormat="1">
      <c r="B50" s="652"/>
      <c r="C50" s="653"/>
      <c r="D50" s="652"/>
      <c r="E50" s="653"/>
      <c r="F50" s="652"/>
      <c r="G50" s="653"/>
      <c r="H50" s="653"/>
    </row>
    <row r="51" spans="1:9" s="392" customFormat="1" hidden="1">
      <c r="A51" s="654" t="s">
        <v>450</v>
      </c>
      <c r="B51" s="170"/>
      <c r="C51" s="655"/>
      <c r="D51" s="654"/>
      <c r="E51" s="653"/>
      <c r="F51" s="652"/>
      <c r="G51" s="653"/>
      <c r="H51" s="653"/>
    </row>
    <row r="52" spans="1:9" hidden="1"/>
    <row r="53" spans="1:9" hidden="1">
      <c r="B53" s="656" t="s">
        <v>441</v>
      </c>
      <c r="C53" s="657"/>
      <c r="D53" s="657"/>
      <c r="E53" s="657"/>
      <c r="F53" s="162"/>
      <c r="G53" s="162"/>
      <c r="H53" s="162"/>
    </row>
    <row r="54" spans="1:9" hidden="1">
      <c r="B54" s="656" t="s">
        <v>464</v>
      </c>
      <c r="C54" s="657"/>
      <c r="D54" s="657"/>
      <c r="E54" s="657"/>
    </row>
    <row r="55" spans="1:9" ht="15" hidden="1" thickBot="1">
      <c r="B55" s="658" t="s">
        <v>442</v>
      </c>
      <c r="C55" s="659"/>
      <c r="D55" s="659"/>
      <c r="E55" s="659"/>
    </row>
    <row r="56" spans="1:9" ht="15" hidden="1" thickBot="1">
      <c r="B56" s="660" t="s">
        <v>443</v>
      </c>
      <c r="C56" s="661"/>
      <c r="D56" s="661"/>
      <c r="E56" s="661"/>
    </row>
    <row r="57" spans="1:9" ht="15" hidden="1" thickBot="1">
      <c r="B57" s="663" t="s">
        <v>451</v>
      </c>
      <c r="C57" s="664"/>
      <c r="D57" s="664"/>
      <c r="E57" s="664"/>
    </row>
    <row r="59" spans="1:9">
      <c r="C59" s="888"/>
      <c r="D59" s="888"/>
      <c r="E59" s="888"/>
    </row>
    <row r="60" spans="1:9">
      <c r="G60" s="162"/>
      <c r="H60" s="162"/>
      <c r="I60" s="162"/>
    </row>
    <row r="62" spans="1:9">
      <c r="C62" s="162"/>
      <c r="D62" s="162"/>
      <c r="E62" s="162"/>
    </row>
    <row r="66" spans="3:5">
      <c r="C66" s="162"/>
      <c r="D66" s="162"/>
      <c r="E66" s="162"/>
    </row>
    <row r="67" spans="3:5">
      <c r="C67" s="162"/>
      <c r="D67" s="162"/>
      <c r="E67" s="162"/>
    </row>
    <row r="68" spans="3:5">
      <c r="C68" s="162"/>
      <c r="D68" s="162"/>
      <c r="E68" s="162"/>
    </row>
  </sheetData>
  <mergeCells count="8">
    <mergeCell ref="C36:D36"/>
    <mergeCell ref="E36:F36"/>
    <mergeCell ref="G36:H36"/>
    <mergeCell ref="B3:H3"/>
    <mergeCell ref="C4:D4"/>
    <mergeCell ref="E4:F4"/>
    <mergeCell ref="G4:H4"/>
    <mergeCell ref="B35:H35"/>
  </mergeCells>
  <pageMargins left="0.7" right="0.7" top="0.75" bottom="0.75" header="0.3" footer="0.3"/>
</worksheet>
</file>

<file path=xl/worksheets/sheet4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1-000000000000}">
  <sheetPr codeName="Sheet459">
    <tabColor rgb="FFFFFF00"/>
  </sheetPr>
  <dimension ref="B1:X116"/>
  <sheetViews>
    <sheetView topLeftCell="A103" workbookViewId="0">
      <selection activeCell="D110" sqref="D110"/>
    </sheetView>
  </sheetViews>
  <sheetFormatPr defaultColWidth="9.1796875" defaultRowHeight="14.5"/>
  <cols>
    <col min="1" max="1" width="7.1796875" style="159" customWidth="1"/>
    <col min="2" max="2" width="4.7265625" style="187" customWidth="1"/>
    <col min="3" max="3" width="40.26953125" style="551" customWidth="1"/>
    <col min="4" max="4" width="13.453125" style="159" customWidth="1"/>
    <col min="5" max="5" width="17.7265625" style="159" bestFit="1" customWidth="1"/>
    <col min="6" max="6" width="12" style="159" customWidth="1"/>
    <col min="7" max="7" width="13.54296875" style="159" hidden="1" customWidth="1"/>
    <col min="8" max="8" width="6.81640625" style="163" customWidth="1"/>
    <col min="9" max="10" width="6.1796875" style="159" hidden="1" customWidth="1"/>
    <col min="11" max="11" width="5.26953125" style="159" hidden="1" customWidth="1"/>
    <col min="12" max="14" width="6.1796875" style="159" hidden="1" customWidth="1"/>
    <col min="15" max="15" width="5.26953125" style="159" hidden="1" customWidth="1"/>
    <col min="16" max="18" width="6.1796875" style="159" hidden="1" customWidth="1"/>
    <col min="19" max="19" width="5.26953125" style="159" hidden="1" customWidth="1"/>
    <col min="20" max="20" width="6.1796875" style="159" hidden="1" customWidth="1"/>
    <col min="21" max="21" width="0" style="159" hidden="1" customWidth="1"/>
    <col min="22" max="22" width="8" style="159" customWidth="1"/>
    <col min="23" max="16384" width="9.1796875" style="159"/>
  </cols>
  <sheetData>
    <row r="1" spans="2:20">
      <c r="C1" s="187"/>
      <c r="D1" s="187"/>
      <c r="E1" s="187"/>
      <c r="F1" s="187"/>
      <c r="G1" s="187"/>
      <c r="H1" s="550"/>
      <c r="I1" s="159" t="s">
        <v>63</v>
      </c>
    </row>
    <row r="2" spans="2:20" ht="8.25" customHeight="1" thickBot="1"/>
    <row r="3" spans="2:20" ht="15.75" customHeight="1" thickBot="1">
      <c r="B3" s="552"/>
      <c r="C3" s="553" t="str">
        <f>Mombasa!C4</f>
        <v>March 15 - April 14, 2023</v>
      </c>
      <c r="D3" s="1242" t="s">
        <v>37</v>
      </c>
      <c r="E3" s="1242"/>
      <c r="F3" s="1242"/>
      <c r="G3" s="554"/>
      <c r="H3" s="555"/>
    </row>
    <row r="4" spans="2:20" ht="29.5" thickBot="1">
      <c r="B4" s="552"/>
      <c r="C4" s="530"/>
      <c r="D4" s="907" t="s">
        <v>15</v>
      </c>
      <c r="E4" s="907" t="s">
        <v>16</v>
      </c>
      <c r="F4" s="907" t="s">
        <v>160</v>
      </c>
      <c r="G4" s="557" t="s">
        <v>17</v>
      </c>
      <c r="H4" s="558"/>
      <c r="I4" s="1236" t="s">
        <v>154</v>
      </c>
      <c r="J4" s="1237"/>
      <c r="K4" s="1237"/>
      <c r="L4" s="1238"/>
      <c r="M4" s="1236" t="s">
        <v>158</v>
      </c>
      <c r="N4" s="1237"/>
      <c r="O4" s="1237"/>
      <c r="P4" s="1237"/>
      <c r="Q4" s="1239" t="s">
        <v>157</v>
      </c>
      <c r="R4" s="1240"/>
      <c r="S4" s="1240"/>
      <c r="T4" s="1241"/>
    </row>
    <row r="5" spans="2:20" ht="15" thickBot="1">
      <c r="B5" s="552"/>
      <c r="C5" s="559" t="s">
        <v>36</v>
      </c>
      <c r="D5" s="560" t="s">
        <v>163</v>
      </c>
      <c r="E5" s="560" t="s">
        <v>163</v>
      </c>
      <c r="F5" s="560" t="s">
        <v>163</v>
      </c>
      <c r="G5" s="561" t="s">
        <v>163</v>
      </c>
      <c r="H5" s="562"/>
      <c r="I5" s="563" t="s">
        <v>0</v>
      </c>
      <c r="J5" s="564" t="s">
        <v>1</v>
      </c>
      <c r="K5" s="564" t="s">
        <v>155</v>
      </c>
      <c r="L5" s="565" t="s">
        <v>2</v>
      </c>
      <c r="M5" s="563" t="s">
        <v>0</v>
      </c>
      <c r="N5" s="564" t="s">
        <v>1</v>
      </c>
      <c r="O5" s="564" t="s">
        <v>155</v>
      </c>
      <c r="P5" s="566" t="s">
        <v>2</v>
      </c>
      <c r="Q5" s="563" t="s">
        <v>0</v>
      </c>
      <c r="R5" s="564" t="s">
        <v>1</v>
      </c>
      <c r="S5" s="564" t="s">
        <v>155</v>
      </c>
      <c r="T5" s="565" t="s">
        <v>2</v>
      </c>
    </row>
    <row r="6" spans="2:20">
      <c r="B6" s="567">
        <v>1</v>
      </c>
      <c r="C6" s="568" t="s">
        <v>31</v>
      </c>
      <c r="D6" s="569">
        <f>Mombasa!D26</f>
        <v>154.61210483715561</v>
      </c>
      <c r="E6" s="569">
        <f>Mombasa!E26</f>
        <v>157.06087488189777</v>
      </c>
      <c r="F6" s="569">
        <f>Mombasa!F26</f>
        <v>154.49215343203369</v>
      </c>
      <c r="G6" s="570" t="e">
        <f>Mombasa!#REF!</f>
        <v>#REF!</v>
      </c>
      <c r="H6" s="571"/>
      <c r="I6" s="572">
        <v>104.79</v>
      </c>
      <c r="J6" s="196">
        <v>101.12</v>
      </c>
      <c r="K6" s="196">
        <v>87.81</v>
      </c>
      <c r="L6" s="573">
        <v>103.94</v>
      </c>
      <c r="M6" s="572"/>
      <c r="N6" s="574"/>
      <c r="O6" s="574"/>
      <c r="P6" s="575"/>
      <c r="Q6" s="572">
        <v>104.79</v>
      </c>
      <c r="R6" s="574">
        <v>101.12</v>
      </c>
      <c r="S6" s="574">
        <v>87.81</v>
      </c>
      <c r="T6" s="576">
        <v>103.94</v>
      </c>
    </row>
    <row r="7" spans="2:20" ht="15" thickBot="1">
      <c r="B7" s="552">
        <f>1+B6</f>
        <v>2</v>
      </c>
      <c r="C7" s="530" t="s">
        <v>153</v>
      </c>
      <c r="D7" s="524">
        <f>Kilifi!D25</f>
        <v>155.37761415523769</v>
      </c>
      <c r="E7" s="524">
        <f>Kilifi!E25</f>
        <v>157.82638419997986</v>
      </c>
      <c r="F7" s="524">
        <f>Kilifi!F25</f>
        <v>155.25766275011577</v>
      </c>
      <c r="G7" s="577" t="e">
        <f>Kilifi!#REF!</f>
        <v>#REF!</v>
      </c>
      <c r="H7" s="578"/>
      <c r="I7" s="579">
        <f>D6-I6</f>
        <v>49.822104837155607</v>
      </c>
      <c r="J7" s="580">
        <f>E6-J6</f>
        <v>55.94087488189777</v>
      </c>
      <c r="K7" s="580">
        <f>F6-K6</f>
        <v>66.682153432033687</v>
      </c>
      <c r="L7" s="581" t="e">
        <f>G6-L6</f>
        <v>#REF!</v>
      </c>
      <c r="M7" s="579">
        <f>I6-M6</f>
        <v>104.79</v>
      </c>
      <c r="N7" s="580">
        <f>J6-N6</f>
        <v>101.12</v>
      </c>
      <c r="O7" s="580">
        <f>K6-O6</f>
        <v>87.81</v>
      </c>
      <c r="P7" s="582">
        <f>L6-P6</f>
        <v>103.94</v>
      </c>
      <c r="Q7" s="579">
        <f>Q6-D6</f>
        <v>-49.822104837155607</v>
      </c>
      <c r="R7" s="580">
        <f>R6-E6</f>
        <v>-55.94087488189777</v>
      </c>
      <c r="S7" s="580">
        <f>S6-F6</f>
        <v>-66.682153432033687</v>
      </c>
      <c r="T7" s="581" t="e">
        <f>T6-G6</f>
        <v>#REF!</v>
      </c>
    </row>
    <row r="8" spans="2:20">
      <c r="B8" s="552">
        <f t="shared" ref="B8:B105" si="0">1+B7</f>
        <v>3</v>
      </c>
      <c r="C8" s="530" t="s">
        <v>138</v>
      </c>
      <c r="D8" s="524">
        <f>'Likoni Mainland'!D27</f>
        <v>154.94210483715563</v>
      </c>
      <c r="E8" s="524">
        <f>'Likoni Mainland'!E27</f>
        <v>157.39087488189779</v>
      </c>
      <c r="F8" s="524">
        <f>'Likoni Mainland'!F27</f>
        <v>154.8221534320337</v>
      </c>
      <c r="G8" s="583" t="e">
        <f>'Likoni Mainland'!#REF!</f>
        <v>#REF!</v>
      </c>
      <c r="H8" s="578"/>
      <c r="I8" s="584"/>
    </row>
    <row r="9" spans="2:20">
      <c r="B9" s="552">
        <f t="shared" si="0"/>
        <v>4</v>
      </c>
      <c r="C9" s="530" t="s">
        <v>100</v>
      </c>
      <c r="D9" s="524">
        <f>Kwale!D27</f>
        <v>154.94210483715563</v>
      </c>
      <c r="E9" s="524">
        <f>Kwale!E27</f>
        <v>157.39087488189779</v>
      </c>
      <c r="F9" s="524">
        <f>Kwale!F27</f>
        <v>154.8221534320337</v>
      </c>
      <c r="G9" s="583" t="e">
        <f>Kwale!#REF!</f>
        <v>#REF!</v>
      </c>
      <c r="H9" s="578"/>
      <c r="I9" s="584"/>
    </row>
    <row r="10" spans="2:20">
      <c r="B10" s="552">
        <f t="shared" si="0"/>
        <v>5</v>
      </c>
      <c r="C10" s="530" t="s">
        <v>66</v>
      </c>
      <c r="D10" s="524">
        <f>Malindi!D25</f>
        <v>155.59987270797001</v>
      </c>
      <c r="E10" s="524">
        <f>Malindi!E25</f>
        <v>158.04864275271217</v>
      </c>
      <c r="F10" s="524">
        <f>Malindi!F25</f>
        <v>155.47992130284808</v>
      </c>
      <c r="G10" s="583" t="e">
        <f>Malindi!#REF!</f>
        <v>#REF!</v>
      </c>
      <c r="H10" s="578"/>
      <c r="I10" s="584"/>
    </row>
    <row r="11" spans="2:20">
      <c r="B11" s="552">
        <f t="shared" si="0"/>
        <v>6</v>
      </c>
      <c r="C11" s="225" t="s">
        <v>196</v>
      </c>
      <c r="D11" s="524">
        <f>Lungalunga!D27</f>
        <v>155.70761415523771</v>
      </c>
      <c r="E11" s="524">
        <f>Lungalunga!E27</f>
        <v>158.15638419997987</v>
      </c>
      <c r="F11" s="524">
        <f>Lungalunga!F27</f>
        <v>155.58766275011578</v>
      </c>
      <c r="G11" s="583" t="e">
        <f>Lungalunga!#REF!</f>
        <v>#REF!</v>
      </c>
      <c r="H11" s="578"/>
      <c r="I11" s="584"/>
    </row>
    <row r="12" spans="2:20">
      <c r="B12" s="552">
        <f t="shared" si="0"/>
        <v>7</v>
      </c>
      <c r="C12" s="530" t="s">
        <v>97</v>
      </c>
      <c r="D12" s="524">
        <f>Voi!D25</f>
        <v>156.19719256843808</v>
      </c>
      <c r="E12" s="524">
        <f>Voi!E25</f>
        <v>158.64596261318025</v>
      </c>
      <c r="F12" s="524">
        <f>Voi!F25</f>
        <v>156.07724116331616</v>
      </c>
      <c r="G12" s="583" t="e">
        <f>Voi!#REF!</f>
        <v>#REF!</v>
      </c>
      <c r="H12" s="578"/>
      <c r="I12" s="584"/>
    </row>
    <row r="13" spans="2:20">
      <c r="B13" s="552">
        <f t="shared" si="0"/>
        <v>8</v>
      </c>
      <c r="C13" s="530" t="s">
        <v>98</v>
      </c>
      <c r="D13" s="524">
        <f>Taveta!D25</f>
        <v>157.71132895892697</v>
      </c>
      <c r="E13" s="524">
        <f>Taveta!E25</f>
        <v>160.16009900366913</v>
      </c>
      <c r="F13" s="524">
        <f>Taveta!F25</f>
        <v>157.59137755380505</v>
      </c>
      <c r="G13" s="583" t="e">
        <f>Taveta!#REF!</f>
        <v>#REF!</v>
      </c>
      <c r="H13" s="578"/>
      <c r="I13" s="584"/>
      <c r="R13" s="159" t="s">
        <v>63</v>
      </c>
    </row>
    <row r="14" spans="2:20">
      <c r="B14" s="552">
        <f t="shared" si="0"/>
        <v>9</v>
      </c>
      <c r="C14" s="530" t="s">
        <v>99</v>
      </c>
      <c r="D14" s="524">
        <f>Lamu!D25</f>
        <v>158.1558460643916</v>
      </c>
      <c r="E14" s="524">
        <f>Lamu!E25</f>
        <v>160.60461610913376</v>
      </c>
      <c r="F14" s="524">
        <f>Lamu!F25</f>
        <v>158.03589465926967</v>
      </c>
      <c r="G14" s="585" t="e">
        <f>Lamu!#REF!</f>
        <v>#REF!</v>
      </c>
      <c r="H14" s="578"/>
      <c r="I14" s="584"/>
    </row>
    <row r="15" spans="2:20" ht="15" thickBot="1">
      <c r="B15" s="552">
        <f t="shared" si="0"/>
        <v>10</v>
      </c>
      <c r="C15" s="530" t="s">
        <v>473</v>
      </c>
      <c r="D15" s="524">
        <f>Hola!D25</f>
        <v>158.46145157439852</v>
      </c>
      <c r="E15" s="524">
        <f>Hola!E25</f>
        <v>160.91022161914069</v>
      </c>
      <c r="F15" s="524">
        <f>Hola!F25</f>
        <v>158.3415001692766</v>
      </c>
      <c r="G15" s="586"/>
      <c r="H15" s="578"/>
      <c r="I15" s="584"/>
    </row>
    <row r="16" spans="2:20">
      <c r="B16" s="587">
        <f t="shared" si="0"/>
        <v>11</v>
      </c>
      <c r="C16" s="568" t="s">
        <v>32</v>
      </c>
      <c r="D16" s="569">
        <f>Nairobi!D25</f>
        <v>157.60870952620402</v>
      </c>
      <c r="E16" s="569">
        <f>Nairobi!E25</f>
        <v>160.05876397446792</v>
      </c>
      <c r="F16" s="569">
        <f>Nairobi!F25</f>
        <v>157.48884737338091</v>
      </c>
      <c r="G16" s="570" t="e">
        <f>Nairobi!#REF!</f>
        <v>#REF!</v>
      </c>
      <c r="H16" s="571"/>
      <c r="I16" s="584"/>
    </row>
    <row r="17" spans="2:11">
      <c r="B17" s="552">
        <f t="shared" si="0"/>
        <v>12</v>
      </c>
      <c r="C17" s="530" t="s">
        <v>152</v>
      </c>
      <c r="D17" s="524">
        <f>Thika!D25</f>
        <v>157.61020506926877</v>
      </c>
      <c r="E17" s="524">
        <f>Thika!E25</f>
        <v>160.06025951753267</v>
      </c>
      <c r="F17" s="524">
        <f>Thika!F25</f>
        <v>157.49034291644566</v>
      </c>
      <c r="G17" s="577" t="e">
        <f>Thika!#REF!</f>
        <v>#REF!</v>
      </c>
      <c r="H17" s="578"/>
      <c r="I17" s="584"/>
      <c r="K17" s="159" t="s">
        <v>63</v>
      </c>
    </row>
    <row r="18" spans="2:11">
      <c r="B18" s="552">
        <f t="shared" si="0"/>
        <v>13</v>
      </c>
      <c r="C18" s="530" t="s">
        <v>101</v>
      </c>
      <c r="D18" s="524">
        <f>Machakos!D25</f>
        <v>157.86024594109261</v>
      </c>
      <c r="E18" s="524">
        <f>Machakos!E25</f>
        <v>160.31030038935651</v>
      </c>
      <c r="F18" s="524">
        <f>Machakos!F25</f>
        <v>157.7403837882695</v>
      </c>
      <c r="G18" s="583" t="e">
        <f>Machakos!#REF!</f>
        <v>#REF!</v>
      </c>
      <c r="H18" s="578"/>
      <c r="I18" s="584"/>
    </row>
    <row r="19" spans="2:11">
      <c r="B19" s="552">
        <f t="shared" si="0"/>
        <v>14</v>
      </c>
      <c r="C19" s="530" t="s">
        <v>108</v>
      </c>
      <c r="D19" s="524">
        <f>Kajiado!D25</f>
        <v>158.0547221747334</v>
      </c>
      <c r="E19" s="524">
        <f>Kajiado!E25</f>
        <v>160.5047766229973</v>
      </c>
      <c r="F19" s="524">
        <f>Kajiado!F25</f>
        <v>157.93486002191028</v>
      </c>
      <c r="G19" s="583" t="e">
        <f>Kajiado!#REF!</f>
        <v>#REF!</v>
      </c>
      <c r="H19" s="578"/>
      <c r="I19" s="584"/>
    </row>
    <row r="20" spans="2:11">
      <c r="B20" s="552">
        <f t="shared" si="0"/>
        <v>15</v>
      </c>
      <c r="C20" s="530" t="s">
        <v>199</v>
      </c>
      <c r="D20" s="524">
        <f>Makuyu!D25</f>
        <v>157.9158105792757</v>
      </c>
      <c r="E20" s="524">
        <f>Makuyu!E25</f>
        <v>160.3658650275396</v>
      </c>
      <c r="F20" s="524">
        <f>Makuyu!F25</f>
        <v>157.79594842645258</v>
      </c>
      <c r="G20" s="583" t="e">
        <f>Makuyu!#REF!</f>
        <v>#REF!</v>
      </c>
      <c r="H20" s="578"/>
      <c r="I20" s="584"/>
    </row>
    <row r="21" spans="2:11">
      <c r="B21" s="552">
        <f t="shared" si="0"/>
        <v>16</v>
      </c>
      <c r="C21" s="530" t="s">
        <v>104</v>
      </c>
      <c r="D21" s="524">
        <f>Muranga!D25</f>
        <v>158.16585145109954</v>
      </c>
      <c r="E21" s="524">
        <f>Muranga!E25</f>
        <v>160.61590589936344</v>
      </c>
      <c r="F21" s="524">
        <f>Muranga!F25</f>
        <v>158.04598929827642</v>
      </c>
      <c r="G21" s="583" t="e">
        <f>Muranga!#REF!</f>
        <v>#REF!</v>
      </c>
      <c r="H21" s="578"/>
      <c r="I21" s="584"/>
    </row>
    <row r="22" spans="2:11">
      <c r="B22" s="552">
        <f t="shared" si="0"/>
        <v>17</v>
      </c>
      <c r="C22" s="530" t="s">
        <v>200</v>
      </c>
      <c r="D22" s="524">
        <f>Sagana!D25</f>
        <v>158.40200116337763</v>
      </c>
      <c r="E22" s="524">
        <f>Sagana!E25</f>
        <v>160.85205561164153</v>
      </c>
      <c r="F22" s="524">
        <f>Sagana!F25</f>
        <v>158.28213901055452</v>
      </c>
      <c r="G22" s="583" t="e">
        <f>Sagana!#REF!</f>
        <v>#REF!</v>
      </c>
      <c r="H22" s="578"/>
      <c r="I22" s="584"/>
    </row>
    <row r="23" spans="2:11">
      <c r="B23" s="552">
        <f t="shared" si="0"/>
        <v>18</v>
      </c>
      <c r="C23" s="530" t="s">
        <v>102</v>
      </c>
      <c r="D23" s="524">
        <f>Embu!D25</f>
        <v>158.79095363065917</v>
      </c>
      <c r="E23" s="524">
        <f>Embu!E25</f>
        <v>161.24100807892307</v>
      </c>
      <c r="F23" s="524">
        <f>Embu!F25</f>
        <v>158.67109147783606</v>
      </c>
      <c r="G23" s="583" t="e">
        <f>Embu!#REF!</f>
        <v>#REF!</v>
      </c>
      <c r="H23" s="578"/>
      <c r="I23" s="584"/>
    </row>
    <row r="24" spans="2:11">
      <c r="B24" s="552">
        <f t="shared" si="0"/>
        <v>19</v>
      </c>
      <c r="C24" s="530" t="s">
        <v>170</v>
      </c>
      <c r="D24" s="524">
        <f>Kerugoya!D25</f>
        <v>158.70760667338456</v>
      </c>
      <c r="E24" s="524">
        <f>Kerugoya!E25</f>
        <v>161.15766112164846</v>
      </c>
      <c r="F24" s="524">
        <f>Kerugoya!F25</f>
        <v>158.58774452056144</v>
      </c>
      <c r="G24" s="583" t="e">
        <f>Kerugoya!#REF!</f>
        <v>#REF!</v>
      </c>
      <c r="H24" s="578"/>
      <c r="I24" s="584"/>
    </row>
    <row r="25" spans="2:11">
      <c r="B25" s="552">
        <f t="shared" si="0"/>
        <v>20</v>
      </c>
      <c r="C25" s="530" t="s">
        <v>124</v>
      </c>
      <c r="D25" s="524">
        <f>Narok!D25</f>
        <v>159.0965591406661</v>
      </c>
      <c r="E25" s="524">
        <f>Narok!E25</f>
        <v>161.54661358893</v>
      </c>
      <c r="F25" s="524">
        <f>Narok!F25</f>
        <v>158.97669698784298</v>
      </c>
      <c r="G25" s="583" t="e">
        <f>Narok!#REF!</f>
        <v>#REF!</v>
      </c>
      <c r="H25" s="578"/>
      <c r="I25" s="584"/>
    </row>
    <row r="26" spans="2:11">
      <c r="B26" s="552">
        <f t="shared" si="0"/>
        <v>21</v>
      </c>
      <c r="C26" s="530" t="s">
        <v>105</v>
      </c>
      <c r="D26" s="524">
        <f>Nyeri!D25</f>
        <v>159.08266798112035</v>
      </c>
      <c r="E26" s="524">
        <f>Nyeri!E25</f>
        <v>161.53272242938425</v>
      </c>
      <c r="F26" s="524">
        <f>Nyeri!F25</f>
        <v>158.96280582829723</v>
      </c>
      <c r="G26" s="583" t="e">
        <f>Nyeri!#REF!</f>
        <v>#REF!</v>
      </c>
      <c r="H26" s="578"/>
      <c r="I26" s="584"/>
    </row>
    <row r="27" spans="2:11">
      <c r="B27" s="552">
        <f t="shared" si="0"/>
        <v>22</v>
      </c>
      <c r="C27" s="530" t="s">
        <v>197</v>
      </c>
      <c r="D27" s="524">
        <f>Namanga!D25</f>
        <v>159.26325305521536</v>
      </c>
      <c r="E27" s="524">
        <f>Namanga!E25</f>
        <v>161.71330750347926</v>
      </c>
      <c r="F27" s="524">
        <f>Namanga!F25</f>
        <v>159.14339090239224</v>
      </c>
      <c r="G27" s="583" t="e">
        <f>Namanga!#REF!</f>
        <v>#REF!</v>
      </c>
      <c r="H27" s="578"/>
      <c r="K27" s="159" t="s">
        <v>63</v>
      </c>
    </row>
    <row r="28" spans="2:11">
      <c r="B28" s="552">
        <f t="shared" si="0"/>
        <v>23</v>
      </c>
      <c r="C28" s="530" t="s">
        <v>198</v>
      </c>
      <c r="D28" s="524">
        <f>Kiganjo!D25</f>
        <v>159.04099450248304</v>
      </c>
      <c r="E28" s="524">
        <f>Kiganjo!E25</f>
        <v>161.49104895074694</v>
      </c>
      <c r="F28" s="524">
        <f>Kiganjo!F25</f>
        <v>158.92113234965993</v>
      </c>
      <c r="G28" s="583" t="e">
        <f>Kiganjo!#REF!</f>
        <v>#REF!</v>
      </c>
      <c r="H28" s="578"/>
    </row>
    <row r="29" spans="2:11">
      <c r="B29" s="552">
        <f t="shared" si="0"/>
        <v>24</v>
      </c>
      <c r="C29" s="530" t="s">
        <v>202</v>
      </c>
      <c r="D29" s="524">
        <f>Chuka!D25</f>
        <v>159.36049117203575</v>
      </c>
      <c r="E29" s="524">
        <f>Chuka!E25</f>
        <v>161.81054562029965</v>
      </c>
      <c r="F29" s="524">
        <f>Chuka!F25</f>
        <v>159.24062901921263</v>
      </c>
      <c r="G29" s="583" t="e">
        <f>Chuka!#REF!</f>
        <v>#REF!</v>
      </c>
      <c r="H29" s="578"/>
    </row>
    <row r="30" spans="2:11">
      <c r="B30" s="552">
        <f t="shared" si="0"/>
        <v>25</v>
      </c>
      <c r="C30" s="530" t="s">
        <v>103</v>
      </c>
      <c r="D30" s="524">
        <f>Kitui!D25</f>
        <v>159.24936189566958</v>
      </c>
      <c r="E30" s="524">
        <f>Kitui!E25</f>
        <v>161.69941634393348</v>
      </c>
      <c r="F30" s="524">
        <f>Kitui!F25</f>
        <v>159.12949974284646</v>
      </c>
      <c r="G30" s="583" t="e">
        <f>Kitui!#REF!</f>
        <v>#REF!</v>
      </c>
      <c r="H30" s="578"/>
    </row>
    <row r="31" spans="2:11">
      <c r="B31" s="552">
        <f t="shared" si="0"/>
        <v>26</v>
      </c>
      <c r="C31" s="530" t="s">
        <v>169</v>
      </c>
      <c r="D31" s="524">
        <f>Mwingi!D25</f>
        <v>159.66609668204268</v>
      </c>
      <c r="E31" s="524">
        <f>Mwingi!E25</f>
        <v>162.11615113030658</v>
      </c>
      <c r="F31" s="524">
        <f>Mwingi!F25</f>
        <v>159.54623452921956</v>
      </c>
      <c r="G31" s="583" t="e">
        <f>Mwingi!#REF!</f>
        <v>#REF!</v>
      </c>
      <c r="H31" s="578"/>
    </row>
    <row r="32" spans="2:11">
      <c r="B32" s="552">
        <f t="shared" si="0"/>
        <v>27</v>
      </c>
      <c r="C32" s="530" t="s">
        <v>106</v>
      </c>
      <c r="D32" s="524">
        <f>Nanyuki!D25</f>
        <v>159.67998784158843</v>
      </c>
      <c r="E32" s="524">
        <f>Nanyuki!E25</f>
        <v>162.13004228985233</v>
      </c>
      <c r="F32" s="524">
        <f>Nanyuki!F25</f>
        <v>159.56012568876531</v>
      </c>
      <c r="G32" s="583" t="e">
        <f>Nanyuki!#REF!</f>
        <v>#REF!</v>
      </c>
      <c r="H32" s="578"/>
    </row>
    <row r="33" spans="2:8">
      <c r="B33" s="552">
        <f t="shared" si="0"/>
        <v>28</v>
      </c>
      <c r="C33" s="530" t="s">
        <v>201</v>
      </c>
      <c r="D33" s="524">
        <f>Nkubu!D25</f>
        <v>160.72182480752116</v>
      </c>
      <c r="E33" s="524">
        <f>Nkubu!E25</f>
        <v>163.17187925578506</v>
      </c>
      <c r="F33" s="524">
        <f>Nkubu!F25</f>
        <v>160.60196265469804</v>
      </c>
      <c r="G33" s="583" t="e">
        <f>Nkubu!#REF!</f>
        <v>#REF!</v>
      </c>
      <c r="H33" s="578"/>
    </row>
    <row r="34" spans="2:8">
      <c r="B34" s="552">
        <f t="shared" si="0"/>
        <v>29</v>
      </c>
      <c r="C34" s="530" t="s">
        <v>165</v>
      </c>
      <c r="D34" s="524">
        <f>'Mtito Andei'!D25</f>
        <v>160.22174306387345</v>
      </c>
      <c r="E34" s="524">
        <f>'Mtito Andei'!E25</f>
        <v>162.67179751213735</v>
      </c>
      <c r="F34" s="524">
        <f>'Mtito Andei'!F25</f>
        <v>160.10188091105033</v>
      </c>
      <c r="G34" s="583" t="e">
        <f>'Mtito Andei'!#REF!</f>
        <v>#REF!</v>
      </c>
      <c r="H34" s="578"/>
    </row>
    <row r="35" spans="2:8">
      <c r="B35" s="552">
        <f t="shared" si="0"/>
        <v>30</v>
      </c>
      <c r="C35" s="530" t="s">
        <v>67</v>
      </c>
      <c r="D35" s="524">
        <f>Meru!D25</f>
        <v>160.93019220070769</v>
      </c>
      <c r="E35" s="524">
        <f>Meru!E25</f>
        <v>163.38024664897159</v>
      </c>
      <c r="F35" s="524">
        <f>Meru!F25</f>
        <v>160.81033004788458</v>
      </c>
      <c r="G35" s="583" t="e">
        <f>Meru!#REF!</f>
        <v>#REF!</v>
      </c>
      <c r="H35" s="578"/>
    </row>
    <row r="36" spans="2:8">
      <c r="B36" s="552">
        <f t="shared" si="0"/>
        <v>31</v>
      </c>
      <c r="C36" s="530" t="s">
        <v>107</v>
      </c>
      <c r="D36" s="524">
        <f>Isiolo!D25</f>
        <v>160.77738944570424</v>
      </c>
      <c r="E36" s="524">
        <f>Isiolo!E25</f>
        <v>163.22744389396814</v>
      </c>
      <c r="F36" s="524">
        <f>Isiolo!F25</f>
        <v>160.65752729288113</v>
      </c>
      <c r="G36" s="583" t="e">
        <f>Isiolo!#REF!</f>
        <v>#REF!</v>
      </c>
      <c r="H36" s="578"/>
    </row>
    <row r="37" spans="2:8">
      <c r="B37" s="552">
        <f t="shared" si="0"/>
        <v>32</v>
      </c>
      <c r="C37" s="530" t="s">
        <v>173</v>
      </c>
      <c r="D37" s="524">
        <f>Maua!D25</f>
        <v>161.41638278480963</v>
      </c>
      <c r="E37" s="524">
        <f>Maua!E25</f>
        <v>163.86643723307353</v>
      </c>
      <c r="F37" s="524">
        <f>Maua!F25</f>
        <v>161.29652063198651</v>
      </c>
      <c r="G37" s="583" t="e">
        <f>Maua!#REF!</f>
        <v>#REF!</v>
      </c>
      <c r="H37" s="578"/>
    </row>
    <row r="38" spans="2:8">
      <c r="B38" s="552">
        <f t="shared" si="0"/>
        <v>33</v>
      </c>
      <c r="C38" s="530" t="s">
        <v>144</v>
      </c>
      <c r="D38" s="524">
        <f>Garissa!D25</f>
        <v>162.08315844300657</v>
      </c>
      <c r="E38" s="524">
        <f>Garissa!E25</f>
        <v>164.53321289127047</v>
      </c>
      <c r="F38" s="524">
        <f>Garissa!F25</f>
        <v>161.96329629018345</v>
      </c>
      <c r="G38" s="583" t="e">
        <f>Garissa!#REF!</f>
        <v>#REF!</v>
      </c>
      <c r="H38" s="578"/>
    </row>
    <row r="39" spans="2:8">
      <c r="B39" s="552">
        <f t="shared" si="0"/>
        <v>34</v>
      </c>
      <c r="C39" s="530" t="s">
        <v>109</v>
      </c>
      <c r="D39" s="524">
        <f>Marsabit!D25</f>
        <v>166.0421389135509</v>
      </c>
      <c r="E39" s="524">
        <f>Marsabit!E25</f>
        <v>168.4921933618148</v>
      </c>
      <c r="F39" s="524">
        <f>Marsabit!F25</f>
        <v>165.92227676072778</v>
      </c>
      <c r="G39" s="583" t="e">
        <f>Marsabit!#REF!</f>
        <v>#REF!</v>
      </c>
      <c r="H39" s="578"/>
    </row>
    <row r="40" spans="2:8">
      <c r="B40" s="552">
        <f t="shared" si="0"/>
        <v>35</v>
      </c>
      <c r="C40" s="530" t="s">
        <v>203</v>
      </c>
      <c r="D40" s="524">
        <f>Liboi!D25</f>
        <v>165.05586658580125</v>
      </c>
      <c r="E40" s="524">
        <f>Liboi!E25</f>
        <v>167.50592103406515</v>
      </c>
      <c r="F40" s="524">
        <f>Liboi!F25</f>
        <v>164.93600443297814</v>
      </c>
      <c r="G40" s="583" t="e">
        <f>Liboi!#REF!</f>
        <v>#REF!</v>
      </c>
      <c r="H40" s="578"/>
    </row>
    <row r="41" spans="2:8">
      <c r="B41" s="552">
        <f t="shared" si="0"/>
        <v>36</v>
      </c>
      <c r="C41" s="530" t="s">
        <v>493</v>
      </c>
      <c r="D41" s="524">
        <f>Moyale!D25</f>
        <v>167.73686037813479</v>
      </c>
      <c r="E41" s="524">
        <f>Moyale!E25</f>
        <v>170.18691482639869</v>
      </c>
      <c r="F41" s="524">
        <f>Moyale!F25</f>
        <v>167.61699822531168</v>
      </c>
      <c r="G41" s="583"/>
      <c r="H41" s="578"/>
    </row>
    <row r="42" spans="2:8">
      <c r="B42" s="552">
        <f t="shared" si="0"/>
        <v>37</v>
      </c>
      <c r="C42" s="530" t="s">
        <v>494</v>
      </c>
      <c r="D42" s="524">
        <f>Sololo!D25</f>
        <v>166.72280573129362</v>
      </c>
      <c r="E42" s="524">
        <f>Sololo!E25</f>
        <v>169.17286017955752</v>
      </c>
      <c r="F42" s="524">
        <f>Sololo!F25</f>
        <v>166.6029435784705</v>
      </c>
      <c r="G42" s="583"/>
      <c r="H42" s="578"/>
    </row>
    <row r="43" spans="2:8">
      <c r="B43" s="552">
        <f t="shared" si="0"/>
        <v>38</v>
      </c>
      <c r="C43" s="530" t="s">
        <v>495</v>
      </c>
      <c r="D43" s="524">
        <f>Habaswein!D25</f>
        <v>164.97251962852664</v>
      </c>
      <c r="E43" s="524">
        <f>Habaswein!E25</f>
        <v>167.42257407679054</v>
      </c>
      <c r="F43" s="524">
        <f>Habaswein!F25</f>
        <v>164.85265747570352</v>
      </c>
      <c r="G43" s="583"/>
      <c r="H43" s="578"/>
    </row>
    <row r="44" spans="2:8">
      <c r="B44" s="552">
        <f t="shared" si="0"/>
        <v>39</v>
      </c>
      <c r="C44" s="530" t="s">
        <v>496</v>
      </c>
      <c r="D44" s="524">
        <f>Dadaab!D25</f>
        <v>163.56951251440393</v>
      </c>
      <c r="E44" s="524">
        <f>Dadaab!E25</f>
        <v>166.01956696266782</v>
      </c>
      <c r="F44" s="524">
        <f>Dadaab!F25</f>
        <v>163.44965036158081</v>
      </c>
      <c r="G44" s="583"/>
      <c r="H44" s="578"/>
    </row>
    <row r="45" spans="2:8">
      <c r="B45" s="552">
        <f t="shared" si="0"/>
        <v>40</v>
      </c>
      <c r="C45" s="530" t="s">
        <v>497</v>
      </c>
      <c r="D45" s="524">
        <f>Tarbaj!D25</f>
        <v>167.38958138949056</v>
      </c>
      <c r="E45" s="524">
        <f>Tarbaj!E25</f>
        <v>169.83963583775446</v>
      </c>
      <c r="F45" s="524">
        <f>Tarbaj!F25</f>
        <v>167.26971923666744</v>
      </c>
      <c r="G45" s="583"/>
      <c r="H45" s="578"/>
    </row>
    <row r="46" spans="2:8">
      <c r="B46" s="552">
        <f t="shared" si="0"/>
        <v>41</v>
      </c>
      <c r="C46" s="530" t="s">
        <v>498</v>
      </c>
      <c r="D46" s="524">
        <f>Elwak!D25</f>
        <v>169.11208517316598</v>
      </c>
      <c r="E46" s="524">
        <f>Elwak!E25</f>
        <v>171.56213962142988</v>
      </c>
      <c r="F46" s="524">
        <f>Elwak!F25</f>
        <v>168.99222302034286</v>
      </c>
      <c r="G46" s="583"/>
      <c r="H46" s="578"/>
    </row>
    <row r="47" spans="2:8">
      <c r="B47" s="552">
        <f t="shared" si="0"/>
        <v>42</v>
      </c>
      <c r="C47" s="530" t="s">
        <v>110</v>
      </c>
      <c r="D47" s="524">
        <f>Wajir!D25</f>
        <v>167.55627530403979</v>
      </c>
      <c r="E47" s="524">
        <f>Wajir!E25</f>
        <v>170.00632975230369</v>
      </c>
      <c r="F47" s="524">
        <f>Wajir!F25</f>
        <v>167.43641315121667</v>
      </c>
      <c r="G47" s="583" t="e">
        <f>Wajir!#REF!</f>
        <v>#REF!</v>
      </c>
      <c r="H47" s="578"/>
    </row>
    <row r="48" spans="2:8" ht="15" thickBot="1">
      <c r="B48" s="552">
        <f t="shared" si="0"/>
        <v>43</v>
      </c>
      <c r="C48" s="530" t="s">
        <v>111</v>
      </c>
      <c r="D48" s="524">
        <f>Mandera!D25</f>
        <v>171.61249389140451</v>
      </c>
      <c r="E48" s="524">
        <f>Mandera!E25</f>
        <v>174.06254833966841</v>
      </c>
      <c r="F48" s="524">
        <f>Mandera!F25</f>
        <v>171.49263173858139</v>
      </c>
      <c r="G48" s="588" t="e">
        <f>Mandera!#REF!</f>
        <v>#REF!</v>
      </c>
      <c r="H48" s="578"/>
    </row>
    <row r="49" spans="2:24">
      <c r="B49" s="552">
        <f t="shared" si="0"/>
        <v>44</v>
      </c>
      <c r="C49" s="568" t="s">
        <v>38</v>
      </c>
      <c r="D49" s="569">
        <f>Nakuru!D25</f>
        <v>156.96253328639972</v>
      </c>
      <c r="E49" s="569">
        <f>Nakuru!E25</f>
        <v>159.68611095080269</v>
      </c>
      <c r="F49" s="569">
        <f>Nakuru!F25</f>
        <v>157.12387746472027</v>
      </c>
      <c r="G49" s="570" t="e">
        <f>Nakuru!#REF!</f>
        <v>#REF!</v>
      </c>
      <c r="H49" s="571"/>
      <c r="K49" s="159" t="s">
        <v>63</v>
      </c>
      <c r="V49" s="584"/>
      <c r="W49" s="584"/>
    </row>
    <row r="50" spans="2:24">
      <c r="B50" s="552">
        <f t="shared" si="0"/>
        <v>45</v>
      </c>
      <c r="C50" s="528" t="s">
        <v>219</v>
      </c>
      <c r="D50" s="529">
        <f>Gilgil!D25</f>
        <v>156.92096623487259</v>
      </c>
      <c r="E50" s="529">
        <f>Gilgil!E25</f>
        <v>159.64454389927556</v>
      </c>
      <c r="F50" s="529">
        <f>Gilgil!F25</f>
        <v>157.08231041319311</v>
      </c>
      <c r="G50" s="589" t="e">
        <f>Gilgil!#REF!</f>
        <v>#REF!</v>
      </c>
      <c r="H50" s="571"/>
      <c r="V50" s="584"/>
      <c r="W50" s="584"/>
    </row>
    <row r="51" spans="2:24">
      <c r="B51" s="552">
        <f t="shared" si="0"/>
        <v>46</v>
      </c>
      <c r="C51" s="528" t="s">
        <v>205</v>
      </c>
      <c r="D51" s="529">
        <f>Mogotio!D25</f>
        <v>156.90846419128138</v>
      </c>
      <c r="E51" s="529">
        <f>Mogotio!E25</f>
        <v>159.63204185568435</v>
      </c>
      <c r="F51" s="529">
        <f>Mogotio!F25</f>
        <v>157.06980836960193</v>
      </c>
      <c r="G51" s="589" t="e">
        <f>Mogotio!#REF!</f>
        <v>#REF!</v>
      </c>
      <c r="H51" s="571"/>
      <c r="V51" s="584"/>
      <c r="W51" s="584"/>
    </row>
    <row r="52" spans="2:24">
      <c r="B52" s="552">
        <f t="shared" si="0"/>
        <v>47</v>
      </c>
      <c r="C52" s="528" t="s">
        <v>204</v>
      </c>
      <c r="D52" s="529">
        <f>Molo!D25</f>
        <v>157.00292407619261</v>
      </c>
      <c r="E52" s="529">
        <f>Molo!E25</f>
        <v>159.72650174059558</v>
      </c>
      <c r="F52" s="529">
        <f>Molo!F25</f>
        <v>157.16426825451316</v>
      </c>
      <c r="G52" s="590" t="e">
        <f>Molo!#REF!</f>
        <v>#REF!</v>
      </c>
      <c r="H52" s="571"/>
      <c r="V52" s="584"/>
      <c r="W52" s="584"/>
    </row>
    <row r="53" spans="2:24">
      <c r="B53" s="552">
        <f t="shared" si="0"/>
        <v>48</v>
      </c>
      <c r="C53" s="528" t="s">
        <v>396</v>
      </c>
      <c r="D53" s="529">
        <f>Olenguruone!D25</f>
        <v>157.75582492357333</v>
      </c>
      <c r="E53" s="529">
        <f>Olenguruone!E25</f>
        <v>160.4794025879763</v>
      </c>
      <c r="F53" s="529">
        <f>Olenguruone!F25</f>
        <v>157.91716910189388</v>
      </c>
      <c r="G53" s="590"/>
      <c r="H53" s="571"/>
      <c r="V53" s="584"/>
      <c r="W53" s="584"/>
    </row>
    <row r="54" spans="2:24">
      <c r="B54" s="552">
        <f t="shared" si="0"/>
        <v>49</v>
      </c>
      <c r="C54" s="528" t="s">
        <v>208</v>
      </c>
      <c r="D54" s="529">
        <f>Londiani!D25</f>
        <v>157.24046290442527</v>
      </c>
      <c r="E54" s="529">
        <f>Londiani!E25</f>
        <v>159.96404056882824</v>
      </c>
      <c r="F54" s="529">
        <f>Londiani!F25</f>
        <v>157.40180708274582</v>
      </c>
      <c r="G54" s="590" t="e">
        <f>Londiani!#REF!</f>
        <v>#REF!</v>
      </c>
      <c r="H54" s="571"/>
      <c r="V54" s="584"/>
      <c r="W54" s="584"/>
    </row>
    <row r="55" spans="2:24">
      <c r="B55" s="552">
        <f t="shared" si="0"/>
        <v>50</v>
      </c>
      <c r="C55" s="528" t="s">
        <v>68</v>
      </c>
      <c r="D55" s="524">
        <f>Nyahururu!D25</f>
        <v>157.22796086083409</v>
      </c>
      <c r="E55" s="524">
        <f>Nyahururu!E25</f>
        <v>159.95153852523705</v>
      </c>
      <c r="F55" s="524">
        <f>Nyahururu!F25</f>
        <v>157.38930503915464</v>
      </c>
      <c r="G55" s="577" t="e">
        <f>Nyahururu!#REF!</f>
        <v>#REF!</v>
      </c>
      <c r="H55" s="571"/>
      <c r="V55" s="584"/>
      <c r="W55" s="584"/>
    </row>
    <row r="56" spans="2:24">
      <c r="B56" s="552">
        <f t="shared" si="0"/>
        <v>51</v>
      </c>
      <c r="C56" s="528" t="s">
        <v>499</v>
      </c>
      <c r="D56" s="524">
        <f>'Archers Post'!D25</f>
        <v>160.43681871590687</v>
      </c>
      <c r="E56" s="524">
        <f>'Archers Post'!E25</f>
        <v>163.16039638030983</v>
      </c>
      <c r="F56" s="524">
        <f>'Archers Post'!F25</f>
        <v>160.59816289422741</v>
      </c>
      <c r="G56" s="577"/>
      <c r="H56" s="571"/>
      <c r="V56" s="584"/>
      <c r="W56" s="584"/>
    </row>
    <row r="57" spans="2:24">
      <c r="B57" s="552">
        <f t="shared" si="0"/>
        <v>52</v>
      </c>
      <c r="C57" s="528" t="s">
        <v>500</v>
      </c>
      <c r="D57" s="524">
        <f>Lodosoit!D25</f>
        <v>161.61756727729727</v>
      </c>
      <c r="E57" s="524">
        <f>Lodosoit!E25</f>
        <v>164.34114494170024</v>
      </c>
      <c r="F57" s="524">
        <f>Lodosoit!F25</f>
        <v>161.77891145561782</v>
      </c>
      <c r="G57" s="577"/>
      <c r="H57" s="571"/>
      <c r="V57" s="584"/>
      <c r="W57" s="584"/>
    </row>
    <row r="58" spans="2:24">
      <c r="B58" s="552">
        <f t="shared" si="0"/>
        <v>53</v>
      </c>
      <c r="C58" s="528" t="s">
        <v>112</v>
      </c>
      <c r="D58" s="524">
        <f>Naivasha!D25</f>
        <v>157.3113078181087</v>
      </c>
      <c r="E58" s="524">
        <f>Naivasha!E25</f>
        <v>160.03488548251167</v>
      </c>
      <c r="F58" s="524">
        <f>Naivasha!F25</f>
        <v>157.47265199642925</v>
      </c>
      <c r="G58" s="577" t="e">
        <f>Naivasha!#REF!</f>
        <v>#REF!</v>
      </c>
      <c r="H58" s="571"/>
      <c r="V58" s="584"/>
      <c r="W58" s="584"/>
    </row>
    <row r="59" spans="2:24">
      <c r="B59" s="552">
        <f t="shared" si="0"/>
        <v>54</v>
      </c>
      <c r="C59" s="530" t="s">
        <v>206</v>
      </c>
      <c r="D59" s="529">
        <f>Marigat!D25</f>
        <v>157.74193376402755</v>
      </c>
      <c r="E59" s="529">
        <f>Marigat!E25</f>
        <v>160.46551142843052</v>
      </c>
      <c r="F59" s="529">
        <f>Marigat!F25</f>
        <v>157.9032779423481</v>
      </c>
      <c r="G59" s="591" t="e">
        <f>Marigat!#REF!</f>
        <v>#REF!</v>
      </c>
      <c r="H59" s="578"/>
    </row>
    <row r="60" spans="2:24">
      <c r="B60" s="552">
        <f t="shared" si="0"/>
        <v>55</v>
      </c>
      <c r="C60" s="530" t="s">
        <v>146</v>
      </c>
      <c r="D60" s="524">
        <f>Kabarnet!D25</f>
        <v>158.26979782676682</v>
      </c>
      <c r="E60" s="524">
        <f>Kabarnet!E25</f>
        <v>160.99337549116979</v>
      </c>
      <c r="F60" s="524">
        <f>Kabarnet!F25</f>
        <v>158.43114200508737</v>
      </c>
      <c r="G60" s="585" t="e">
        <f>Kabarnet!#REF!</f>
        <v>#REF!</v>
      </c>
      <c r="H60" s="578"/>
    </row>
    <row r="61" spans="2:24">
      <c r="B61" s="552">
        <f t="shared" si="0"/>
        <v>56</v>
      </c>
      <c r="C61" s="530" t="s">
        <v>207</v>
      </c>
      <c r="D61" s="524" t="e">
        <f>#REF!</f>
        <v>#REF!</v>
      </c>
      <c r="E61" s="524" t="e">
        <f>#REF!</f>
        <v>#REF!</v>
      </c>
      <c r="F61" s="524" t="e">
        <f>#REF!</f>
        <v>#REF!</v>
      </c>
      <c r="G61" s="585" t="e">
        <f>#REF!</f>
        <v>#REF!</v>
      </c>
      <c r="H61" s="578"/>
    </row>
    <row r="62" spans="2:24" ht="15" thickBot="1">
      <c r="B62" s="552">
        <f t="shared" si="0"/>
        <v>57</v>
      </c>
      <c r="C62" s="530" t="s">
        <v>143</v>
      </c>
      <c r="D62" s="524">
        <f>Maralal!D25</f>
        <v>159.43665522861144</v>
      </c>
      <c r="E62" s="524">
        <f>Maralal!E25</f>
        <v>162.16023289301441</v>
      </c>
      <c r="F62" s="524">
        <f>Maralal!F25</f>
        <v>159.59799940693199</v>
      </c>
      <c r="G62" s="588" t="e">
        <f>Maralal!#REF!</f>
        <v>#REF!</v>
      </c>
      <c r="H62" s="578"/>
    </row>
    <row r="63" spans="2:24">
      <c r="B63" s="552">
        <f t="shared" si="0"/>
        <v>58</v>
      </c>
      <c r="C63" s="568" t="s">
        <v>39</v>
      </c>
      <c r="D63" s="569">
        <f>Eldoret!D25</f>
        <v>157.71899248639971</v>
      </c>
      <c r="E63" s="569">
        <f>Eldoret!E25</f>
        <v>160.44257015080268</v>
      </c>
      <c r="F63" s="569">
        <f>Eldoret!F25</f>
        <v>157.88033666472026</v>
      </c>
      <c r="G63" s="570" t="e">
        <f>Eldoret!#REF!</f>
        <v>#REF!</v>
      </c>
      <c r="H63" s="571"/>
      <c r="V63" s="584"/>
      <c r="X63" s="584"/>
    </row>
    <row r="64" spans="2:24">
      <c r="B64" s="552">
        <f t="shared" si="0"/>
        <v>59</v>
      </c>
      <c r="C64" s="530" t="s">
        <v>114</v>
      </c>
      <c r="D64" s="524">
        <f>Kapsabet!D25</f>
        <v>157.73437918901024</v>
      </c>
      <c r="E64" s="524">
        <f>Kapsabet!E25</f>
        <v>160.45795685341321</v>
      </c>
      <c r="F64" s="524">
        <f>Kapsabet!F25</f>
        <v>157.89572336733079</v>
      </c>
      <c r="G64" s="583" t="e">
        <f>Kapsabet!#REF!</f>
        <v>#REF!</v>
      </c>
      <c r="H64" s="578"/>
    </row>
    <row r="65" spans="2:10">
      <c r="B65" s="552">
        <f t="shared" si="0"/>
        <v>60</v>
      </c>
      <c r="C65" s="530" t="s">
        <v>209</v>
      </c>
      <c r="D65" s="524">
        <f>Webuye!D25</f>
        <v>158.17889629447487</v>
      </c>
      <c r="E65" s="524">
        <f>Webuye!E25</f>
        <v>160.90247395887783</v>
      </c>
      <c r="F65" s="524">
        <f>Webuye!F25</f>
        <v>158.34024047279541</v>
      </c>
      <c r="G65" s="583" t="e">
        <f>Webuye!#REF!</f>
        <v>#REF!</v>
      </c>
      <c r="H65" s="578"/>
    </row>
    <row r="66" spans="2:10">
      <c r="B66" s="552">
        <f t="shared" si="0"/>
        <v>61</v>
      </c>
      <c r="C66" s="530" t="s">
        <v>115</v>
      </c>
      <c r="D66" s="524">
        <f>Kitale!D25</f>
        <v>158.109440496746</v>
      </c>
      <c r="E66" s="524">
        <f>Kitale!E25</f>
        <v>160.83301816114897</v>
      </c>
      <c r="F66" s="524">
        <f>Kitale!F25</f>
        <v>158.27078467506655</v>
      </c>
      <c r="G66" s="583" t="e">
        <f>Kitale!#REF!</f>
        <v>#REF!</v>
      </c>
      <c r="H66" s="578"/>
    </row>
    <row r="67" spans="2:10">
      <c r="B67" s="552">
        <f t="shared" si="0"/>
        <v>62</v>
      </c>
      <c r="C67" s="530" t="s">
        <v>141</v>
      </c>
      <c r="D67" s="524">
        <f>Kapenguria!D25</f>
        <v>158.79010731448872</v>
      </c>
      <c r="E67" s="524">
        <f>Kapenguria!E25</f>
        <v>161.51368497889169</v>
      </c>
      <c r="F67" s="524">
        <f>Kapenguria!F25</f>
        <v>158.95145149280927</v>
      </c>
      <c r="G67" s="583" t="e">
        <f>Kapenguria!#REF!</f>
        <v>#REF!</v>
      </c>
      <c r="H67" s="578"/>
    </row>
    <row r="68" spans="2:10">
      <c r="B68" s="552">
        <f t="shared" si="0"/>
        <v>63</v>
      </c>
      <c r="C68" s="530" t="s">
        <v>69</v>
      </c>
      <c r="D68" s="524">
        <f>Bungoma!D25</f>
        <v>158.54006644266485</v>
      </c>
      <c r="E68" s="524">
        <f>Bungoma!E25</f>
        <v>161.26364410706782</v>
      </c>
      <c r="F68" s="524">
        <f>Bungoma!F25</f>
        <v>158.7014106209854</v>
      </c>
      <c r="G68" s="583" t="e">
        <f>Bungoma!#REF!</f>
        <v>#REF!</v>
      </c>
      <c r="H68" s="578"/>
      <c r="J68" s="159" t="s">
        <v>63</v>
      </c>
    </row>
    <row r="69" spans="2:10">
      <c r="B69" s="552">
        <f t="shared" si="0"/>
        <v>64</v>
      </c>
      <c r="C69" s="530" t="s">
        <v>501</v>
      </c>
      <c r="D69" s="524">
        <f>Moiben!D25</f>
        <v>157.73437918901024</v>
      </c>
      <c r="E69" s="524">
        <f>Moiben!E25</f>
        <v>160.45795685341321</v>
      </c>
      <c r="F69" s="524">
        <f>Moiben!F25</f>
        <v>157.89572336733079</v>
      </c>
      <c r="G69" s="585"/>
      <c r="H69" s="578"/>
    </row>
    <row r="70" spans="2:10">
      <c r="B70" s="552">
        <f t="shared" si="0"/>
        <v>65</v>
      </c>
      <c r="C70" s="530" t="s">
        <v>502</v>
      </c>
      <c r="D70" s="524">
        <f>Matunda!D25</f>
        <v>157.70659686991868</v>
      </c>
      <c r="E70" s="524">
        <f>Matunda!E25</f>
        <v>160.43017453432165</v>
      </c>
      <c r="F70" s="524">
        <f>Matunda!F25</f>
        <v>157.86794104823923</v>
      </c>
      <c r="G70" s="585"/>
      <c r="H70" s="578"/>
    </row>
    <row r="71" spans="2:10">
      <c r="B71" s="552">
        <f t="shared" si="0"/>
        <v>66</v>
      </c>
      <c r="C71" s="530" t="s">
        <v>503</v>
      </c>
      <c r="D71" s="524">
        <f>'Burnt Forest'!D25</f>
        <v>157.66492339128138</v>
      </c>
      <c r="E71" s="524">
        <f>'Burnt Forest'!E25</f>
        <v>160.38850105568434</v>
      </c>
      <c r="F71" s="524">
        <f>'Burnt Forest'!F25</f>
        <v>157.82626756960192</v>
      </c>
      <c r="G71" s="585"/>
      <c r="H71" s="578"/>
    </row>
    <row r="72" spans="2:10">
      <c r="B72" s="552">
        <f t="shared" si="0"/>
        <v>67</v>
      </c>
      <c r="C72" s="530" t="s">
        <v>504</v>
      </c>
      <c r="D72" s="524">
        <f>Tambach!D25</f>
        <v>157.76216150810177</v>
      </c>
      <c r="E72" s="524">
        <f>Tambach!E25</f>
        <v>160.48573917250474</v>
      </c>
      <c r="F72" s="524">
        <f>Tambach!F25</f>
        <v>157.92350568642232</v>
      </c>
      <c r="G72" s="585"/>
      <c r="H72" s="578"/>
    </row>
    <row r="73" spans="2:10">
      <c r="B73" s="552">
        <f t="shared" si="0"/>
        <v>68</v>
      </c>
      <c r="C73" s="530" t="s">
        <v>505</v>
      </c>
      <c r="D73" s="524">
        <f>Kapsowar!D25</f>
        <v>158.26224325174948</v>
      </c>
      <c r="E73" s="524">
        <f>Kapsowar!E25</f>
        <v>160.98582091615245</v>
      </c>
      <c r="F73" s="524">
        <f>Kapsowar!F25</f>
        <v>158.42358743007003</v>
      </c>
      <c r="G73" s="585"/>
      <c r="H73" s="578"/>
    </row>
    <row r="74" spans="2:10">
      <c r="B74" s="552">
        <f t="shared" si="0"/>
        <v>69</v>
      </c>
      <c r="C74" s="530" t="s">
        <v>506</v>
      </c>
      <c r="D74" s="524">
        <f>Chebara!D25</f>
        <v>158.13722281583756</v>
      </c>
      <c r="E74" s="524">
        <f>Chebara!E25</f>
        <v>160.86080048024053</v>
      </c>
      <c r="F74" s="524">
        <f>Chebara!F25</f>
        <v>158.29856699415811</v>
      </c>
      <c r="G74" s="585"/>
      <c r="H74" s="578"/>
    </row>
    <row r="75" spans="2:10">
      <c r="B75" s="552">
        <f t="shared" si="0"/>
        <v>70</v>
      </c>
      <c r="C75" s="530" t="s">
        <v>507</v>
      </c>
      <c r="D75" s="524">
        <f>Kimwarer!D25</f>
        <v>158.05387585856292</v>
      </c>
      <c r="E75" s="524">
        <f>Kimwarer!E25</f>
        <v>160.77745352296589</v>
      </c>
      <c r="F75" s="524">
        <f>Kimwarer!F25</f>
        <v>158.21522003688347</v>
      </c>
      <c r="G75" s="585"/>
      <c r="H75" s="578"/>
    </row>
    <row r="76" spans="2:10">
      <c r="B76" s="552">
        <f t="shared" si="0"/>
        <v>71</v>
      </c>
      <c r="C76" s="530" t="s">
        <v>508</v>
      </c>
      <c r="D76" s="524">
        <f>Timboroa!D25</f>
        <v>157.9705289012883</v>
      </c>
      <c r="E76" s="524">
        <f>Timboroa!E25</f>
        <v>160.69410656569127</v>
      </c>
      <c r="F76" s="524">
        <f>Timboroa!F25</f>
        <v>158.13187307960885</v>
      </c>
      <c r="G76" s="585"/>
      <c r="H76" s="578"/>
    </row>
    <row r="77" spans="2:10">
      <c r="B77" s="552">
        <f t="shared" si="0"/>
        <v>72</v>
      </c>
      <c r="C77" s="530" t="s">
        <v>509</v>
      </c>
      <c r="D77" s="524">
        <f>'Nandi Hills'!D25</f>
        <v>157.928855422651</v>
      </c>
      <c r="E77" s="524">
        <f>'Nandi Hills'!E25</f>
        <v>160.65243308705396</v>
      </c>
      <c r="F77" s="524">
        <f>'Nandi Hills'!F25</f>
        <v>158.09019960097154</v>
      </c>
      <c r="G77" s="585"/>
      <c r="H77" s="578"/>
    </row>
    <row r="78" spans="2:10">
      <c r="B78" s="552">
        <f t="shared" si="0"/>
        <v>73</v>
      </c>
      <c r="C78" s="530" t="s">
        <v>510</v>
      </c>
      <c r="D78" s="524">
        <f>Kaiboi!D25</f>
        <v>157.77605266764755</v>
      </c>
      <c r="E78" s="524">
        <f>Kaiboi!E25</f>
        <v>160.49963033205051</v>
      </c>
      <c r="F78" s="524">
        <f>Kaiboi!F25</f>
        <v>157.9373968459681</v>
      </c>
      <c r="G78" s="585"/>
      <c r="H78" s="578"/>
    </row>
    <row r="79" spans="2:10">
      <c r="B79" s="552">
        <f t="shared" si="0"/>
        <v>74</v>
      </c>
      <c r="C79" s="530" t="s">
        <v>511</v>
      </c>
      <c r="D79" s="524">
        <f>Kiminini!D25</f>
        <v>158.30391673038679</v>
      </c>
      <c r="E79" s="524">
        <f>Kiminini!E25</f>
        <v>161.02749439478976</v>
      </c>
      <c r="F79" s="524">
        <f>Kiminini!F25</f>
        <v>158.46526090870734</v>
      </c>
      <c r="G79" s="585"/>
      <c r="H79" s="578"/>
    </row>
    <row r="80" spans="2:10">
      <c r="B80" s="552">
        <f t="shared" si="0"/>
        <v>75</v>
      </c>
      <c r="C80" s="530" t="s">
        <v>512</v>
      </c>
      <c r="D80" s="524">
        <f>Endebes!D25</f>
        <v>158.67897803812255</v>
      </c>
      <c r="E80" s="524">
        <f>Endebes!E25</f>
        <v>161.40255570252552</v>
      </c>
      <c r="F80" s="524">
        <f>Endebes!F25</f>
        <v>158.8403222164431</v>
      </c>
      <c r="G80" s="585"/>
      <c r="H80" s="578"/>
    </row>
    <row r="81" spans="2:8">
      <c r="B81" s="552">
        <f t="shared" si="0"/>
        <v>76</v>
      </c>
      <c r="C81" s="530" t="s">
        <v>513</v>
      </c>
      <c r="D81" s="524">
        <f>Saboti!D25</f>
        <v>158.33169904947832</v>
      </c>
      <c r="E81" s="524">
        <f>Saboti!E25</f>
        <v>161.05527671388128</v>
      </c>
      <c r="F81" s="524">
        <f>Saboti!F25</f>
        <v>158.49304322779886</v>
      </c>
      <c r="G81" s="585"/>
      <c r="H81" s="578"/>
    </row>
    <row r="82" spans="2:8">
      <c r="B82" s="552">
        <f t="shared" si="0"/>
        <v>77</v>
      </c>
      <c r="C82" s="530" t="s">
        <v>514</v>
      </c>
      <c r="D82" s="524">
        <f>Chepareria!D25</f>
        <v>159.01236586722104</v>
      </c>
      <c r="E82" s="524">
        <f>Chepareria!E25</f>
        <v>161.735943531624</v>
      </c>
      <c r="F82" s="524">
        <f>Chepareria!F25</f>
        <v>159.17371004554158</v>
      </c>
      <c r="G82" s="585"/>
      <c r="H82" s="578"/>
    </row>
    <row r="83" spans="2:8">
      <c r="B83" s="552">
        <f t="shared" si="0"/>
        <v>78</v>
      </c>
      <c r="C83" s="530" t="s">
        <v>515</v>
      </c>
      <c r="D83" s="524">
        <f>Lomut!D25</f>
        <v>160.74876081044223</v>
      </c>
      <c r="E83" s="524">
        <f>Lomut!E25</f>
        <v>163.4723384748452</v>
      </c>
      <c r="F83" s="524">
        <f>Lomut!F25</f>
        <v>160.91010498876278</v>
      </c>
      <c r="G83" s="585"/>
      <c r="H83" s="578"/>
    </row>
    <row r="84" spans="2:8">
      <c r="B84" s="552">
        <f t="shared" si="0"/>
        <v>79</v>
      </c>
      <c r="C84" s="530" t="s">
        <v>516</v>
      </c>
      <c r="D84" s="524">
        <f>Burgich!D25</f>
        <v>159.45688297268566</v>
      </c>
      <c r="E84" s="524">
        <f>Burgich!E25</f>
        <v>162.18046063708863</v>
      </c>
      <c r="F84" s="524">
        <f>Burgich!F25</f>
        <v>159.61822715100621</v>
      </c>
      <c r="G84" s="585"/>
      <c r="H84" s="578"/>
    </row>
    <row r="85" spans="2:8">
      <c r="B85" s="552">
        <f t="shared" si="0"/>
        <v>80</v>
      </c>
      <c r="C85" s="530" t="s">
        <v>517</v>
      </c>
      <c r="D85" s="524">
        <f>Sigor!D25</f>
        <v>159.59579456814336</v>
      </c>
      <c r="E85" s="524">
        <f>Sigor!E25</f>
        <v>162.31937223254633</v>
      </c>
      <c r="F85" s="524">
        <f>Sigor!F25</f>
        <v>159.75713874646391</v>
      </c>
      <c r="G85" s="585"/>
      <c r="H85" s="578"/>
    </row>
    <row r="86" spans="2:8">
      <c r="B86" s="552">
        <f t="shared" si="0"/>
        <v>81</v>
      </c>
      <c r="C86" s="530" t="s">
        <v>518</v>
      </c>
      <c r="D86" s="524">
        <f>Lodwar!D25</f>
        <v>162.20733256274804</v>
      </c>
      <c r="E86" s="524">
        <f>Lodwar!E25</f>
        <v>164.930910227151</v>
      </c>
      <c r="F86" s="524">
        <f>Lodwar!F25</f>
        <v>162.36867674106858</v>
      </c>
      <c r="G86" s="585"/>
      <c r="H86" s="578"/>
    </row>
    <row r="87" spans="2:8">
      <c r="B87" s="552">
        <f t="shared" si="0"/>
        <v>82</v>
      </c>
      <c r="C87" s="530" t="s">
        <v>519</v>
      </c>
      <c r="D87" s="524">
        <f>Kakuma!D25</f>
        <v>163.91594518687771</v>
      </c>
      <c r="E87" s="524">
        <f>Kakuma!E25</f>
        <v>166.63952285128067</v>
      </c>
      <c r="F87" s="524">
        <f>Kakuma!F25</f>
        <v>164.07728936519823</v>
      </c>
      <c r="G87" s="585"/>
      <c r="H87" s="578"/>
    </row>
    <row r="88" spans="2:8">
      <c r="B88" s="552">
        <f t="shared" si="0"/>
        <v>83</v>
      </c>
      <c r="C88" s="530" t="s">
        <v>520</v>
      </c>
      <c r="D88" s="524">
        <f>Lokichar!D25</f>
        <v>161.13771327772378</v>
      </c>
      <c r="E88" s="524">
        <f>Lokichar!E25</f>
        <v>163.86129094212674</v>
      </c>
      <c r="F88" s="524">
        <f>Lokichar!F25</f>
        <v>161.29905745604432</v>
      </c>
      <c r="G88" s="585"/>
      <c r="H88" s="578"/>
    </row>
    <row r="89" spans="2:8">
      <c r="B89" s="552">
        <f t="shared" si="0"/>
        <v>84</v>
      </c>
      <c r="C89" s="530" t="s">
        <v>521</v>
      </c>
      <c r="D89" s="524">
        <f>Kalokol!D25</f>
        <v>163.02691097594843</v>
      </c>
      <c r="E89" s="524">
        <f>Kalokol!E25</f>
        <v>165.75048864035139</v>
      </c>
      <c r="F89" s="524">
        <f>Kalokol!F25</f>
        <v>163.18825515426897</v>
      </c>
      <c r="G89" s="585"/>
      <c r="H89" s="578"/>
    </row>
    <row r="90" spans="2:8">
      <c r="B90" s="552">
        <f t="shared" si="0"/>
        <v>85</v>
      </c>
      <c r="C90" s="530" t="s">
        <v>522</v>
      </c>
      <c r="D90" s="524">
        <f>Lokori!D25</f>
        <v>161.52666574500532</v>
      </c>
      <c r="E90" s="524">
        <f>Lokori!E25</f>
        <v>164.25024340940828</v>
      </c>
      <c r="F90" s="524">
        <f>Lokori!F25</f>
        <v>161.68800992332586</v>
      </c>
      <c r="G90" s="585"/>
      <c r="H90" s="578"/>
    </row>
    <row r="91" spans="2:8">
      <c r="B91" s="552">
        <f t="shared" si="0"/>
        <v>86</v>
      </c>
      <c r="C91" s="530" t="s">
        <v>523</v>
      </c>
      <c r="D91" s="524">
        <f>Lokitaung!D25</f>
        <v>166.12463955465506</v>
      </c>
      <c r="E91" s="524">
        <f>Lokitaung!E25</f>
        <v>168.84821721905803</v>
      </c>
      <c r="F91" s="524">
        <f>Lokitaung!F25</f>
        <v>166.28598373297561</v>
      </c>
      <c r="G91" s="585"/>
      <c r="H91" s="578"/>
    </row>
    <row r="92" spans="2:8">
      <c r="B92" s="552">
        <f t="shared" si="0"/>
        <v>87</v>
      </c>
      <c r="C92" s="530" t="s">
        <v>524</v>
      </c>
      <c r="D92" s="524">
        <f>Kapedo!D25</f>
        <v>160.74876081044223</v>
      </c>
      <c r="E92" s="524">
        <f>Kapedo!E25</f>
        <v>163.4723384748452</v>
      </c>
      <c r="F92" s="524">
        <f>Kapedo!F25</f>
        <v>160.91010498876278</v>
      </c>
      <c r="G92" s="585"/>
      <c r="H92" s="578"/>
    </row>
    <row r="93" spans="2:8">
      <c r="B93" s="552">
        <f t="shared" si="0"/>
        <v>88</v>
      </c>
      <c r="C93" s="530" t="s">
        <v>174</v>
      </c>
      <c r="D93" s="524">
        <f>Malaba!D25</f>
        <v>158.97069238858373</v>
      </c>
      <c r="E93" s="524">
        <f>Malaba!E25</f>
        <v>161.6942700529867</v>
      </c>
      <c r="F93" s="524">
        <f>Malaba!F25</f>
        <v>159.13203656690428</v>
      </c>
      <c r="G93" s="585" t="e">
        <f>Malaba!#REF!</f>
        <v>#REF!</v>
      </c>
      <c r="H93" s="578"/>
    </row>
    <row r="94" spans="2:8" ht="15" thickBot="1">
      <c r="B94" s="552">
        <f t="shared" si="0"/>
        <v>89</v>
      </c>
      <c r="C94" s="530" t="s">
        <v>113</v>
      </c>
      <c r="D94" s="524">
        <f>Lokichogio!D25</f>
        <v>165.1939318650885</v>
      </c>
      <c r="E94" s="524">
        <f>Lokichogio!E25</f>
        <v>167.91750952949147</v>
      </c>
      <c r="F94" s="524">
        <f>Lokichogio!F25</f>
        <v>165.35527604340905</v>
      </c>
      <c r="G94" s="588" t="e">
        <f>Lokichogio!#REF!</f>
        <v>#REF!</v>
      </c>
      <c r="H94" s="578"/>
    </row>
    <row r="95" spans="2:8">
      <c r="B95" s="552">
        <f t="shared" si="0"/>
        <v>90</v>
      </c>
      <c r="C95" s="568" t="s">
        <v>40</v>
      </c>
      <c r="D95" s="569">
        <f>Kisumu!D25</f>
        <v>157.71472368639971</v>
      </c>
      <c r="E95" s="569">
        <f>Kisumu!E25</f>
        <v>160.43830135080267</v>
      </c>
      <c r="F95" s="569">
        <f>Kisumu!F25</f>
        <v>157.87606786472026</v>
      </c>
      <c r="G95" s="570" t="e">
        <f>Kisumu!#REF!</f>
        <v>#REF!</v>
      </c>
      <c r="H95" s="571"/>
    </row>
    <row r="96" spans="2:8">
      <c r="B96" s="552">
        <f t="shared" si="0"/>
        <v>91</v>
      </c>
      <c r="C96" s="530" t="s">
        <v>211</v>
      </c>
      <c r="D96" s="524">
        <f>Sondu!D25</f>
        <v>157.82457027392147</v>
      </c>
      <c r="E96" s="524">
        <f>Sondu!E25</f>
        <v>160.54814793832443</v>
      </c>
      <c r="F96" s="524">
        <f>Sondu!F25</f>
        <v>157.98591445224201</v>
      </c>
      <c r="G96" s="583" t="e">
        <f>Sondu!#REF!</f>
        <v>#REF!</v>
      </c>
      <c r="H96" s="578"/>
    </row>
    <row r="97" spans="2:8">
      <c r="B97" s="552">
        <f t="shared" si="0"/>
        <v>92</v>
      </c>
      <c r="C97" s="530" t="s">
        <v>213</v>
      </c>
      <c r="D97" s="524">
        <f>Oyugis!D25</f>
        <v>158.34271052497866</v>
      </c>
      <c r="E97" s="524">
        <f>Oyugis!E25</f>
        <v>161.06628818938162</v>
      </c>
      <c r="F97" s="524">
        <f>Oyugis!F25</f>
        <v>158.5040547032992</v>
      </c>
      <c r="G97" s="583" t="e">
        <f>Oyugis!#REF!</f>
        <v>#REF!</v>
      </c>
      <c r="H97" s="578"/>
    </row>
    <row r="98" spans="2:8">
      <c r="B98" s="552">
        <f t="shared" si="0"/>
        <v>93</v>
      </c>
      <c r="C98" s="530" t="s">
        <v>119</v>
      </c>
      <c r="D98" s="524">
        <f>Kakamega!D25</f>
        <v>157.76761651978381</v>
      </c>
      <c r="E98" s="524">
        <f>Kakamega!E25</f>
        <v>160.49119418418678</v>
      </c>
      <c r="F98" s="524">
        <f>Kakamega!F25</f>
        <v>157.92896069810436</v>
      </c>
      <c r="G98" s="583" t="e">
        <f>Kakamega!#REF!</f>
        <v>#REF!</v>
      </c>
      <c r="H98" s="578"/>
    </row>
    <row r="99" spans="2:8">
      <c r="B99" s="552">
        <f t="shared" si="0"/>
        <v>94</v>
      </c>
      <c r="C99" s="530" t="s">
        <v>212</v>
      </c>
      <c r="D99" s="524">
        <f>Bondo!D25</f>
        <v>157.94125601410593</v>
      </c>
      <c r="E99" s="524">
        <f>Bondo!E25</f>
        <v>160.6648336785089</v>
      </c>
      <c r="F99" s="524">
        <f>Bondo!F25</f>
        <v>158.10260019242648</v>
      </c>
      <c r="G99" s="583" t="e">
        <f>Bondo!#REF!</f>
        <v>#REF!</v>
      </c>
      <c r="H99" s="578"/>
    </row>
    <row r="100" spans="2:8">
      <c r="B100" s="552">
        <f t="shared" si="0"/>
        <v>95</v>
      </c>
      <c r="C100" s="530" t="s">
        <v>125</v>
      </c>
      <c r="D100" s="524">
        <f>Siaya!D25</f>
        <v>158.07183291383615</v>
      </c>
      <c r="E100" s="524">
        <f>Siaya!E25</f>
        <v>160.79541057823911</v>
      </c>
      <c r="F100" s="524">
        <f>Siaya!F25</f>
        <v>158.23317709215669</v>
      </c>
      <c r="G100" s="583" t="e">
        <f>Siaya!#REF!</f>
        <v>#REF!</v>
      </c>
      <c r="H100" s="578"/>
    </row>
    <row r="101" spans="2:8">
      <c r="B101" s="552">
        <f t="shared" si="0"/>
        <v>96</v>
      </c>
      <c r="C101" s="530" t="s">
        <v>117</v>
      </c>
      <c r="D101" s="524">
        <f>Kericho!D25</f>
        <v>158.26075268365861</v>
      </c>
      <c r="E101" s="524">
        <f>Kericho!E25</f>
        <v>160.98433034806158</v>
      </c>
      <c r="F101" s="524">
        <f>Kericho!F25</f>
        <v>158.42209686197916</v>
      </c>
      <c r="G101" s="583" t="e">
        <f>Kericho!#REF!</f>
        <v>#REF!</v>
      </c>
      <c r="H101" s="578"/>
    </row>
    <row r="102" spans="2:8">
      <c r="B102" s="552">
        <f t="shared" si="0"/>
        <v>97</v>
      </c>
      <c r="C102" s="530" t="s">
        <v>136</v>
      </c>
      <c r="D102" s="524">
        <f>Nyamira!D25</f>
        <v>158.32743024947831</v>
      </c>
      <c r="E102" s="524">
        <f>Nyamira!E25</f>
        <v>161.05100791388128</v>
      </c>
      <c r="F102" s="524">
        <f>Nyamira!F25</f>
        <v>158.48877442779886</v>
      </c>
      <c r="G102" s="583" t="e">
        <f>Nyamira!#REF!</f>
        <v>#REF!</v>
      </c>
      <c r="H102" s="578"/>
    </row>
    <row r="103" spans="2:8">
      <c r="B103" s="552">
        <f t="shared" si="0"/>
        <v>98</v>
      </c>
      <c r="C103" s="530" t="s">
        <v>70</v>
      </c>
      <c r="D103" s="524">
        <f>Kisii!D25</f>
        <v>158.6608180785768</v>
      </c>
      <c r="E103" s="524">
        <f>Kisii!E25</f>
        <v>161.38439574297976</v>
      </c>
      <c r="F103" s="524">
        <f>Kisii!F25</f>
        <v>158.82216225689734</v>
      </c>
      <c r="G103" s="583" t="e">
        <f>Kisii!#REF!</f>
        <v>#REF!</v>
      </c>
      <c r="H103" s="578"/>
    </row>
    <row r="104" spans="2:8">
      <c r="B104" s="552">
        <f t="shared" si="0"/>
        <v>99</v>
      </c>
      <c r="C104" s="530" t="s">
        <v>118</v>
      </c>
      <c r="D104" s="524">
        <f>Sotik!D25</f>
        <v>158.47745477257263</v>
      </c>
      <c r="E104" s="524">
        <f>Sotik!E25</f>
        <v>161.20103243697559</v>
      </c>
      <c r="F104" s="524">
        <f>Sotik!F25</f>
        <v>158.63879895089318</v>
      </c>
      <c r="G104" s="583" t="e">
        <f>Sotik!#REF!</f>
        <v>#REF!</v>
      </c>
      <c r="H104" s="578"/>
    </row>
    <row r="105" spans="2:8">
      <c r="B105" s="552">
        <f t="shared" si="0"/>
        <v>100</v>
      </c>
      <c r="C105" s="530" t="s">
        <v>218</v>
      </c>
      <c r="D105" s="524">
        <f>Keroka!D25</f>
        <v>158.67470923812255</v>
      </c>
      <c r="E105" s="524">
        <f>Keroka!E25</f>
        <v>161.39828690252551</v>
      </c>
      <c r="F105" s="524">
        <f>Keroka!F25</f>
        <v>158.83605341644309</v>
      </c>
      <c r="G105" s="583" t="e">
        <f>Keroka!#REF!</f>
        <v>#REF!</v>
      </c>
      <c r="H105" s="578"/>
    </row>
    <row r="106" spans="2:8">
      <c r="B106" s="552">
        <f t="shared" ref="B106:B115" si="1">1+B105</f>
        <v>101</v>
      </c>
      <c r="C106" s="530" t="s">
        <v>116</v>
      </c>
      <c r="D106" s="524">
        <f>Busia!D25</f>
        <v>158.64692691903102</v>
      </c>
      <c r="E106" s="524">
        <f>Busia!E25</f>
        <v>161.37050458343398</v>
      </c>
      <c r="F106" s="524">
        <f>Busia!F25</f>
        <v>158.80827109735156</v>
      </c>
      <c r="G106" s="583" t="e">
        <f>Busia!#REF!</f>
        <v>#REF!</v>
      </c>
      <c r="H106" s="578"/>
    </row>
    <row r="107" spans="2:8">
      <c r="B107" s="552">
        <f t="shared" si="1"/>
        <v>102</v>
      </c>
      <c r="C107" s="530" t="s">
        <v>120</v>
      </c>
      <c r="D107" s="524">
        <f>Homabay!D25</f>
        <v>158.59136228084793</v>
      </c>
      <c r="E107" s="524">
        <f>Homabay!E25</f>
        <v>161.3149399452509</v>
      </c>
      <c r="F107" s="524">
        <f>Homabay!F25</f>
        <v>158.75270645916848</v>
      </c>
      <c r="G107" s="583" t="e">
        <f>Homabay!#REF!</f>
        <v>#REF!</v>
      </c>
      <c r="H107" s="578"/>
    </row>
    <row r="108" spans="2:8">
      <c r="B108" s="552">
        <f t="shared" si="1"/>
        <v>103</v>
      </c>
      <c r="C108" s="530" t="s">
        <v>142</v>
      </c>
      <c r="D108" s="524">
        <f>Migori!D25</f>
        <v>159.50817881086874</v>
      </c>
      <c r="E108" s="524">
        <f>Migori!E25</f>
        <v>162.23175647527171</v>
      </c>
      <c r="F108" s="524">
        <f>Migori!F25</f>
        <v>159.66952298918929</v>
      </c>
      <c r="G108" s="583" t="e">
        <f>Migori!#REF!</f>
        <v>#REF!</v>
      </c>
      <c r="H108" s="578"/>
    </row>
    <row r="109" spans="2:8" ht="15" thickBot="1">
      <c r="B109" s="552">
        <f>1+B108</f>
        <v>104</v>
      </c>
      <c r="C109" s="530" t="s">
        <v>210</v>
      </c>
      <c r="D109" s="524">
        <f>Isebania!D25</f>
        <v>159.81378432087567</v>
      </c>
      <c r="E109" s="524">
        <f>Isebania!E25</f>
        <v>162.53736198527864</v>
      </c>
      <c r="F109" s="524">
        <f>Isebania!F25</f>
        <v>159.97512849919622</v>
      </c>
      <c r="G109" s="588" t="e">
        <f>Isebania!#REF!</f>
        <v>#REF!</v>
      </c>
      <c r="H109" s="578"/>
    </row>
    <row r="110" spans="2:8">
      <c r="B110" s="552">
        <f>1+B109</f>
        <v>105</v>
      </c>
      <c r="C110" s="530" t="s">
        <v>207</v>
      </c>
      <c r="D110" s="524"/>
      <c r="E110" s="524"/>
      <c r="F110" s="524"/>
      <c r="G110" s="909"/>
      <c r="H110" s="578"/>
    </row>
    <row r="111" spans="2:8">
      <c r="B111" s="552">
        <f t="shared" si="1"/>
        <v>106</v>
      </c>
      <c r="C111" s="389" t="s">
        <v>557</v>
      </c>
      <c r="D111" s="910"/>
      <c r="E111" s="196"/>
      <c r="F111" s="196"/>
    </row>
    <row r="112" spans="2:8">
      <c r="B112" s="552">
        <f t="shared" si="1"/>
        <v>107</v>
      </c>
      <c r="C112" s="389" t="s">
        <v>558</v>
      </c>
      <c r="D112" s="196"/>
      <c r="E112" s="196"/>
      <c r="F112" s="196"/>
    </row>
    <row r="113" spans="2:6">
      <c r="B113" s="552">
        <f t="shared" si="1"/>
        <v>108</v>
      </c>
      <c r="C113" s="389" t="s">
        <v>559</v>
      </c>
      <c r="D113" s="196"/>
      <c r="E113" s="196"/>
      <c r="F113" s="196"/>
    </row>
    <row r="114" spans="2:6">
      <c r="B114" s="552">
        <f t="shared" si="1"/>
        <v>109</v>
      </c>
      <c r="C114" s="389" t="s">
        <v>560</v>
      </c>
      <c r="D114" s="196"/>
      <c r="E114" s="196"/>
      <c r="F114" s="196"/>
    </row>
    <row r="115" spans="2:6">
      <c r="B115" s="552">
        <f t="shared" si="1"/>
        <v>110</v>
      </c>
      <c r="C115" s="389" t="s">
        <v>561</v>
      </c>
      <c r="D115" s="196"/>
      <c r="E115" s="196"/>
      <c r="F115" s="196"/>
    </row>
    <row r="116" spans="2:6">
      <c r="B116" s="889">
        <v>111</v>
      </c>
      <c r="C116" s="389" t="s">
        <v>562</v>
      </c>
      <c r="D116" s="196"/>
      <c r="E116" s="196"/>
      <c r="F116" s="196"/>
    </row>
  </sheetData>
  <sortState ref="D62:G74">
    <sortCondition ref="D61"/>
  </sortState>
  <mergeCells count="4">
    <mergeCell ref="I4:L4"/>
    <mergeCell ref="M4:P4"/>
    <mergeCell ref="Q4:T4"/>
    <mergeCell ref="D3:F3"/>
  </mergeCells>
  <pageMargins left="0.7" right="0.7" top="0.75" bottom="0.75" header="0.3" footer="0.3"/>
  <pageSetup scale="82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2055" r:id="rId4">
          <objectPr defaultSize="0" autoPict="0" r:id="rId5">
            <anchor moveWithCells="1" siz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127000</xdr:colOff>
                <xdr:row>0</xdr:row>
                <xdr:rowOff>0</xdr:rowOff>
              </to>
            </anchor>
          </objectPr>
        </oleObject>
      </mc:Choice>
      <mc:Fallback>
        <oleObject progId="Equation.3" shapeId="2055" r:id="rId4"/>
      </mc:Fallback>
    </mc:AlternateContent>
    <mc:AlternateContent xmlns:mc="http://schemas.openxmlformats.org/markup-compatibility/2006">
      <mc:Choice Requires="x14">
        <oleObject progId="Equation.3" shapeId="2056" r:id="rId6">
          <objectPr defaultSize="0" autoPict="0" r:id="rId7">
            <anchor moveWithCells="1" siz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190500</xdr:colOff>
                <xdr:row>0</xdr:row>
                <xdr:rowOff>0</xdr:rowOff>
              </to>
            </anchor>
          </objectPr>
        </oleObject>
      </mc:Choice>
      <mc:Fallback>
        <oleObject progId="Equation.3" shapeId="2056" r:id="rId6"/>
      </mc:Fallback>
    </mc:AlternateContent>
    <mc:AlternateContent xmlns:mc="http://schemas.openxmlformats.org/markup-compatibility/2006">
      <mc:Choice Requires="x14">
        <oleObject progId="Equation.3" shapeId="2057" r:id="rId8">
          <objectPr defaultSize="0" autoPict="0" r:id="rId9">
            <anchor moveWithCells="1" sizeWithCells="1">
              <from>
                <xdr:col>3</xdr:col>
                <xdr:colOff>152400</xdr:colOff>
                <xdr:row>0</xdr:row>
                <xdr:rowOff>0</xdr:rowOff>
              </from>
              <to>
                <xdr:col>3</xdr:col>
                <xdr:colOff>381000</xdr:colOff>
                <xdr:row>0</xdr:row>
                <xdr:rowOff>0</xdr:rowOff>
              </to>
            </anchor>
          </objectPr>
        </oleObject>
      </mc:Choice>
      <mc:Fallback>
        <oleObject progId="Equation.3" shapeId="2057" r:id="rId8"/>
      </mc:Fallback>
    </mc:AlternateContent>
  </oleObjects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1-000000000000}">
  <sheetPr codeName="Sheet460">
    <tabColor rgb="FFFFFF00"/>
  </sheetPr>
  <dimension ref="B1:F11"/>
  <sheetViews>
    <sheetView zoomScale="130" zoomScaleNormal="130" workbookViewId="0">
      <selection activeCell="D6" sqref="D6"/>
    </sheetView>
  </sheetViews>
  <sheetFormatPr defaultColWidth="9.1796875" defaultRowHeight="14.5"/>
  <cols>
    <col min="1" max="1" width="9.1796875" style="159"/>
    <col min="2" max="2" width="5.7265625" style="159" customWidth="1"/>
    <col min="3" max="3" width="41.7265625" style="159" customWidth="1"/>
    <col min="4" max="4" width="13.54296875" style="159" customWidth="1"/>
    <col min="5" max="5" width="20.7265625" style="159" customWidth="1"/>
    <col min="6" max="6" width="25.453125" style="159" customWidth="1"/>
    <col min="7" max="16384" width="9.1796875" style="159"/>
  </cols>
  <sheetData>
    <row r="1" spans="2:6" ht="15" thickBot="1"/>
    <row r="2" spans="2:6" ht="15" thickBot="1">
      <c r="B2" s="505"/>
      <c r="C2" s="506" t="str">
        <f>'PUMP PRICES RETAIL VAT Incl'!C3</f>
        <v>March 15 - April 14, 2023</v>
      </c>
      <c r="D2" s="1243" t="s">
        <v>531</v>
      </c>
      <c r="E2" s="1244"/>
      <c r="F2" s="1245"/>
    </row>
    <row r="3" spans="2:6" ht="29.5" thickBot="1">
      <c r="B3" s="508"/>
      <c r="C3" s="531"/>
      <c r="D3" s="532" t="s">
        <v>15</v>
      </c>
      <c r="E3" s="533" t="s">
        <v>16</v>
      </c>
      <c r="F3" s="534" t="s">
        <v>160</v>
      </c>
    </row>
    <row r="4" spans="2:6" ht="15" thickBot="1">
      <c r="B4" s="517"/>
      <c r="C4" s="518" t="s">
        <v>36</v>
      </c>
      <c r="D4" s="535" t="s">
        <v>163</v>
      </c>
      <c r="E4" s="536" t="s">
        <v>163</v>
      </c>
      <c r="F4" s="537" t="s">
        <v>163</v>
      </c>
    </row>
    <row r="5" spans="2:6">
      <c r="B5" s="538">
        <v>1</v>
      </c>
      <c r="C5" s="539" t="s">
        <v>31</v>
      </c>
      <c r="D5" s="540">
        <f>Mombasa!D20</f>
        <v>145.79849820066073</v>
      </c>
      <c r="E5" s="540">
        <f>Mombasa!E20</f>
        <v>148.24726824540289</v>
      </c>
      <c r="F5" s="541">
        <f>Mombasa!F20</f>
        <v>145.67854679553881</v>
      </c>
    </row>
    <row r="6" spans="2:6">
      <c r="B6" s="525">
        <f>1+B5</f>
        <v>2</v>
      </c>
      <c r="C6" s="542" t="s">
        <v>32</v>
      </c>
      <c r="D6" s="543">
        <f>Nairobi!D19</f>
        <v>148.79510288970914</v>
      </c>
      <c r="E6" s="543">
        <f>Nairobi!E19</f>
        <v>151.24515733797304</v>
      </c>
      <c r="F6" s="544">
        <f>Nairobi!F19</f>
        <v>148.67524073688602</v>
      </c>
    </row>
    <row r="7" spans="2:6">
      <c r="B7" s="525">
        <f>1+B6</f>
        <v>3</v>
      </c>
      <c r="C7" s="545" t="s">
        <v>38</v>
      </c>
      <c r="D7" s="546">
        <f>Nakuru!D19</f>
        <v>148.14892664990484</v>
      </c>
      <c r="E7" s="546">
        <f>Nakuru!E19</f>
        <v>150.8725043143078</v>
      </c>
      <c r="F7" s="547">
        <f>Nakuru!F19</f>
        <v>148.31027082822538</v>
      </c>
    </row>
    <row r="8" spans="2:6">
      <c r="B8" s="525">
        <f>1+B7</f>
        <v>4</v>
      </c>
      <c r="C8" s="545" t="s">
        <v>39</v>
      </c>
      <c r="D8" s="546">
        <f>Eldoret!D19</f>
        <v>148.90538584990483</v>
      </c>
      <c r="E8" s="546">
        <f>Eldoret!E19</f>
        <v>151.6289635143078</v>
      </c>
      <c r="F8" s="547">
        <f>Eldoret!F19</f>
        <v>149.06673002822538</v>
      </c>
    </row>
    <row r="9" spans="2:6" ht="15" thickBot="1">
      <c r="B9" s="881">
        <f>1+B8</f>
        <v>5</v>
      </c>
      <c r="C9" s="592" t="s">
        <v>40</v>
      </c>
      <c r="D9" s="548">
        <f>Kisumu!D19</f>
        <v>148.90111704990483</v>
      </c>
      <c r="E9" s="548">
        <f>Kisumu!E19</f>
        <v>151.62469471430779</v>
      </c>
      <c r="F9" s="549">
        <f>Kisumu!F19</f>
        <v>149.06246122822537</v>
      </c>
    </row>
    <row r="11" spans="2:6">
      <c r="C11" s="218"/>
    </row>
  </sheetData>
  <mergeCells count="1">
    <mergeCell ref="D2:F2"/>
  </mergeCells>
  <pageMargins left="0.7" right="0.7" top="0.75" bottom="0.75" header="0.3" footer="0.3"/>
  <pageSetup orientation="portrait" r:id="rId1"/>
</worksheet>
</file>

<file path=xl/worksheets/sheet4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1-000000000000}">
  <sheetPr codeName="Sheet461">
    <tabColor rgb="FF0000FF"/>
    <pageSetUpPr fitToPage="1"/>
  </sheetPr>
  <dimension ref="B1:W228"/>
  <sheetViews>
    <sheetView topLeftCell="A4" zoomScale="71" zoomScaleNormal="71" workbookViewId="0">
      <selection activeCell="U6" sqref="U6:W228"/>
    </sheetView>
  </sheetViews>
  <sheetFormatPr defaultColWidth="9.1796875" defaultRowHeight="14.5"/>
  <cols>
    <col min="1" max="1" width="7.1796875" style="159" customWidth="1"/>
    <col min="2" max="2" width="5.453125" style="550" bestFit="1" customWidth="1"/>
    <col min="3" max="3" width="40.26953125" style="551" customWidth="1"/>
    <col min="4" max="5" width="18.453125" style="159" customWidth="1"/>
    <col min="6" max="6" width="15.1796875" style="159" bestFit="1" customWidth="1"/>
    <col min="7" max="8" width="9.1796875" style="159"/>
    <col min="9" max="15" width="0" style="159" hidden="1" customWidth="1"/>
    <col min="16" max="20" width="9.1796875" style="159"/>
    <col min="21" max="21" width="16.1796875" style="159" bestFit="1" customWidth="1"/>
    <col min="22" max="22" width="13.6328125" style="159" bestFit="1" customWidth="1"/>
    <col min="23" max="23" width="14.54296875" style="159" bestFit="1" customWidth="1"/>
    <col min="24" max="16384" width="9.1796875" style="159"/>
  </cols>
  <sheetData>
    <row r="1" spans="2:23">
      <c r="C1" s="187"/>
      <c r="D1" s="187"/>
      <c r="E1" s="187"/>
      <c r="F1" s="187"/>
    </row>
    <row r="2" spans="2:23" ht="8.25" customHeight="1"/>
    <row r="3" spans="2:23" ht="15.75" customHeight="1">
      <c r="B3" s="161"/>
      <c r="C3" s="553" t="str">
        <f>Mombasa!C4</f>
        <v>March 15 - April 14, 2023</v>
      </c>
      <c r="D3" s="1242" t="s">
        <v>37</v>
      </c>
      <c r="E3" s="1242"/>
      <c r="F3" s="1242"/>
    </row>
    <row r="4" spans="2:23" ht="29">
      <c r="B4" s="161"/>
      <c r="C4" s="530"/>
      <c r="D4" s="556" t="s">
        <v>15</v>
      </c>
      <c r="E4" s="556" t="s">
        <v>16</v>
      </c>
      <c r="F4" s="556" t="s">
        <v>160</v>
      </c>
    </row>
    <row r="5" spans="2:23" ht="15" thickBot="1">
      <c r="B5" s="161"/>
      <c r="C5" s="559" t="s">
        <v>36</v>
      </c>
      <c r="D5" s="560" t="s">
        <v>163</v>
      </c>
      <c r="E5" s="560" t="s">
        <v>163</v>
      </c>
      <c r="F5" s="560" t="s">
        <v>163</v>
      </c>
    </row>
    <row r="6" spans="2:23" ht="15" thickBot="1">
      <c r="B6" s="568">
        <v>1</v>
      </c>
      <c r="C6" s="568" t="s">
        <v>31</v>
      </c>
      <c r="D6" s="569">
        <f>'MOMBASA_PRICE VAT Inclusive'!C49</f>
        <v>166.77235332776232</v>
      </c>
      <c r="E6" s="569">
        <f>'MOMBASA_PRICE VAT Inclusive'!E49</f>
        <v>169.4327444756058</v>
      </c>
      <c r="F6" s="569">
        <f>'MOMBASA_PRICE VAT Inclusive'!G49</f>
        <v>166.62742872463107</v>
      </c>
      <c r="I6" s="1082">
        <v>147.86000000000001</v>
      </c>
      <c r="J6" s="1082">
        <v>128.76</v>
      </c>
      <c r="K6" s="1082">
        <v>116.69</v>
      </c>
      <c r="M6" s="1082">
        <f>I6+9.5</f>
        <v>157.36000000000001</v>
      </c>
      <c r="N6" s="1082">
        <f t="shared" ref="N6:O6" si="0">J6+9.5</f>
        <v>138.26</v>
      </c>
      <c r="O6" s="1082">
        <f t="shared" si="0"/>
        <v>126.19</v>
      </c>
      <c r="Q6" s="1262">
        <v>176.98</v>
      </c>
      <c r="R6" s="1262">
        <v>159.76</v>
      </c>
      <c r="S6" s="1262">
        <v>143.69</v>
      </c>
      <c r="U6" s="1265">
        <f>D6-Q6</f>
        <v>-10.207646672237672</v>
      </c>
      <c r="V6" s="1265">
        <f t="shared" ref="V6:W6" si="1">E6-R6</f>
        <v>9.6727444756058105</v>
      </c>
      <c r="W6" s="1265">
        <f t="shared" si="1"/>
        <v>22.937428724631076</v>
      </c>
    </row>
    <row r="7" spans="2:23" ht="15" thickBot="1">
      <c r="B7" s="161">
        <v>2</v>
      </c>
      <c r="C7" s="530" t="s">
        <v>153</v>
      </c>
      <c r="D7" s="524">
        <f>'KILIFI_PRICE VAT Inclusive'!C49</f>
        <v>167.49227515369515</v>
      </c>
      <c r="E7" s="524">
        <f>'KILIFI_PRICE VAT Inclusive'!E49</f>
        <v>170.14266630153861</v>
      </c>
      <c r="F7" s="524">
        <f>'KILIFI_PRICE VAT Inclusive'!G49</f>
        <v>167.3473505505639</v>
      </c>
      <c r="I7" s="1083">
        <v>148.57</v>
      </c>
      <c r="J7" s="1083">
        <v>129.47</v>
      </c>
      <c r="K7" s="1083">
        <v>117.41</v>
      </c>
      <c r="M7" s="1083">
        <f t="shared" ref="M7:M69" si="2">I7+9.5</f>
        <v>158.07</v>
      </c>
      <c r="N7" s="1083">
        <f t="shared" ref="N7:N69" si="3">J7+9.5</f>
        <v>138.97</v>
      </c>
      <c r="O7" s="1083">
        <f t="shared" ref="O7:O69" si="4">K7+9.5</f>
        <v>126.91</v>
      </c>
      <c r="Q7" s="1263">
        <v>177.69</v>
      </c>
      <c r="R7" s="1263">
        <v>160.47</v>
      </c>
      <c r="S7" s="1263">
        <v>144.41</v>
      </c>
      <c r="U7" s="1265">
        <f t="shared" ref="U7:U70" si="5">D7-Q7</f>
        <v>-10.197724846304851</v>
      </c>
      <c r="V7" s="1265">
        <f t="shared" ref="V7:V70" si="6">E7-R7</f>
        <v>9.6726663015386123</v>
      </c>
      <c r="W7" s="1265">
        <f t="shared" ref="W7:W70" si="7">F7-S7</f>
        <v>22.937350550563906</v>
      </c>
    </row>
    <row r="8" spans="2:23" ht="15" thickBot="1">
      <c r="B8" s="161">
        <v>3</v>
      </c>
      <c r="C8" s="530" t="s">
        <v>138</v>
      </c>
      <c r="D8" s="524">
        <f>'LIKONI_PRICE VAT Inclusive'!C50</f>
        <v>167.1323533277623</v>
      </c>
      <c r="E8" s="524">
        <f>'LIKONI_PRICE VAT Inclusive'!E50</f>
        <v>169.79274447560579</v>
      </c>
      <c r="F8" s="524">
        <f>'LIKONI_PRICE VAT Inclusive'!G50</f>
        <v>166.98742872463106</v>
      </c>
      <c r="I8" s="1083">
        <v>148.22</v>
      </c>
      <c r="J8" s="1083">
        <v>129.11000000000001</v>
      </c>
      <c r="K8" s="1083">
        <v>117.05</v>
      </c>
      <c r="M8" s="1083">
        <f t="shared" si="2"/>
        <v>157.72</v>
      </c>
      <c r="N8" s="1083">
        <f t="shared" si="3"/>
        <v>138.61000000000001</v>
      </c>
      <c r="O8" s="1083">
        <f t="shared" si="4"/>
        <v>126.55</v>
      </c>
      <c r="Q8" s="1263">
        <v>177.34</v>
      </c>
      <c r="R8" s="1263">
        <v>160.11000000000001</v>
      </c>
      <c r="S8" s="1263">
        <v>144.05000000000001</v>
      </c>
      <c r="U8" s="1265">
        <f t="shared" si="5"/>
        <v>-10.207646672237701</v>
      </c>
      <c r="V8" s="1265">
        <f t="shared" si="6"/>
        <v>9.682744475605773</v>
      </c>
      <c r="W8" s="1265">
        <f t="shared" si="7"/>
        <v>22.937428724631047</v>
      </c>
    </row>
    <row r="9" spans="2:23" ht="15" thickBot="1">
      <c r="B9" s="161">
        <v>4</v>
      </c>
      <c r="C9" s="530" t="s">
        <v>100</v>
      </c>
      <c r="D9" s="524">
        <f>'KWALE_PRICE VAT Inclusive'!C50</f>
        <v>167.1323533277623</v>
      </c>
      <c r="E9" s="524">
        <f>'KWALE_PRICE VAT Inclusive'!E50</f>
        <v>169.79274447560579</v>
      </c>
      <c r="F9" s="524">
        <f>'KWALE_PRICE VAT Inclusive'!G50</f>
        <v>166.98742872463106</v>
      </c>
      <c r="I9" s="1083">
        <v>148.22</v>
      </c>
      <c r="J9" s="1083">
        <v>129.11000000000001</v>
      </c>
      <c r="K9" s="1083">
        <v>117.05</v>
      </c>
      <c r="M9" s="1083">
        <f t="shared" si="2"/>
        <v>157.72</v>
      </c>
      <c r="N9" s="1083">
        <f t="shared" si="3"/>
        <v>138.61000000000001</v>
      </c>
      <c r="O9" s="1083">
        <f t="shared" si="4"/>
        <v>126.55</v>
      </c>
      <c r="Q9" s="1263">
        <v>177.34</v>
      </c>
      <c r="R9" s="1263">
        <v>160.11000000000001</v>
      </c>
      <c r="S9" s="1263">
        <v>144.05000000000001</v>
      </c>
      <c r="U9" s="1265">
        <f t="shared" si="5"/>
        <v>-10.207646672237701</v>
      </c>
      <c r="V9" s="1265">
        <f t="shared" si="6"/>
        <v>9.682744475605773</v>
      </c>
      <c r="W9" s="1265">
        <f t="shared" si="7"/>
        <v>22.937428724631047</v>
      </c>
    </row>
    <row r="10" spans="2:23" ht="15" thickBot="1">
      <c r="B10" s="161">
        <v>5</v>
      </c>
      <c r="C10" s="530" t="s">
        <v>66</v>
      </c>
      <c r="D10" s="524">
        <f>'MALINDI_PRICE VAT Inclusive'!C49</f>
        <v>167.69387735432645</v>
      </c>
      <c r="E10" s="524">
        <f>'MALINDI_PRICE VAT Inclusive'!E49</f>
        <v>170.35426850216993</v>
      </c>
      <c r="F10" s="524">
        <f>'MALINDI_PRICE VAT Inclusive'!G49</f>
        <v>167.54895275119517</v>
      </c>
      <c r="I10" s="1083">
        <v>148.78</v>
      </c>
      <c r="J10" s="1083">
        <v>129.66999999999999</v>
      </c>
      <c r="K10" s="1083">
        <v>117.61</v>
      </c>
      <c r="M10" s="1083">
        <f t="shared" si="2"/>
        <v>158.28</v>
      </c>
      <c r="N10" s="1083">
        <f t="shared" si="3"/>
        <v>139.16999999999999</v>
      </c>
      <c r="O10" s="1083">
        <f t="shared" si="4"/>
        <v>127.11</v>
      </c>
      <c r="Q10" s="1263">
        <v>177.9</v>
      </c>
      <c r="R10" s="1263">
        <v>160.66999999999999</v>
      </c>
      <c r="S10" s="1263">
        <v>144.61000000000001</v>
      </c>
      <c r="U10" s="1265">
        <f t="shared" si="5"/>
        <v>-10.20612264567356</v>
      </c>
      <c r="V10" s="1265">
        <f t="shared" si="6"/>
        <v>9.6842685021699424</v>
      </c>
      <c r="W10" s="1265">
        <f t="shared" si="7"/>
        <v>22.93895275119516</v>
      </c>
    </row>
    <row r="11" spans="2:23" ht="15" thickBot="1">
      <c r="B11" s="161">
        <v>6</v>
      </c>
      <c r="C11" s="225" t="s">
        <v>196</v>
      </c>
      <c r="D11" s="524">
        <f>'LUNGALUNGA_PRICE VAT Inclusive'!C50</f>
        <v>167.84227515369514</v>
      </c>
      <c r="E11" s="524">
        <f>'LUNGALUNGA_PRICE VAT Inclusive'!E50</f>
        <v>170.5026663015386</v>
      </c>
      <c r="F11" s="524">
        <f>'LUNGALUNGA_PRICE VAT Inclusive'!G50</f>
        <v>167.69735055056387</v>
      </c>
      <c r="I11" s="1083">
        <v>148.93</v>
      </c>
      <c r="J11" s="1083">
        <v>129.83000000000001</v>
      </c>
      <c r="K11" s="1083">
        <v>117.76</v>
      </c>
      <c r="M11" s="1083">
        <f t="shared" si="2"/>
        <v>158.43</v>
      </c>
      <c r="N11" s="1083">
        <f t="shared" si="3"/>
        <v>139.33000000000001</v>
      </c>
      <c r="O11" s="1083">
        <f t="shared" si="4"/>
        <v>127.26</v>
      </c>
      <c r="Q11" s="1263">
        <v>178.05</v>
      </c>
      <c r="R11" s="1263">
        <v>160.83000000000001</v>
      </c>
      <c r="S11" s="1263">
        <v>144.76</v>
      </c>
      <c r="U11" s="1265">
        <f t="shared" si="5"/>
        <v>-10.20772484630487</v>
      </c>
      <c r="V11" s="1265">
        <f t="shared" si="6"/>
        <v>9.6726663015385839</v>
      </c>
      <c r="W11" s="1265">
        <f t="shared" si="7"/>
        <v>22.937350550563878</v>
      </c>
    </row>
    <row r="12" spans="2:23" ht="15" thickBot="1">
      <c r="B12" s="161">
        <v>7</v>
      </c>
      <c r="C12" s="530" t="s">
        <v>97</v>
      </c>
      <c r="D12" s="524">
        <f>'Voi_Price VAT Inclusive'!C49</f>
        <v>168.24880826852308</v>
      </c>
      <c r="E12" s="524">
        <f>'Voi_Price VAT Inclusive'!E49</f>
        <v>170.90919941636653</v>
      </c>
      <c r="F12" s="524">
        <f>'Voi_Price VAT Inclusive'!G49</f>
        <v>168.10388366539178</v>
      </c>
      <c r="I12" s="1083">
        <v>149.34</v>
      </c>
      <c r="J12" s="1083">
        <v>130.24</v>
      </c>
      <c r="K12" s="1083">
        <v>118.17</v>
      </c>
      <c r="M12" s="1083">
        <f t="shared" si="2"/>
        <v>158.84</v>
      </c>
      <c r="N12" s="1083">
        <f t="shared" si="3"/>
        <v>139.74</v>
      </c>
      <c r="O12" s="1083">
        <f t="shared" si="4"/>
        <v>127.67</v>
      </c>
      <c r="Q12" s="1263">
        <v>178.46</v>
      </c>
      <c r="R12" s="1263">
        <v>161.24</v>
      </c>
      <c r="S12" s="1263">
        <v>145.16999999999999</v>
      </c>
      <c r="U12" s="1265">
        <f t="shared" si="5"/>
        <v>-10.21119173147693</v>
      </c>
      <c r="V12" s="1265">
        <f t="shared" si="6"/>
        <v>9.6691994163665242</v>
      </c>
      <c r="W12" s="1265">
        <f t="shared" si="7"/>
        <v>22.933883665391789</v>
      </c>
    </row>
    <row r="13" spans="2:23" ht="15" thickBot="1">
      <c r="B13" s="161">
        <v>8</v>
      </c>
      <c r="C13" s="530" t="s">
        <v>98</v>
      </c>
      <c r="D13" s="524">
        <f>'Taveta_Price VAT Inclusive'!C49</f>
        <v>169.66409826032384</v>
      </c>
      <c r="E13" s="524">
        <f>'Taveta_Price VAT Inclusive'!E49</f>
        <v>172.3144894081673</v>
      </c>
      <c r="F13" s="524">
        <f>'Taveta_Price VAT Inclusive'!G49</f>
        <v>169.5191736571926</v>
      </c>
      <c r="I13" s="1083">
        <v>150.75</v>
      </c>
      <c r="J13" s="1083">
        <v>131.63999999999999</v>
      </c>
      <c r="K13" s="1083">
        <v>119.58</v>
      </c>
      <c r="M13" s="1083">
        <f t="shared" si="2"/>
        <v>160.25</v>
      </c>
      <c r="N13" s="1083">
        <f t="shared" si="3"/>
        <v>141.13999999999999</v>
      </c>
      <c r="O13" s="1083">
        <f t="shared" si="4"/>
        <v>129.07999999999998</v>
      </c>
      <c r="Q13" s="1263">
        <v>179.86</v>
      </c>
      <c r="R13" s="1263">
        <v>162.63999999999999</v>
      </c>
      <c r="S13" s="1263">
        <v>146.58000000000001</v>
      </c>
      <c r="U13" s="1265">
        <f t="shared" si="5"/>
        <v>-10.195901739676174</v>
      </c>
      <c r="V13" s="1265">
        <f t="shared" si="6"/>
        <v>9.6744894081673181</v>
      </c>
      <c r="W13" s="1265">
        <f t="shared" si="7"/>
        <v>22.939173657192583</v>
      </c>
    </row>
    <row r="14" spans="2:23" ht="15" thickBot="1">
      <c r="B14" s="161">
        <v>9</v>
      </c>
      <c r="C14" s="530" t="s">
        <v>99</v>
      </c>
      <c r="D14" s="524">
        <f>'Lamu_Price VAT Inclusive'!C49</f>
        <v>170.07730266158646</v>
      </c>
      <c r="E14" s="524">
        <f>'Lamu_Price VAT Inclusive'!E49</f>
        <v>172.73769380942994</v>
      </c>
      <c r="F14" s="524">
        <f>'Lamu_Price VAT Inclusive'!G49</f>
        <v>169.93237805845521</v>
      </c>
      <c r="I14" s="1083">
        <v>151.16</v>
      </c>
      <c r="J14" s="1083">
        <v>132.06</v>
      </c>
      <c r="K14" s="1083">
        <v>120</v>
      </c>
      <c r="M14" s="1083">
        <f t="shared" si="2"/>
        <v>160.66</v>
      </c>
      <c r="N14" s="1083">
        <f t="shared" si="3"/>
        <v>141.56</v>
      </c>
      <c r="O14" s="1083">
        <f t="shared" si="4"/>
        <v>129.5</v>
      </c>
      <c r="Q14" s="1263">
        <v>180.27</v>
      </c>
      <c r="R14" s="1263">
        <v>163.06</v>
      </c>
      <c r="S14" s="1263">
        <v>147</v>
      </c>
      <c r="U14" s="1265">
        <f t="shared" si="5"/>
        <v>-10.192697338413552</v>
      </c>
      <c r="V14" s="1265">
        <f t="shared" si="6"/>
        <v>9.6776938094299396</v>
      </c>
      <c r="W14" s="1265">
        <f t="shared" si="7"/>
        <v>22.932378058455214</v>
      </c>
    </row>
    <row r="15" spans="2:23" ht="15" thickBot="1">
      <c r="B15" s="161">
        <v>10</v>
      </c>
      <c r="C15" s="530" t="s">
        <v>473</v>
      </c>
      <c r="D15" s="524">
        <f>'Hola_Price VAT Inclusive'!C49</f>
        <v>170.36075568745451</v>
      </c>
      <c r="E15" s="524">
        <f>'Hola_Price VAT Inclusive'!E49</f>
        <v>173.02114683529797</v>
      </c>
      <c r="F15" s="524">
        <f>'Hola_Price VAT Inclusive'!G49</f>
        <v>170.21583108432327</v>
      </c>
      <c r="I15" s="1083">
        <v>151.44999999999999</v>
      </c>
      <c r="J15" s="1083">
        <v>132.34</v>
      </c>
      <c r="K15" s="1083">
        <v>120.28</v>
      </c>
      <c r="M15" s="1083">
        <f t="shared" si="2"/>
        <v>160.94999999999999</v>
      </c>
      <c r="N15" s="1083">
        <f t="shared" si="3"/>
        <v>141.84</v>
      </c>
      <c r="O15" s="1083">
        <f t="shared" si="4"/>
        <v>129.78</v>
      </c>
      <c r="Q15" s="1263">
        <v>180.57</v>
      </c>
      <c r="R15" s="1263">
        <v>163.34</v>
      </c>
      <c r="S15" s="1263">
        <v>147.28</v>
      </c>
      <c r="U15" s="1265">
        <f t="shared" si="5"/>
        <v>-10.209244312545479</v>
      </c>
      <c r="V15" s="1265">
        <f t="shared" si="6"/>
        <v>9.6811468352979659</v>
      </c>
      <c r="W15" s="1265">
        <f t="shared" si="7"/>
        <v>22.935831084323269</v>
      </c>
    </row>
    <row r="16" spans="2:23" ht="15" thickBot="1">
      <c r="B16" s="161">
        <v>11</v>
      </c>
      <c r="C16" s="530" t="s">
        <v>679</v>
      </c>
      <c r="D16" s="524">
        <f>'Mpeketoni_Price VAT Inclusive'!C49</f>
        <v>170.07730266158646</v>
      </c>
      <c r="E16" s="524">
        <f>'Mpeketoni_Price VAT Inclusive'!E49</f>
        <v>172.73769380942994</v>
      </c>
      <c r="F16" s="524">
        <f>'Mpeketoni_Price VAT Inclusive'!G49</f>
        <v>169.93237805845521</v>
      </c>
      <c r="I16" s="1083">
        <v>151.16</v>
      </c>
      <c r="J16" s="1083">
        <v>132.06</v>
      </c>
      <c r="K16" s="1083">
        <v>120</v>
      </c>
      <c r="M16" s="1083">
        <f t="shared" si="2"/>
        <v>160.66</v>
      </c>
      <c r="N16" s="1083">
        <f t="shared" si="3"/>
        <v>141.56</v>
      </c>
      <c r="O16" s="1083">
        <f t="shared" si="4"/>
        <v>129.5</v>
      </c>
      <c r="Q16" s="1263">
        <v>180.27</v>
      </c>
      <c r="R16" s="1263">
        <v>163.06</v>
      </c>
      <c r="S16" s="1263">
        <v>147</v>
      </c>
      <c r="U16" s="1265">
        <f t="shared" si="5"/>
        <v>-10.192697338413552</v>
      </c>
      <c r="V16" s="1265">
        <f t="shared" si="6"/>
        <v>9.6776938094299396</v>
      </c>
      <c r="W16" s="1265">
        <f t="shared" si="7"/>
        <v>22.932378058455214</v>
      </c>
    </row>
    <row r="17" spans="2:23" ht="15" thickBot="1">
      <c r="B17" s="161">
        <v>12</v>
      </c>
      <c r="C17" s="530" t="s">
        <v>680</v>
      </c>
      <c r="D17" s="524">
        <f>'Minjila_Price VAT Inclusive'!C49</f>
        <v>169.03929165842993</v>
      </c>
      <c r="E17" s="524">
        <f>'Minjila_Price VAT Inclusive'!E49</f>
        <v>171.69968280627339</v>
      </c>
      <c r="F17" s="524">
        <f>'Minjila_Price VAT Inclusive'!G49</f>
        <v>168.89436705529863</v>
      </c>
      <c r="I17" s="1083">
        <v>150.13</v>
      </c>
      <c r="J17" s="1083">
        <v>131.02000000000001</v>
      </c>
      <c r="K17" s="1083">
        <v>118.96</v>
      </c>
      <c r="M17" s="1083">
        <f t="shared" si="2"/>
        <v>159.63</v>
      </c>
      <c r="N17" s="1083">
        <f t="shared" si="3"/>
        <v>140.52000000000001</v>
      </c>
      <c r="O17" s="1083">
        <f t="shared" si="4"/>
        <v>128.45999999999998</v>
      </c>
      <c r="Q17" s="1263">
        <v>179.25</v>
      </c>
      <c r="R17" s="1263">
        <v>162.02000000000001</v>
      </c>
      <c r="S17" s="1263">
        <v>145.96</v>
      </c>
      <c r="U17" s="1265">
        <f t="shared" si="5"/>
        <v>-10.210708341570069</v>
      </c>
      <c r="V17" s="1265">
        <f t="shared" si="6"/>
        <v>9.6796828062733766</v>
      </c>
      <c r="W17" s="1265">
        <f t="shared" si="7"/>
        <v>22.934367055298623</v>
      </c>
    </row>
    <row r="18" spans="2:23" ht="15" thickBot="1">
      <c r="B18" s="161">
        <v>13</v>
      </c>
      <c r="C18" s="530" t="s">
        <v>681</v>
      </c>
      <c r="D18" s="524">
        <f>'Garsen_Price VAT Inclusive'!C49</f>
        <v>169.13311762120614</v>
      </c>
      <c r="E18" s="524">
        <f>'Garsen_Price VAT Inclusive'!E49</f>
        <v>171.79350876904959</v>
      </c>
      <c r="F18" s="524">
        <f>'Garsen_Price VAT Inclusive'!G49</f>
        <v>168.9881930180749</v>
      </c>
      <c r="I18" s="1083">
        <v>150.22</v>
      </c>
      <c r="J18" s="1083">
        <v>131.11000000000001</v>
      </c>
      <c r="K18" s="1083">
        <v>119.05</v>
      </c>
      <c r="M18" s="1083">
        <f t="shared" si="2"/>
        <v>159.72</v>
      </c>
      <c r="N18" s="1083">
        <f t="shared" si="3"/>
        <v>140.61000000000001</v>
      </c>
      <c r="O18" s="1083">
        <f t="shared" si="4"/>
        <v>128.55000000000001</v>
      </c>
      <c r="Q18" s="1263">
        <v>179.33</v>
      </c>
      <c r="R18" s="1263">
        <v>162.11000000000001</v>
      </c>
      <c r="S18" s="1263">
        <v>146.05000000000001</v>
      </c>
      <c r="U18" s="1265">
        <f t="shared" si="5"/>
        <v>-10.196882378793873</v>
      </c>
      <c r="V18" s="1265">
        <f t="shared" si="6"/>
        <v>9.6835087690495811</v>
      </c>
      <c r="W18" s="1265">
        <f t="shared" si="7"/>
        <v>22.938193018074884</v>
      </c>
    </row>
    <row r="19" spans="2:23" ht="15" thickBot="1">
      <c r="B19" s="161">
        <v>14</v>
      </c>
      <c r="C19" s="530" t="s">
        <v>682</v>
      </c>
      <c r="D19" s="524">
        <f>'Samburu_Price VAT Inclusive'!C49</f>
        <v>167.07907075243253</v>
      </c>
      <c r="E19" s="524">
        <f>'Samburu_Price VAT Inclusive'!E49</f>
        <v>169.72946190027599</v>
      </c>
      <c r="F19" s="524">
        <f>'Samburu_Price VAT Inclusive'!G49</f>
        <v>166.93414614930128</v>
      </c>
      <c r="I19" s="1083">
        <v>148.16</v>
      </c>
      <c r="J19" s="1083">
        <v>129.06</v>
      </c>
      <c r="K19" s="1083">
        <v>117</v>
      </c>
      <c r="M19" s="1083">
        <f t="shared" si="2"/>
        <v>157.66</v>
      </c>
      <c r="N19" s="1083">
        <f t="shared" si="3"/>
        <v>138.56</v>
      </c>
      <c r="O19" s="1083">
        <f t="shared" si="4"/>
        <v>126.5</v>
      </c>
      <c r="Q19" s="1263">
        <v>177.28</v>
      </c>
      <c r="R19" s="1263">
        <v>160.06</v>
      </c>
      <c r="S19" s="1263">
        <v>144</v>
      </c>
      <c r="U19" s="1265">
        <f t="shared" si="5"/>
        <v>-10.200929247567473</v>
      </c>
      <c r="V19" s="1265">
        <f t="shared" si="6"/>
        <v>9.6694619002759907</v>
      </c>
      <c r="W19" s="1265">
        <f t="shared" si="7"/>
        <v>22.934146149301284</v>
      </c>
    </row>
    <row r="20" spans="2:23" ht="15" thickBot="1">
      <c r="B20" s="161">
        <v>15</v>
      </c>
      <c r="C20" s="530" t="s">
        <v>683</v>
      </c>
      <c r="D20" s="524">
        <f>'Taru_Price VAT Inclusive'!C49</f>
        <v>167.25672267798495</v>
      </c>
      <c r="E20" s="524">
        <f>'Taru_Price VAT Inclusive'!E49</f>
        <v>169.91711382582841</v>
      </c>
      <c r="F20" s="524">
        <f>'Taru_Price VAT Inclusive'!G49</f>
        <v>167.11179807485365</v>
      </c>
      <c r="I20" s="1083">
        <v>148.34</v>
      </c>
      <c r="J20" s="1083">
        <v>129.24</v>
      </c>
      <c r="K20" s="1083">
        <v>117.18</v>
      </c>
      <c r="M20" s="1083">
        <f t="shared" si="2"/>
        <v>157.84</v>
      </c>
      <c r="N20" s="1083">
        <f t="shared" si="3"/>
        <v>138.74</v>
      </c>
      <c r="O20" s="1083">
        <f t="shared" si="4"/>
        <v>126.68</v>
      </c>
      <c r="Q20" s="1263">
        <v>177.46</v>
      </c>
      <c r="R20" s="1263">
        <v>160.24</v>
      </c>
      <c r="S20" s="1263">
        <v>144.18</v>
      </c>
      <c r="U20" s="1265">
        <f t="shared" si="5"/>
        <v>-10.203277322015055</v>
      </c>
      <c r="V20" s="1265">
        <f t="shared" si="6"/>
        <v>9.6771138258283997</v>
      </c>
      <c r="W20" s="1265">
        <f t="shared" si="7"/>
        <v>22.931798074853646</v>
      </c>
    </row>
    <row r="21" spans="2:23" ht="15" thickBot="1">
      <c r="B21" s="161">
        <v>16</v>
      </c>
      <c r="C21" s="530" t="s">
        <v>684</v>
      </c>
      <c r="D21" s="524">
        <f>'Mwatate_Price VAT Inclusive'!C49</f>
        <v>168.59016184454896</v>
      </c>
      <c r="E21" s="524">
        <f>'Mwatate_Price VAT Inclusive'!E49</f>
        <v>171.24055299239242</v>
      </c>
      <c r="F21" s="524">
        <f>'Mwatate_Price VAT Inclusive'!G49</f>
        <v>168.44523724141769</v>
      </c>
      <c r="I21" s="1083">
        <v>149.68</v>
      </c>
      <c r="J21" s="1083">
        <v>130.57</v>
      </c>
      <c r="K21" s="1083">
        <v>118.51</v>
      </c>
      <c r="M21" s="1083">
        <f t="shared" si="2"/>
        <v>159.18</v>
      </c>
      <c r="N21" s="1083">
        <f t="shared" si="3"/>
        <v>140.07</v>
      </c>
      <c r="O21" s="1083">
        <f t="shared" si="4"/>
        <v>128.01</v>
      </c>
      <c r="Q21" s="1263">
        <v>178.79</v>
      </c>
      <c r="R21" s="1263">
        <v>161.57</v>
      </c>
      <c r="S21" s="1263">
        <v>145.51</v>
      </c>
      <c r="U21" s="1265">
        <f t="shared" si="5"/>
        <v>-10.199838155451033</v>
      </c>
      <c r="V21" s="1265">
        <f t="shared" si="6"/>
        <v>9.6705529923924303</v>
      </c>
      <c r="W21" s="1265">
        <f t="shared" si="7"/>
        <v>22.935237241417695</v>
      </c>
    </row>
    <row r="22" spans="2:23" ht="15" thickBot="1">
      <c r="B22" s="161">
        <v>17</v>
      </c>
      <c r="C22" s="530" t="s">
        <v>685</v>
      </c>
      <c r="D22" s="524">
        <f>'Wundanyi_Price VAT Inclusive'!C49</f>
        <v>168.75583863256188</v>
      </c>
      <c r="E22" s="524">
        <f>'Wundanyi_Price VAT Inclusive'!E49</f>
        <v>171.41622978040533</v>
      </c>
      <c r="F22" s="524">
        <f>'Wundanyi_Price VAT Inclusive'!G49</f>
        <v>168.6109140294306</v>
      </c>
      <c r="I22" s="1083">
        <v>149.84</v>
      </c>
      <c r="J22" s="1083">
        <v>130.74</v>
      </c>
      <c r="K22" s="1083">
        <v>118.68</v>
      </c>
      <c r="M22" s="1083">
        <f t="shared" si="2"/>
        <v>159.34</v>
      </c>
      <c r="N22" s="1083">
        <f t="shared" si="3"/>
        <v>140.24</v>
      </c>
      <c r="O22" s="1083">
        <f t="shared" si="4"/>
        <v>128.18</v>
      </c>
      <c r="Q22" s="1263">
        <v>178.96</v>
      </c>
      <c r="R22" s="1263">
        <v>161.74</v>
      </c>
      <c r="S22" s="1263">
        <v>145.68</v>
      </c>
      <c r="U22" s="1265">
        <f t="shared" si="5"/>
        <v>-10.204161367438132</v>
      </c>
      <c r="V22" s="1265">
        <f t="shared" si="6"/>
        <v>9.6762297804053219</v>
      </c>
      <c r="W22" s="1265">
        <f t="shared" si="7"/>
        <v>22.930914029430596</v>
      </c>
    </row>
    <row r="23" spans="2:23" ht="15" thickBot="1">
      <c r="B23" s="161">
        <v>18</v>
      </c>
      <c r="C23" s="530" t="s">
        <v>686</v>
      </c>
      <c r="D23" s="524">
        <f>'Kaloleni_Price VAT Inclusive'!C49</f>
        <v>166.93734423949851</v>
      </c>
      <c r="E23" s="524">
        <f>'Kaloleni_Price VAT Inclusive'!E49</f>
        <v>169.58773538734198</v>
      </c>
      <c r="F23" s="524">
        <f>'Kaloleni_Price VAT Inclusive'!G49</f>
        <v>166.78241963636722</v>
      </c>
      <c r="I23" s="1083">
        <v>148.01</v>
      </c>
      <c r="J23" s="1083">
        <v>128.91999999999999</v>
      </c>
      <c r="K23" s="1083">
        <v>116.85</v>
      </c>
      <c r="M23" s="1083">
        <f t="shared" si="2"/>
        <v>157.51</v>
      </c>
      <c r="N23" s="1083">
        <f t="shared" si="3"/>
        <v>138.41999999999999</v>
      </c>
      <c r="O23" s="1083">
        <f t="shared" si="4"/>
        <v>126.35</v>
      </c>
      <c r="Q23" s="1263">
        <v>177.13</v>
      </c>
      <c r="R23" s="1263">
        <v>159.91999999999999</v>
      </c>
      <c r="S23" s="1263">
        <v>143.85</v>
      </c>
      <c r="U23" s="1265">
        <f t="shared" si="5"/>
        <v>-10.192655760501481</v>
      </c>
      <c r="V23" s="1265">
        <f t="shared" si="6"/>
        <v>9.6677353873419918</v>
      </c>
      <c r="W23" s="1265">
        <f t="shared" si="7"/>
        <v>22.932419636367229</v>
      </c>
    </row>
    <row r="24" spans="2:23" ht="15" thickBot="1">
      <c r="B24" s="161">
        <v>19</v>
      </c>
      <c r="C24" s="530" t="s">
        <v>687</v>
      </c>
      <c r="D24" s="524">
        <f>'Marereni_Price VAT Inclusive'!C49</f>
        <v>168.35460936883874</v>
      </c>
      <c r="E24" s="524">
        <f>'Marereni_Price VAT Inclusive'!E49</f>
        <v>171.01500051668219</v>
      </c>
      <c r="F24" s="524">
        <f>'Marereni_Price VAT Inclusive'!G49</f>
        <v>168.20968476570746</v>
      </c>
      <c r="I24" s="1083">
        <v>149.44</v>
      </c>
      <c r="J24" s="1083">
        <v>130.34</v>
      </c>
      <c r="K24" s="1083">
        <v>118.27</v>
      </c>
      <c r="M24" s="1083">
        <f t="shared" si="2"/>
        <v>158.94</v>
      </c>
      <c r="N24" s="1083">
        <f t="shared" si="3"/>
        <v>139.84</v>
      </c>
      <c r="O24" s="1083">
        <f t="shared" si="4"/>
        <v>127.77</v>
      </c>
      <c r="Q24" s="1263">
        <v>178.56</v>
      </c>
      <c r="R24" s="1263">
        <v>161.34</v>
      </c>
      <c r="S24" s="1263">
        <v>145.27000000000001</v>
      </c>
      <c r="U24" s="1265">
        <f t="shared" si="5"/>
        <v>-10.205390631161265</v>
      </c>
      <c r="V24" s="1265">
        <f t="shared" si="6"/>
        <v>9.6750005166821893</v>
      </c>
      <c r="W24" s="1265">
        <f t="shared" si="7"/>
        <v>22.939684765707455</v>
      </c>
    </row>
    <row r="25" spans="2:23" ht="15" thickBot="1">
      <c r="B25" s="568">
        <v>20</v>
      </c>
      <c r="C25" s="568" t="s">
        <v>32</v>
      </c>
      <c r="D25" s="569">
        <f>'Nairobi_Price VAT Inclusive'!C49</f>
        <v>169.5747020168107</v>
      </c>
      <c r="E25" s="569">
        <f>'Nairobi_Price VAT Inclusive'!E49</f>
        <v>172.23637756817593</v>
      </c>
      <c r="F25" s="569">
        <f>'Nairobi_Price VAT Inclusive'!G49</f>
        <v>169.4298666659783</v>
      </c>
      <c r="I25" s="1082">
        <v>150.12</v>
      </c>
      <c r="J25" s="1082">
        <v>131</v>
      </c>
      <c r="K25" s="1082">
        <v>118.94</v>
      </c>
      <c r="M25" s="1082">
        <f t="shared" si="2"/>
        <v>159.62</v>
      </c>
      <c r="N25" s="1082">
        <f t="shared" si="3"/>
        <v>140.5</v>
      </c>
      <c r="O25" s="1082">
        <f t="shared" si="4"/>
        <v>128.44</v>
      </c>
      <c r="Q25" s="1262">
        <v>179.3</v>
      </c>
      <c r="R25" s="1262">
        <v>162</v>
      </c>
      <c r="S25" s="1262">
        <v>145.94</v>
      </c>
      <c r="U25" s="1265">
        <f t="shared" si="5"/>
        <v>-9.7252979831893072</v>
      </c>
      <c r="V25" s="1265">
        <f t="shared" si="6"/>
        <v>10.236377568175925</v>
      </c>
      <c r="W25" s="1265">
        <f t="shared" si="7"/>
        <v>23.489866665978298</v>
      </c>
    </row>
    <row r="26" spans="2:23" ht="15" thickBot="1">
      <c r="B26" s="161">
        <v>21</v>
      </c>
      <c r="C26" s="530" t="s">
        <v>152</v>
      </c>
      <c r="D26" s="524">
        <f>'Thika_Price VAT Inclusive'!C49</f>
        <v>169.57599127807345</v>
      </c>
      <c r="E26" s="529">
        <f>'Thika_Price VAT Inclusive'!E49</f>
        <v>172.23766682943864</v>
      </c>
      <c r="F26" s="524">
        <f>'Thika_Price VAT Inclusive'!G49</f>
        <v>169.43115592724101</v>
      </c>
      <c r="I26" s="1083">
        <v>150.12</v>
      </c>
      <c r="J26" s="1083">
        <v>131.01</v>
      </c>
      <c r="K26" s="1083">
        <v>118.94</v>
      </c>
      <c r="M26" s="1083">
        <f t="shared" si="2"/>
        <v>159.62</v>
      </c>
      <c r="N26" s="1083">
        <f t="shared" si="3"/>
        <v>140.51</v>
      </c>
      <c r="O26" s="1083">
        <f t="shared" si="4"/>
        <v>128.44</v>
      </c>
      <c r="Q26" s="1263">
        <v>179.31</v>
      </c>
      <c r="R26" s="1263">
        <v>162.01</v>
      </c>
      <c r="S26" s="1263">
        <v>145.94</v>
      </c>
      <c r="U26" s="1265">
        <f t="shared" si="5"/>
        <v>-9.734008721926557</v>
      </c>
      <c r="V26" s="1265">
        <f t="shared" si="6"/>
        <v>10.227666829438647</v>
      </c>
      <c r="W26" s="1265">
        <f t="shared" si="7"/>
        <v>23.49115592724101</v>
      </c>
    </row>
    <row r="27" spans="2:23" ht="15" thickBot="1">
      <c r="B27" s="161">
        <v>22</v>
      </c>
      <c r="C27" s="530" t="s">
        <v>101</v>
      </c>
      <c r="D27" s="524">
        <f>'Machakos_Price VAT Inclusive'!C49</f>
        <v>169.81154375378364</v>
      </c>
      <c r="E27" s="524">
        <f>'Machakos_Price VAT Inclusive'!E49</f>
        <v>172.47321930514886</v>
      </c>
      <c r="F27" s="524">
        <f>'Machakos_Price VAT Inclusive'!G49</f>
        <v>169.6667084029512</v>
      </c>
      <c r="I27" s="1083">
        <v>150.36000000000001</v>
      </c>
      <c r="J27" s="1083">
        <v>131.24</v>
      </c>
      <c r="K27" s="1083">
        <v>119.18</v>
      </c>
      <c r="M27" s="1083">
        <f t="shared" si="2"/>
        <v>159.86000000000001</v>
      </c>
      <c r="N27" s="1083">
        <f t="shared" si="3"/>
        <v>140.74</v>
      </c>
      <c r="O27" s="1083">
        <f t="shared" si="4"/>
        <v>128.68</v>
      </c>
      <c r="Q27" s="1263">
        <v>179.54</v>
      </c>
      <c r="R27" s="1263">
        <v>162.24</v>
      </c>
      <c r="S27" s="1263">
        <v>146.18</v>
      </c>
      <c r="U27" s="1265">
        <f t="shared" si="5"/>
        <v>-9.7284562462163535</v>
      </c>
      <c r="V27" s="1265">
        <f t="shared" si="6"/>
        <v>10.23321930514885</v>
      </c>
      <c r="W27" s="1265">
        <f t="shared" si="7"/>
        <v>23.486708402951194</v>
      </c>
    </row>
    <row r="28" spans="2:23" ht="15" thickBot="1">
      <c r="B28" s="161">
        <v>23</v>
      </c>
      <c r="C28" s="530" t="s">
        <v>108</v>
      </c>
      <c r="D28" s="524">
        <f>'Kajiado_Price VAT Inclusive'!C49</f>
        <v>169.98919567933606</v>
      </c>
      <c r="E28" s="524">
        <f>'Kajiado_Price VAT Inclusive'!E49</f>
        <v>172.65087123070126</v>
      </c>
      <c r="F28" s="524">
        <f>'Kajiado_Price VAT Inclusive'!G49</f>
        <v>169.84436032850363</v>
      </c>
      <c r="I28" s="1083">
        <v>150.54</v>
      </c>
      <c r="J28" s="1083">
        <v>131.41999999999999</v>
      </c>
      <c r="K28" s="1083">
        <v>119.36</v>
      </c>
      <c r="M28" s="1083">
        <f t="shared" si="2"/>
        <v>160.04</v>
      </c>
      <c r="N28" s="1083">
        <f t="shared" si="3"/>
        <v>140.91999999999999</v>
      </c>
      <c r="O28" s="1083">
        <f t="shared" si="4"/>
        <v>128.86000000000001</v>
      </c>
      <c r="Q28" s="1263">
        <v>179.72</v>
      </c>
      <c r="R28" s="1263">
        <v>162.41999999999999</v>
      </c>
      <c r="S28" s="1263">
        <v>146.36000000000001</v>
      </c>
      <c r="U28" s="1265">
        <f t="shared" si="5"/>
        <v>-9.7308043206639354</v>
      </c>
      <c r="V28" s="1265">
        <f t="shared" si="6"/>
        <v>10.230871230701268</v>
      </c>
      <c r="W28" s="1265">
        <f t="shared" si="7"/>
        <v>23.484360328503612</v>
      </c>
    </row>
    <row r="29" spans="2:23" ht="15" thickBot="1">
      <c r="B29" s="161">
        <v>24</v>
      </c>
      <c r="C29" s="530" t="s">
        <v>199</v>
      </c>
      <c r="D29" s="524">
        <f>'Makuyu_Price VAT Inclusive'!C49</f>
        <v>169.8594443039415</v>
      </c>
      <c r="E29" s="524">
        <f>'Makuyu_Price VAT Inclusive'!E49</f>
        <v>172.52111985530669</v>
      </c>
      <c r="F29" s="524">
        <f>'Makuyu_Price VAT Inclusive'!G49</f>
        <v>169.71460895310904</v>
      </c>
      <c r="I29" s="1083">
        <v>150.41</v>
      </c>
      <c r="J29" s="1083">
        <v>131.29</v>
      </c>
      <c r="K29" s="1083">
        <v>119.23</v>
      </c>
      <c r="M29" s="1083">
        <f t="shared" si="2"/>
        <v>159.91</v>
      </c>
      <c r="N29" s="1083">
        <f t="shared" si="3"/>
        <v>140.79</v>
      </c>
      <c r="O29" s="1083">
        <f t="shared" si="4"/>
        <v>128.73000000000002</v>
      </c>
      <c r="Q29" s="1263">
        <v>179.59</v>
      </c>
      <c r="R29" s="1263">
        <v>162.29</v>
      </c>
      <c r="S29" s="1263">
        <v>146.22999999999999</v>
      </c>
      <c r="U29" s="1265">
        <f t="shared" si="5"/>
        <v>-9.7305556960585022</v>
      </c>
      <c r="V29" s="1265">
        <f t="shared" si="6"/>
        <v>10.231119855306702</v>
      </c>
      <c r="W29" s="1265">
        <f t="shared" si="7"/>
        <v>23.484608953109046</v>
      </c>
    </row>
    <row r="30" spans="2:23" ht="15" thickBot="1">
      <c r="B30" s="161">
        <v>25</v>
      </c>
      <c r="C30" s="530" t="s">
        <v>104</v>
      </c>
      <c r="D30" s="524">
        <f>'Muranga_Price VAT Inclusive'!C49</f>
        <v>170.09499677965167</v>
      </c>
      <c r="E30" s="524">
        <f>'Muranga_Price VAT Inclusive'!E49</f>
        <v>172.75667233101692</v>
      </c>
      <c r="F30" s="524">
        <f>'Muranga_Price VAT Inclusive'!G49</f>
        <v>169.95016142881926</v>
      </c>
      <c r="I30" s="1083">
        <v>150.63999999999999</v>
      </c>
      <c r="J30" s="1083">
        <v>131.52000000000001</v>
      </c>
      <c r="K30" s="1083">
        <v>119.46</v>
      </c>
      <c r="M30" s="1083">
        <f t="shared" si="2"/>
        <v>160.13999999999999</v>
      </c>
      <c r="N30" s="1083">
        <f t="shared" si="3"/>
        <v>141.02000000000001</v>
      </c>
      <c r="O30" s="1083">
        <f t="shared" si="4"/>
        <v>128.95999999999998</v>
      </c>
      <c r="Q30" s="1263">
        <v>179.82</v>
      </c>
      <c r="R30" s="1263">
        <v>162.52000000000001</v>
      </c>
      <c r="S30" s="1263">
        <v>146.46</v>
      </c>
      <c r="U30" s="1265">
        <f t="shared" si="5"/>
        <v>-9.7250032203483272</v>
      </c>
      <c r="V30" s="1265">
        <f t="shared" si="6"/>
        <v>10.236672331016905</v>
      </c>
      <c r="W30" s="1265">
        <f t="shared" si="7"/>
        <v>23.490161428819249</v>
      </c>
    </row>
    <row r="31" spans="2:23" ht="15" thickBot="1">
      <c r="B31" s="161">
        <v>26</v>
      </c>
      <c r="C31" s="530" t="s">
        <v>200</v>
      </c>
      <c r="D31" s="524">
        <f>'Sagana_Price VAT Inclusive'!C49</f>
        <v>170.31857411782244</v>
      </c>
      <c r="E31" s="524">
        <f>'Sagana_Price VAT Inclusive'!E49</f>
        <v>172.97024966918767</v>
      </c>
      <c r="F31" s="524">
        <f>'Sagana_Price VAT Inclusive'!G49</f>
        <v>170.17373876699003</v>
      </c>
      <c r="I31" s="1083">
        <v>150.85</v>
      </c>
      <c r="J31" s="1083">
        <v>131.75</v>
      </c>
      <c r="K31" s="1083">
        <v>119.68</v>
      </c>
      <c r="M31" s="1083">
        <f t="shared" si="2"/>
        <v>160.35</v>
      </c>
      <c r="N31" s="1083">
        <f t="shared" si="3"/>
        <v>141.25</v>
      </c>
      <c r="O31" s="1083">
        <f t="shared" si="4"/>
        <v>129.18</v>
      </c>
      <c r="Q31" s="1263">
        <v>180.05</v>
      </c>
      <c r="R31" s="1263">
        <v>162.75</v>
      </c>
      <c r="S31" s="1263">
        <v>146.68</v>
      </c>
      <c r="U31" s="1265">
        <f t="shared" si="5"/>
        <v>-9.7314258821775752</v>
      </c>
      <c r="V31" s="1265">
        <f t="shared" si="6"/>
        <v>10.220249669187666</v>
      </c>
      <c r="W31" s="1265">
        <f t="shared" si="7"/>
        <v>23.49373876699002</v>
      </c>
    </row>
    <row r="32" spans="2:23" ht="15" thickBot="1">
      <c r="B32" s="161">
        <v>27</v>
      </c>
      <c r="C32" s="530" t="s">
        <v>102</v>
      </c>
      <c r="D32" s="524">
        <f>'Embu_Price VAT Inclusive'!C49</f>
        <v>170.67387796892723</v>
      </c>
      <c r="E32" s="524">
        <f>'Embu_Price VAT Inclusive'!E49</f>
        <v>173.33555352029245</v>
      </c>
      <c r="F32" s="524">
        <f>'Embu_Price VAT Inclusive'!G49</f>
        <v>170.52904261809479</v>
      </c>
      <c r="I32" s="1083">
        <v>151.22</v>
      </c>
      <c r="J32" s="1083">
        <v>132.1</v>
      </c>
      <c r="K32" s="1083">
        <v>120.04</v>
      </c>
      <c r="M32" s="1083">
        <f t="shared" si="2"/>
        <v>160.72</v>
      </c>
      <c r="N32" s="1083">
        <f t="shared" si="3"/>
        <v>141.6</v>
      </c>
      <c r="O32" s="1083">
        <f t="shared" si="4"/>
        <v>129.54000000000002</v>
      </c>
      <c r="Q32" s="1263">
        <v>180.4</v>
      </c>
      <c r="R32" s="1263">
        <v>163.1</v>
      </c>
      <c r="S32" s="1263">
        <v>147.04</v>
      </c>
      <c r="U32" s="1265">
        <f t="shared" si="5"/>
        <v>-9.7261220310727765</v>
      </c>
      <c r="V32" s="1265">
        <f t="shared" si="6"/>
        <v>10.235553520292456</v>
      </c>
      <c r="W32" s="1265">
        <f t="shared" si="7"/>
        <v>23.4890426180948</v>
      </c>
    </row>
    <row r="33" spans="2:23" ht="15" thickBot="1">
      <c r="B33" s="161">
        <v>28</v>
      </c>
      <c r="C33" s="530" t="s">
        <v>170</v>
      </c>
      <c r="D33" s="524">
        <f>'Kerugoya_Price VAT Inclusive'!C49</f>
        <v>170.60202714369046</v>
      </c>
      <c r="E33" s="524">
        <f>'Kerugoya_Price VAT Inclusive'!E49</f>
        <v>173.25370269505572</v>
      </c>
      <c r="F33" s="524">
        <f>'Kerugoya_Price VAT Inclusive'!G49</f>
        <v>170.45719179285805</v>
      </c>
      <c r="I33" s="1083">
        <v>151.13999999999999</v>
      </c>
      <c r="J33" s="1083">
        <v>132.03</v>
      </c>
      <c r="K33" s="1083">
        <v>119.97</v>
      </c>
      <c r="M33" s="1083">
        <f t="shared" si="2"/>
        <v>160.63999999999999</v>
      </c>
      <c r="N33" s="1083">
        <f t="shared" si="3"/>
        <v>141.53</v>
      </c>
      <c r="O33" s="1083">
        <f t="shared" si="4"/>
        <v>129.47</v>
      </c>
      <c r="Q33" s="1263">
        <v>180.33</v>
      </c>
      <c r="R33" s="1263">
        <v>163.03</v>
      </c>
      <c r="S33" s="1263">
        <v>146.97</v>
      </c>
      <c r="U33" s="1265">
        <f t="shared" si="5"/>
        <v>-9.7279728563095489</v>
      </c>
      <c r="V33" s="1265">
        <f t="shared" si="6"/>
        <v>10.223702695055721</v>
      </c>
      <c r="W33" s="1265">
        <f t="shared" si="7"/>
        <v>23.487191792858056</v>
      </c>
    </row>
    <row r="34" spans="2:23" ht="15" thickBot="1">
      <c r="B34" s="161">
        <v>29</v>
      </c>
      <c r="C34" s="530" t="s">
        <v>124</v>
      </c>
      <c r="D34" s="524">
        <f>'Narok_Price VAT Inclusive'!C49</f>
        <v>170.95733099479529</v>
      </c>
      <c r="E34" s="524">
        <f>'Narok_Price VAT Inclusive'!E49</f>
        <v>173.61900654616051</v>
      </c>
      <c r="F34" s="524">
        <f>'Narok_Price VAT Inclusive'!G49</f>
        <v>170.81249564396285</v>
      </c>
      <c r="I34" s="1083">
        <v>151.5</v>
      </c>
      <c r="J34" s="1083">
        <v>132.4</v>
      </c>
      <c r="K34" s="1083">
        <v>120.33</v>
      </c>
      <c r="M34" s="1083">
        <f t="shared" si="2"/>
        <v>161</v>
      </c>
      <c r="N34" s="1083">
        <f t="shared" si="3"/>
        <v>141.9</v>
      </c>
      <c r="O34" s="1083">
        <f t="shared" si="4"/>
        <v>129.82999999999998</v>
      </c>
      <c r="Q34" s="1263">
        <v>180.69</v>
      </c>
      <c r="R34" s="1263">
        <v>163.4</v>
      </c>
      <c r="S34" s="1263">
        <v>147.33000000000001</v>
      </c>
      <c r="U34" s="1265">
        <f t="shared" si="5"/>
        <v>-9.7326690052047127</v>
      </c>
      <c r="V34" s="1265">
        <f t="shared" si="6"/>
        <v>10.2190065461605</v>
      </c>
      <c r="W34" s="1265">
        <f t="shared" si="7"/>
        <v>23.482495643962835</v>
      </c>
    </row>
    <row r="35" spans="2:23" ht="15" thickBot="1">
      <c r="B35" s="161">
        <v>30</v>
      </c>
      <c r="C35" s="530" t="s">
        <v>105</v>
      </c>
      <c r="D35" s="524">
        <f>'Nyeri-Price VAT Inclusive'!C49</f>
        <v>170.94535585725581</v>
      </c>
      <c r="E35" s="524">
        <f>'Nyeri-Price VAT Inclusive'!E49</f>
        <v>173.60703140862103</v>
      </c>
      <c r="F35" s="524">
        <f>'Nyeri-Price VAT Inclusive'!G49</f>
        <v>170.8005205064234</v>
      </c>
      <c r="I35" s="1083">
        <v>151.49</v>
      </c>
      <c r="J35" s="1083">
        <v>132.37</v>
      </c>
      <c r="K35" s="1083">
        <v>120.31</v>
      </c>
      <c r="M35" s="1083">
        <f t="shared" si="2"/>
        <v>160.99</v>
      </c>
      <c r="N35" s="1083">
        <f t="shared" si="3"/>
        <v>141.87</v>
      </c>
      <c r="O35" s="1083">
        <f t="shared" si="4"/>
        <v>129.81</v>
      </c>
      <c r="Q35" s="1263">
        <v>180.67</v>
      </c>
      <c r="R35" s="1263">
        <v>163.37</v>
      </c>
      <c r="S35" s="1263">
        <v>147.31</v>
      </c>
      <c r="U35" s="1265">
        <f t="shared" si="5"/>
        <v>-9.7246441427441823</v>
      </c>
      <c r="V35" s="1265">
        <f t="shared" si="6"/>
        <v>10.237031408621021</v>
      </c>
      <c r="W35" s="1265">
        <f t="shared" si="7"/>
        <v>23.490520506423394</v>
      </c>
    </row>
    <row r="36" spans="2:23" ht="15" thickBot="1">
      <c r="B36" s="161">
        <v>31</v>
      </c>
      <c r="C36" s="530" t="s">
        <v>197</v>
      </c>
      <c r="D36" s="524">
        <f>'Namanga_Price VAT Inclusive'!C49</f>
        <v>171.12103264526877</v>
      </c>
      <c r="E36" s="524">
        <f>'Namanga_Price VAT Inclusive'!E49</f>
        <v>173.77270819663397</v>
      </c>
      <c r="F36" s="524">
        <f>'Namanga_Price VAT Inclusive'!G49</f>
        <v>170.96619729443631</v>
      </c>
      <c r="I36" s="1083">
        <v>151.66</v>
      </c>
      <c r="J36" s="1083">
        <v>132.55000000000001</v>
      </c>
      <c r="K36" s="1083">
        <v>120.48</v>
      </c>
      <c r="M36" s="1083">
        <f t="shared" si="2"/>
        <v>161.16</v>
      </c>
      <c r="N36" s="1083">
        <f t="shared" si="3"/>
        <v>142.05000000000001</v>
      </c>
      <c r="O36" s="1083">
        <f t="shared" si="4"/>
        <v>129.98000000000002</v>
      </c>
      <c r="Q36" s="1263">
        <v>180.85</v>
      </c>
      <c r="R36" s="1263">
        <v>163.55000000000001</v>
      </c>
      <c r="S36" s="1263">
        <v>147.47999999999999</v>
      </c>
      <c r="U36" s="1265">
        <f t="shared" si="5"/>
        <v>-9.7289673547312248</v>
      </c>
      <c r="V36" s="1265">
        <f t="shared" si="6"/>
        <v>10.22270819663396</v>
      </c>
      <c r="W36" s="1265">
        <f t="shared" si="7"/>
        <v>23.486197294436323</v>
      </c>
    </row>
    <row r="37" spans="2:23" ht="15" thickBot="1">
      <c r="B37" s="161">
        <v>32</v>
      </c>
      <c r="C37" s="530" t="s">
        <v>198</v>
      </c>
      <c r="D37" s="524">
        <f>'Kiganjo_Price VAT Inclusive'!C49</f>
        <v>170.90943044463742</v>
      </c>
      <c r="E37" s="524">
        <f>'Kiganjo_Price VAT Inclusive'!E49</f>
        <v>173.57110599600264</v>
      </c>
      <c r="F37" s="524">
        <f>'Kiganjo_Price VAT Inclusive'!G49</f>
        <v>170.76459509380501</v>
      </c>
      <c r="I37" s="1083">
        <v>151.46</v>
      </c>
      <c r="J37" s="1083">
        <v>132.34</v>
      </c>
      <c r="K37" s="1083">
        <v>120.28</v>
      </c>
      <c r="M37" s="1083">
        <f t="shared" si="2"/>
        <v>160.96</v>
      </c>
      <c r="N37" s="1083">
        <f t="shared" si="3"/>
        <v>141.84</v>
      </c>
      <c r="O37" s="1083">
        <f t="shared" si="4"/>
        <v>129.78</v>
      </c>
      <c r="Q37" s="1263">
        <v>180.64</v>
      </c>
      <c r="R37" s="1263">
        <v>163.34</v>
      </c>
      <c r="S37" s="1263">
        <v>147.28</v>
      </c>
      <c r="U37" s="1265">
        <f t="shared" si="5"/>
        <v>-9.730569555362564</v>
      </c>
      <c r="V37" s="1265">
        <f t="shared" si="6"/>
        <v>10.23110599600264</v>
      </c>
      <c r="W37" s="1265">
        <f t="shared" si="7"/>
        <v>23.484595093805012</v>
      </c>
    </row>
    <row r="38" spans="2:23" ht="15" thickBot="1">
      <c r="B38" s="161">
        <v>33</v>
      </c>
      <c r="C38" s="530" t="s">
        <v>202</v>
      </c>
      <c r="D38" s="524">
        <f>'Chuka_Price VAT Inclusive'!C49</f>
        <v>171.20485860804496</v>
      </c>
      <c r="E38" s="524">
        <f>'Chuka_Price VAT Inclusive'!E49</f>
        <v>173.86653415941018</v>
      </c>
      <c r="F38" s="524">
        <f>'Chuka_Price VAT Inclusive'!G49</f>
        <v>171.06002325721252</v>
      </c>
      <c r="I38" s="1083">
        <v>151.75</v>
      </c>
      <c r="J38" s="1083">
        <v>132.63</v>
      </c>
      <c r="K38" s="1083">
        <v>120.57</v>
      </c>
      <c r="M38" s="1083">
        <f t="shared" si="2"/>
        <v>161.25</v>
      </c>
      <c r="N38" s="1083">
        <f t="shared" si="3"/>
        <v>142.13</v>
      </c>
      <c r="O38" s="1083">
        <f t="shared" si="4"/>
        <v>130.07</v>
      </c>
      <c r="Q38" s="1263">
        <v>180.93</v>
      </c>
      <c r="R38" s="1263">
        <v>163.63</v>
      </c>
      <c r="S38" s="1263">
        <v>147.57</v>
      </c>
      <c r="U38" s="1265">
        <f t="shared" si="5"/>
        <v>-9.7251413919550487</v>
      </c>
      <c r="V38" s="1265">
        <f t="shared" si="6"/>
        <v>10.236534159410184</v>
      </c>
      <c r="W38" s="1265">
        <f t="shared" si="7"/>
        <v>23.490023257212528</v>
      </c>
    </row>
    <row r="39" spans="2:23" ht="15" thickBot="1">
      <c r="B39" s="161">
        <v>34</v>
      </c>
      <c r="C39" s="530" t="s">
        <v>103</v>
      </c>
      <c r="D39" s="524">
        <f>'Kitui_Price VAT Inclusive'!C49</f>
        <v>171.09905750772927</v>
      </c>
      <c r="E39" s="524">
        <f>'Kitui_Price VAT Inclusive'!E49</f>
        <v>173.76073305909452</v>
      </c>
      <c r="F39" s="524">
        <f>'Kitui_Price VAT Inclusive'!G49</f>
        <v>170.95422215689686</v>
      </c>
      <c r="I39" s="1083">
        <v>151.65</v>
      </c>
      <c r="J39" s="1083">
        <v>132.54</v>
      </c>
      <c r="K39" s="1083">
        <v>120.47</v>
      </c>
      <c r="M39" s="1083">
        <f t="shared" si="2"/>
        <v>161.15</v>
      </c>
      <c r="N39" s="1083">
        <f t="shared" si="3"/>
        <v>142.04</v>
      </c>
      <c r="O39" s="1083">
        <f t="shared" si="4"/>
        <v>129.97</v>
      </c>
      <c r="Q39" s="1263">
        <v>180.84</v>
      </c>
      <c r="R39" s="1263">
        <v>163.54</v>
      </c>
      <c r="S39" s="1263">
        <v>147.47</v>
      </c>
      <c r="U39" s="1265">
        <f t="shared" si="5"/>
        <v>-9.7409424922707331</v>
      </c>
      <c r="V39" s="1265">
        <f t="shared" si="6"/>
        <v>10.220733059094528</v>
      </c>
      <c r="W39" s="1265">
        <f t="shared" si="7"/>
        <v>23.484222156896863</v>
      </c>
    </row>
    <row r="40" spans="2:23" ht="15" thickBot="1">
      <c r="B40" s="161">
        <v>35</v>
      </c>
      <c r="C40" s="530" t="s">
        <v>169</v>
      </c>
      <c r="D40" s="524">
        <f>'Mwingi_Price VAT Inclusive'!C49</f>
        <v>171.48831163391299</v>
      </c>
      <c r="E40" s="524">
        <f>'Mwingi_Price VAT Inclusive'!E49</f>
        <v>174.14998718527821</v>
      </c>
      <c r="F40" s="524">
        <f>'Mwingi_Price VAT Inclusive'!G49</f>
        <v>171.34347628308055</v>
      </c>
      <c r="I40" s="1083">
        <v>152.03</v>
      </c>
      <c r="J40" s="1083">
        <v>132.93</v>
      </c>
      <c r="K40" s="1083">
        <v>120.86</v>
      </c>
      <c r="M40" s="1083">
        <f t="shared" si="2"/>
        <v>161.53</v>
      </c>
      <c r="N40" s="1083">
        <f t="shared" si="3"/>
        <v>142.43</v>
      </c>
      <c r="O40" s="1083">
        <f t="shared" si="4"/>
        <v>130.36000000000001</v>
      </c>
      <c r="Q40" s="1263">
        <v>181.22</v>
      </c>
      <c r="R40" s="1263">
        <v>163.93</v>
      </c>
      <c r="S40" s="1263">
        <v>147.86000000000001</v>
      </c>
      <c r="U40" s="1265">
        <f t="shared" si="5"/>
        <v>-9.7316883660870133</v>
      </c>
      <c r="V40" s="1265">
        <f t="shared" si="6"/>
        <v>10.2199871852782</v>
      </c>
      <c r="W40" s="1265">
        <f t="shared" si="7"/>
        <v>23.483476283080535</v>
      </c>
    </row>
    <row r="41" spans="2:23" ht="15" thickBot="1">
      <c r="B41" s="161">
        <v>36</v>
      </c>
      <c r="C41" s="530" t="s">
        <v>106</v>
      </c>
      <c r="D41" s="524">
        <f>'Nanyuki_Price VAT Inclusive'!C49</f>
        <v>171.50028677145247</v>
      </c>
      <c r="E41" s="524">
        <f>'Nanyuki_Price VAT Inclusive'!E49</f>
        <v>174.16196232281769</v>
      </c>
      <c r="F41" s="524">
        <f>'Nanyuki_Price VAT Inclusive'!G49</f>
        <v>171.35545142062003</v>
      </c>
      <c r="I41" s="1083">
        <v>152.05000000000001</v>
      </c>
      <c r="J41" s="1083">
        <v>132.94</v>
      </c>
      <c r="K41" s="1083">
        <v>120.87</v>
      </c>
      <c r="M41" s="1083">
        <f t="shared" si="2"/>
        <v>161.55000000000001</v>
      </c>
      <c r="N41" s="1083">
        <f t="shared" si="3"/>
        <v>142.44</v>
      </c>
      <c r="O41" s="1083">
        <f t="shared" si="4"/>
        <v>130.37</v>
      </c>
      <c r="Q41" s="1263">
        <v>181.23</v>
      </c>
      <c r="R41" s="1263">
        <v>163.94</v>
      </c>
      <c r="S41" s="1263">
        <v>147.87</v>
      </c>
      <c r="U41" s="1265">
        <f t="shared" si="5"/>
        <v>-9.7297132285475243</v>
      </c>
      <c r="V41" s="1265">
        <f t="shared" si="6"/>
        <v>10.221962322817689</v>
      </c>
      <c r="W41" s="1265">
        <f t="shared" si="7"/>
        <v>23.485451420620024</v>
      </c>
    </row>
    <row r="42" spans="2:23" ht="15" thickBot="1">
      <c r="B42" s="161">
        <v>37</v>
      </c>
      <c r="C42" s="530" t="s">
        <v>201</v>
      </c>
      <c r="D42" s="524">
        <f>'Nkubu_Price VAT Inclusive'!C49</f>
        <v>172.47842208691171</v>
      </c>
      <c r="E42" s="524">
        <f>'Nkubu_Price VAT Inclusive'!E49</f>
        <v>175.13009763827691</v>
      </c>
      <c r="F42" s="524">
        <f>'Nkubu_Price VAT Inclusive'!G49</f>
        <v>172.33358673607927</v>
      </c>
      <c r="I42" s="1083">
        <v>153.01</v>
      </c>
      <c r="J42" s="1083">
        <v>133.91</v>
      </c>
      <c r="K42" s="1083">
        <v>121.84</v>
      </c>
      <c r="M42" s="1083">
        <f t="shared" si="2"/>
        <v>162.51</v>
      </c>
      <c r="N42" s="1083">
        <f t="shared" si="3"/>
        <v>143.41</v>
      </c>
      <c r="O42" s="1083">
        <f t="shared" si="4"/>
        <v>131.34</v>
      </c>
      <c r="Q42" s="1264">
        <v>182.21</v>
      </c>
      <c r="R42" s="1264">
        <v>164.91</v>
      </c>
      <c r="S42" s="1264">
        <v>148.84</v>
      </c>
      <c r="U42" s="1265">
        <f t="shared" si="5"/>
        <v>-9.7315779130883016</v>
      </c>
      <c r="V42" s="1265">
        <f t="shared" si="6"/>
        <v>10.220097638276911</v>
      </c>
      <c r="W42" s="1265">
        <f t="shared" si="7"/>
        <v>23.493586736079266</v>
      </c>
    </row>
    <row r="43" spans="2:23" ht="15" thickBot="1">
      <c r="B43" s="161">
        <v>38</v>
      </c>
      <c r="C43" s="530" t="s">
        <v>165</v>
      </c>
      <c r="D43" s="524">
        <f>'Mtito Andei_Price VAT Inclusive'!C49</f>
        <v>172.00731713549129</v>
      </c>
      <c r="E43" s="524">
        <f>'Mtito Andei_Price VAT Inclusive'!E49</f>
        <v>174.66899268685648</v>
      </c>
      <c r="F43" s="524">
        <f>'Mtito Andei_Price VAT Inclusive'!G49</f>
        <v>171.86248178465883</v>
      </c>
      <c r="I43" s="1083">
        <v>152.55000000000001</v>
      </c>
      <c r="J43" s="1083">
        <v>133.44</v>
      </c>
      <c r="K43" s="1083">
        <v>121.38</v>
      </c>
      <c r="M43" s="1083">
        <f t="shared" si="2"/>
        <v>162.05000000000001</v>
      </c>
      <c r="N43" s="1083">
        <f t="shared" si="3"/>
        <v>142.94</v>
      </c>
      <c r="O43" s="1083">
        <f t="shared" si="4"/>
        <v>130.88</v>
      </c>
      <c r="Q43" s="1263">
        <v>181.74</v>
      </c>
      <c r="R43" s="1263">
        <v>164.44</v>
      </c>
      <c r="S43" s="1263">
        <v>148.38</v>
      </c>
      <c r="U43" s="1265">
        <f t="shared" si="5"/>
        <v>-9.7326828645087176</v>
      </c>
      <c r="V43" s="1265">
        <f t="shared" si="6"/>
        <v>10.228992686856486</v>
      </c>
      <c r="W43" s="1265">
        <f t="shared" si="7"/>
        <v>23.48248178465883</v>
      </c>
    </row>
    <row r="44" spans="2:23" ht="15" thickBot="1">
      <c r="B44" s="161">
        <v>39</v>
      </c>
      <c r="C44" s="530" t="s">
        <v>67</v>
      </c>
      <c r="D44" s="524">
        <f>'Meru-Price VAT Inclusive'!C49</f>
        <v>172.66804915000355</v>
      </c>
      <c r="E44" s="524">
        <f>'Meru-Price VAT Inclusive'!E49</f>
        <v>175.32972470136878</v>
      </c>
      <c r="F44" s="524">
        <f>'Meru-Price VAT Inclusive'!G49</f>
        <v>172.52321379917112</v>
      </c>
      <c r="I44" s="1083">
        <v>153.21</v>
      </c>
      <c r="J44" s="1083">
        <v>134.1</v>
      </c>
      <c r="K44" s="1083">
        <v>122.04</v>
      </c>
      <c r="M44" s="1083">
        <f t="shared" si="2"/>
        <v>162.71</v>
      </c>
      <c r="N44" s="1083">
        <f t="shared" si="3"/>
        <v>143.6</v>
      </c>
      <c r="O44" s="1083">
        <f t="shared" si="4"/>
        <v>131.54000000000002</v>
      </c>
      <c r="Q44" s="1263">
        <v>182.4</v>
      </c>
      <c r="R44" s="1263">
        <v>165.1</v>
      </c>
      <c r="S44" s="1263">
        <v>149.04</v>
      </c>
      <c r="U44" s="1265">
        <f t="shared" si="5"/>
        <v>-9.7319508499964513</v>
      </c>
      <c r="V44" s="1265">
        <f t="shared" si="6"/>
        <v>10.229724701368781</v>
      </c>
      <c r="W44" s="1265">
        <f t="shared" si="7"/>
        <v>23.483213799171125</v>
      </c>
    </row>
    <row r="45" spans="2:23" ht="15" thickBot="1">
      <c r="B45" s="161">
        <v>40</v>
      </c>
      <c r="C45" s="530" t="s">
        <v>107</v>
      </c>
      <c r="D45" s="524">
        <f>'Isiolo_Price VAT Inclusive'!C49</f>
        <v>172.52632263706951</v>
      </c>
      <c r="E45" s="529">
        <f>'Isiolo_Price VAT Inclusive'!E49</f>
        <v>175.18799818843473</v>
      </c>
      <c r="F45" s="524">
        <f>'Isiolo_Price VAT Inclusive'!G49</f>
        <v>172.3814872862371</v>
      </c>
      <c r="I45" s="1083">
        <v>153.07</v>
      </c>
      <c r="J45" s="1083">
        <v>133.96</v>
      </c>
      <c r="K45" s="1083">
        <v>121.89</v>
      </c>
      <c r="M45" s="1083">
        <f t="shared" si="2"/>
        <v>162.57</v>
      </c>
      <c r="N45" s="1083">
        <f t="shared" si="3"/>
        <v>143.46</v>
      </c>
      <c r="O45" s="1083">
        <f t="shared" si="4"/>
        <v>131.38999999999999</v>
      </c>
      <c r="Q45" s="1263">
        <v>182.26</v>
      </c>
      <c r="R45" s="1263">
        <v>164.96</v>
      </c>
      <c r="S45" s="1263">
        <v>148.88999999999999</v>
      </c>
      <c r="U45" s="1265">
        <f t="shared" si="5"/>
        <v>-9.7336773629304787</v>
      </c>
      <c r="V45" s="1265">
        <f t="shared" si="6"/>
        <v>10.227998188434725</v>
      </c>
      <c r="W45" s="1265">
        <f t="shared" si="7"/>
        <v>23.491487286237117</v>
      </c>
    </row>
    <row r="46" spans="2:23" ht="15" thickBot="1">
      <c r="B46" s="161">
        <v>41</v>
      </c>
      <c r="C46" s="530" t="s">
        <v>173</v>
      </c>
      <c r="D46" s="524">
        <f>'Maua_Price VAT Inclusive'!C49</f>
        <v>173.1171789638845</v>
      </c>
      <c r="E46" s="524">
        <f>'Maua_Price VAT Inclusive'!E49</f>
        <v>175.77885451524975</v>
      </c>
      <c r="F46" s="524">
        <f>'Maua_Price VAT Inclusive'!G49</f>
        <v>172.97234361305209</v>
      </c>
      <c r="I46" s="1083">
        <v>153.66</v>
      </c>
      <c r="J46" s="1083">
        <v>134.56</v>
      </c>
      <c r="K46" s="1083">
        <v>122.49</v>
      </c>
      <c r="M46" s="1083">
        <f t="shared" si="2"/>
        <v>163.16</v>
      </c>
      <c r="N46" s="1083">
        <f t="shared" si="3"/>
        <v>144.06</v>
      </c>
      <c r="O46" s="1083">
        <f t="shared" si="4"/>
        <v>131.99</v>
      </c>
      <c r="Q46" s="1263">
        <v>182.85</v>
      </c>
      <c r="R46" s="1263">
        <v>165.56</v>
      </c>
      <c r="S46" s="1263">
        <v>149.49</v>
      </c>
      <c r="U46" s="1265">
        <f t="shared" si="5"/>
        <v>-9.7328210361154959</v>
      </c>
      <c r="V46" s="1265">
        <f t="shared" si="6"/>
        <v>10.218854515249745</v>
      </c>
      <c r="W46" s="1265">
        <f t="shared" si="7"/>
        <v>23.48234361305208</v>
      </c>
    </row>
    <row r="47" spans="2:23" ht="15" thickBot="1">
      <c r="B47" s="161">
        <v>42</v>
      </c>
      <c r="C47" s="530" t="s">
        <v>144</v>
      </c>
      <c r="D47" s="524">
        <f>'Garissa_Price VAT Inclusive'!C49</f>
        <v>173.74198556577846</v>
      </c>
      <c r="E47" s="524">
        <f>'Garissa_Price VAT Inclusive'!E49</f>
        <v>176.40366111714366</v>
      </c>
      <c r="F47" s="524">
        <f>'Garissa_Price VAT Inclusive'!G49</f>
        <v>173.597150214946</v>
      </c>
      <c r="I47" s="1083">
        <v>154.29</v>
      </c>
      <c r="J47" s="1083">
        <v>135.16999999999999</v>
      </c>
      <c r="K47" s="1083">
        <v>123.11</v>
      </c>
      <c r="M47" s="1083">
        <f t="shared" si="2"/>
        <v>163.79</v>
      </c>
      <c r="N47" s="1083">
        <f t="shared" si="3"/>
        <v>144.66999999999999</v>
      </c>
      <c r="O47" s="1083">
        <f t="shared" si="4"/>
        <v>132.61000000000001</v>
      </c>
      <c r="Q47" s="1263">
        <v>183.47</v>
      </c>
      <c r="R47" s="1263">
        <v>166.17</v>
      </c>
      <c r="S47" s="1263">
        <v>150.11000000000001</v>
      </c>
      <c r="U47" s="1265">
        <f t="shared" si="5"/>
        <v>-9.7280144342215351</v>
      </c>
      <c r="V47" s="1265">
        <f t="shared" si="6"/>
        <v>10.233661117143669</v>
      </c>
      <c r="W47" s="1265">
        <f t="shared" si="7"/>
        <v>23.487150214945984</v>
      </c>
    </row>
    <row r="48" spans="2:23" ht="15" thickBot="1">
      <c r="B48" s="161">
        <v>43</v>
      </c>
      <c r="C48" s="530" t="s">
        <v>109</v>
      </c>
      <c r="D48" s="524">
        <f>'Marsabit_Price VAT Inclusive'!C49</f>
        <v>177.42489976452356</v>
      </c>
      <c r="E48" s="524">
        <f>'Marsabit_Price VAT Inclusive'!E49</f>
        <v>180.08657531588878</v>
      </c>
      <c r="F48" s="524">
        <f>'Marsabit_Price VAT Inclusive'!G49</f>
        <v>177.28006441369112</v>
      </c>
      <c r="I48" s="1083">
        <v>157.97</v>
      </c>
      <c r="J48" s="1083">
        <v>138.85</v>
      </c>
      <c r="K48" s="1083">
        <v>126.79</v>
      </c>
      <c r="M48" s="1083">
        <f t="shared" si="2"/>
        <v>167.47</v>
      </c>
      <c r="N48" s="1083">
        <f t="shared" si="3"/>
        <v>148.35</v>
      </c>
      <c r="O48" s="1083">
        <f t="shared" si="4"/>
        <v>136.29000000000002</v>
      </c>
      <c r="Q48" s="1263">
        <v>187.15</v>
      </c>
      <c r="R48" s="1263">
        <v>169.85</v>
      </c>
      <c r="S48" s="1263">
        <v>153.79</v>
      </c>
      <c r="U48" s="1265">
        <f t="shared" si="5"/>
        <v>-9.7251002354764466</v>
      </c>
      <c r="V48" s="1265">
        <f t="shared" si="6"/>
        <v>10.236575315888786</v>
      </c>
      <c r="W48" s="1265">
        <f t="shared" si="7"/>
        <v>23.49006441369113</v>
      </c>
    </row>
    <row r="49" spans="2:23" ht="15" thickBot="1">
      <c r="B49" s="161">
        <v>44</v>
      </c>
      <c r="C49" s="530" t="s">
        <v>203</v>
      </c>
      <c r="D49" s="524">
        <f>'Liboi_Price VAT Inclusive'!C49</f>
        <v>176.50466499922214</v>
      </c>
      <c r="E49" s="524">
        <f>'Liboi_Price VAT Inclusive'!E49</f>
        <v>179.16634055058736</v>
      </c>
      <c r="F49" s="524">
        <f>'Liboi_Price VAT Inclusive'!G49</f>
        <v>176.35982964838971</v>
      </c>
      <c r="I49" s="1083">
        <v>157.05000000000001</v>
      </c>
      <c r="J49" s="1083">
        <v>137.94</v>
      </c>
      <c r="K49" s="1083">
        <v>125.87</v>
      </c>
      <c r="M49" s="1083">
        <f t="shared" si="2"/>
        <v>166.55</v>
      </c>
      <c r="N49" s="1083">
        <f t="shared" si="3"/>
        <v>147.44</v>
      </c>
      <c r="O49" s="1083">
        <f t="shared" si="4"/>
        <v>135.37</v>
      </c>
      <c r="Q49" s="1263">
        <v>186.24</v>
      </c>
      <c r="R49" s="1263">
        <v>168.94</v>
      </c>
      <c r="S49" s="1263">
        <v>152.87</v>
      </c>
      <c r="U49" s="1265">
        <f t="shared" si="5"/>
        <v>-9.7353350007778658</v>
      </c>
      <c r="V49" s="1265">
        <f t="shared" si="6"/>
        <v>10.226340550587366</v>
      </c>
      <c r="W49" s="1265">
        <f t="shared" si="7"/>
        <v>23.489829648389701</v>
      </c>
    </row>
    <row r="50" spans="2:23" ht="15" thickBot="1">
      <c r="B50" s="161">
        <v>45</v>
      </c>
      <c r="C50" s="528" t="s">
        <v>493</v>
      </c>
      <c r="D50" s="524">
        <f>'Moyale_Price VAT Inclusive'!C49</f>
        <v>179.00586654433721</v>
      </c>
      <c r="E50" s="524">
        <f>'Moyale_Price VAT Inclusive'!E49</f>
        <v>181.66754209570246</v>
      </c>
      <c r="F50" s="524">
        <f>'Moyale_Price VAT Inclusive'!G49</f>
        <v>178.8610311935048</v>
      </c>
      <c r="I50" s="1083">
        <v>159.55000000000001</v>
      </c>
      <c r="J50" s="1083">
        <v>140.44</v>
      </c>
      <c r="K50" s="1083">
        <v>128.37</v>
      </c>
      <c r="M50" s="1083">
        <f t="shared" si="2"/>
        <v>169.05</v>
      </c>
      <c r="N50" s="1083">
        <f t="shared" si="3"/>
        <v>149.94</v>
      </c>
      <c r="O50" s="1083">
        <f t="shared" si="4"/>
        <v>137.87</v>
      </c>
      <c r="Q50" s="1263">
        <v>188.74</v>
      </c>
      <c r="R50" s="1263">
        <v>171.44</v>
      </c>
      <c r="S50" s="1263">
        <v>155.37</v>
      </c>
      <c r="U50" s="1265">
        <f t="shared" si="5"/>
        <v>-9.7341334556627999</v>
      </c>
      <c r="V50" s="1265">
        <f t="shared" si="6"/>
        <v>10.227542095702461</v>
      </c>
      <c r="W50" s="1265">
        <f t="shared" si="7"/>
        <v>23.491031193504796</v>
      </c>
    </row>
    <row r="51" spans="2:23" ht="15" thickBot="1">
      <c r="B51" s="161">
        <v>46</v>
      </c>
      <c r="C51" s="528" t="s">
        <v>494</v>
      </c>
      <c r="D51" s="524">
        <f>'Sololo_Price VAT Inclusive'!C49</f>
        <v>178.06168150395689</v>
      </c>
      <c r="E51" s="524">
        <f>'Sololo_Price VAT Inclusive'!E49</f>
        <v>180.72335705532214</v>
      </c>
      <c r="F51" s="524">
        <f>'Sololo_Price VAT Inclusive'!G49</f>
        <v>177.91684615312448</v>
      </c>
      <c r="I51" s="1083">
        <v>158.61000000000001</v>
      </c>
      <c r="J51" s="1083">
        <v>139.49</v>
      </c>
      <c r="K51" s="1083">
        <v>127.43</v>
      </c>
      <c r="M51" s="1083">
        <f t="shared" si="2"/>
        <v>168.11</v>
      </c>
      <c r="N51" s="1083">
        <f t="shared" si="3"/>
        <v>148.99</v>
      </c>
      <c r="O51" s="1083">
        <f t="shared" si="4"/>
        <v>136.93</v>
      </c>
      <c r="Q51" s="1263">
        <v>187.79</v>
      </c>
      <c r="R51" s="1263">
        <v>170.49</v>
      </c>
      <c r="S51" s="1263">
        <v>154.43</v>
      </c>
      <c r="U51" s="1265">
        <f t="shared" si="5"/>
        <v>-9.7283184960431015</v>
      </c>
      <c r="V51" s="1265">
        <f t="shared" si="6"/>
        <v>10.233357055322131</v>
      </c>
      <c r="W51" s="1265">
        <f t="shared" si="7"/>
        <v>23.486846153124475</v>
      </c>
    </row>
    <row r="52" spans="2:23" ht="15" thickBot="1">
      <c r="B52" s="161">
        <v>47</v>
      </c>
      <c r="C52" s="528" t="s">
        <v>495</v>
      </c>
      <c r="D52" s="524">
        <f>'Habaswein_Price VAT Inclusive'!C49</f>
        <v>176.43281417398538</v>
      </c>
      <c r="E52" s="524">
        <f>'Habaswein_Price VAT Inclusive'!E49</f>
        <v>179.09448972535063</v>
      </c>
      <c r="F52" s="524">
        <f>'Habaswein_Price VAT Inclusive'!G49</f>
        <v>176.28797882315297</v>
      </c>
      <c r="I52" s="1083">
        <v>156.97999999999999</v>
      </c>
      <c r="J52" s="1083">
        <v>137.86000000000001</v>
      </c>
      <c r="K52" s="1083">
        <v>125.8</v>
      </c>
      <c r="M52" s="1083">
        <f t="shared" si="2"/>
        <v>166.48</v>
      </c>
      <c r="N52" s="1083">
        <f t="shared" si="3"/>
        <v>147.36000000000001</v>
      </c>
      <c r="O52" s="1083">
        <f t="shared" si="4"/>
        <v>135.30000000000001</v>
      </c>
      <c r="Q52" s="1264">
        <v>186.16</v>
      </c>
      <c r="R52" s="1264">
        <v>168.86</v>
      </c>
      <c r="S52" s="1264">
        <v>152.80000000000001</v>
      </c>
      <c r="U52" s="1265">
        <f t="shared" si="5"/>
        <v>-9.7271858260146189</v>
      </c>
      <c r="V52" s="1265">
        <f t="shared" si="6"/>
        <v>10.234489725350613</v>
      </c>
      <c r="W52" s="1265">
        <f t="shared" si="7"/>
        <v>23.487978823152957</v>
      </c>
    </row>
    <row r="53" spans="2:23" ht="15" thickBot="1">
      <c r="B53" s="161">
        <v>48</v>
      </c>
      <c r="C53" s="528" t="s">
        <v>496</v>
      </c>
      <c r="D53" s="524">
        <f>'Dadaab_Price VAT Inclusive'!C49</f>
        <v>175.1233252825003</v>
      </c>
      <c r="E53" s="524">
        <f>'Dadaab_Price VAT Inclusive'!E49</f>
        <v>177.7850008338655</v>
      </c>
      <c r="F53" s="524">
        <f>'Dadaab_Price VAT Inclusive'!G49</f>
        <v>174.97848993166787</v>
      </c>
      <c r="I53" s="1083">
        <v>155.66999999999999</v>
      </c>
      <c r="J53" s="1083">
        <v>136.55000000000001</v>
      </c>
      <c r="K53" s="1083">
        <v>124.49</v>
      </c>
      <c r="M53" s="1083">
        <f t="shared" si="2"/>
        <v>165.17</v>
      </c>
      <c r="N53" s="1083">
        <f t="shared" si="3"/>
        <v>146.05000000000001</v>
      </c>
      <c r="O53" s="1083">
        <f t="shared" si="4"/>
        <v>133.99</v>
      </c>
      <c r="Q53" s="1263">
        <v>184.85</v>
      </c>
      <c r="R53" s="1263">
        <v>167.55</v>
      </c>
      <c r="S53" s="1263">
        <v>151.49</v>
      </c>
      <c r="U53" s="1265">
        <f t="shared" si="5"/>
        <v>-9.7266747174996908</v>
      </c>
      <c r="V53" s="1265">
        <f t="shared" si="6"/>
        <v>10.235000833865485</v>
      </c>
      <c r="W53" s="1265">
        <f t="shared" si="7"/>
        <v>23.488489931667857</v>
      </c>
    </row>
    <row r="54" spans="2:23" ht="15" thickBot="1">
      <c r="B54" s="161">
        <v>49</v>
      </c>
      <c r="C54" s="528" t="s">
        <v>497</v>
      </c>
      <c r="D54" s="524">
        <f>'Tarbaj_Price VAT Inclusive'!C49</f>
        <v>178.68648810585086</v>
      </c>
      <c r="E54" s="529">
        <f>'Tarbaj_Price VAT Inclusive'!E49</f>
        <v>181.33816365721606</v>
      </c>
      <c r="F54" s="524">
        <f>'Tarbaj_Price VAT Inclusive'!G49</f>
        <v>178.5316527550184</v>
      </c>
      <c r="I54" s="1083">
        <v>159.22</v>
      </c>
      <c r="J54" s="1083">
        <v>140.12</v>
      </c>
      <c r="K54" s="1083">
        <v>128.04</v>
      </c>
      <c r="M54" s="1083">
        <f t="shared" si="2"/>
        <v>168.72</v>
      </c>
      <c r="N54" s="1083">
        <f t="shared" si="3"/>
        <v>149.62</v>
      </c>
      <c r="O54" s="1083">
        <f t="shared" si="4"/>
        <v>137.54</v>
      </c>
      <c r="Q54" s="1263">
        <v>188.42</v>
      </c>
      <c r="R54" s="1263">
        <v>171.12</v>
      </c>
      <c r="S54" s="1263">
        <v>155.04</v>
      </c>
      <c r="U54" s="1265">
        <f t="shared" si="5"/>
        <v>-9.7335118941491316</v>
      </c>
      <c r="V54" s="1265">
        <f t="shared" si="6"/>
        <v>10.218163657216053</v>
      </c>
      <c r="W54" s="1265">
        <f t="shared" si="7"/>
        <v>23.491652755018407</v>
      </c>
    </row>
    <row r="55" spans="2:23" ht="15" thickBot="1">
      <c r="B55" s="161">
        <v>50</v>
      </c>
      <c r="C55" s="528" t="s">
        <v>498</v>
      </c>
      <c r="D55" s="524">
        <f>'Elwak_Price VAT Inclusive'!C49</f>
        <v>180.28140516074345</v>
      </c>
      <c r="E55" s="524">
        <f>'Elwak_Price VAT Inclusive'!E49</f>
        <v>182.94308071210867</v>
      </c>
      <c r="F55" s="524">
        <f>'Elwak_Price VAT Inclusive'!G49</f>
        <v>180.13656980991101</v>
      </c>
      <c r="I55" s="1083">
        <v>160.83000000000001</v>
      </c>
      <c r="J55" s="1083">
        <v>141.72</v>
      </c>
      <c r="K55" s="1083">
        <v>129.65</v>
      </c>
      <c r="M55" s="1083">
        <f t="shared" si="2"/>
        <v>170.33</v>
      </c>
      <c r="N55" s="1083">
        <f t="shared" si="3"/>
        <v>151.22</v>
      </c>
      <c r="O55" s="1083">
        <f t="shared" si="4"/>
        <v>139.15</v>
      </c>
      <c r="Q55" s="1263">
        <v>190.02</v>
      </c>
      <c r="R55" s="1263">
        <v>172.72</v>
      </c>
      <c r="S55" s="1263">
        <v>156.65</v>
      </c>
      <c r="U55" s="1265">
        <f t="shared" si="5"/>
        <v>-9.7385948392565638</v>
      </c>
      <c r="V55" s="1265">
        <f t="shared" si="6"/>
        <v>10.223080712108668</v>
      </c>
      <c r="W55" s="1265">
        <f t="shared" si="7"/>
        <v>23.486569809911003</v>
      </c>
    </row>
    <row r="56" spans="2:23" ht="15" thickBot="1">
      <c r="B56" s="161">
        <v>51</v>
      </c>
      <c r="C56" s="530" t="s">
        <v>110</v>
      </c>
      <c r="D56" s="524">
        <f>'Wajir_Price VAT Inclusive'!C49</f>
        <v>178.84018975632432</v>
      </c>
      <c r="E56" s="524">
        <f>'Wajir_Price VAT Inclusive'!E49</f>
        <v>181.49186530768952</v>
      </c>
      <c r="F56" s="524">
        <f>'Wajir_Price VAT Inclusive'!G49</f>
        <v>178.69535440549188</v>
      </c>
      <c r="I56" s="1083">
        <v>159.38</v>
      </c>
      <c r="J56" s="1083">
        <v>140.27000000000001</v>
      </c>
      <c r="K56" s="1083">
        <v>128.21</v>
      </c>
      <c r="M56" s="1083">
        <f t="shared" si="2"/>
        <v>168.88</v>
      </c>
      <c r="N56" s="1083">
        <f t="shared" si="3"/>
        <v>149.77000000000001</v>
      </c>
      <c r="O56" s="1083">
        <f t="shared" si="4"/>
        <v>137.71</v>
      </c>
      <c r="Q56" s="1263">
        <v>188.57</v>
      </c>
      <c r="R56" s="1263">
        <v>171.27</v>
      </c>
      <c r="S56" s="1263">
        <v>155.21</v>
      </c>
      <c r="U56" s="1265">
        <f t="shared" si="5"/>
        <v>-9.7298102436756722</v>
      </c>
      <c r="V56" s="1265">
        <f t="shared" si="6"/>
        <v>10.221865307689512</v>
      </c>
      <c r="W56" s="1265">
        <f t="shared" si="7"/>
        <v>23.485354405491876</v>
      </c>
    </row>
    <row r="57" spans="2:23" ht="15" thickBot="1">
      <c r="B57" s="161">
        <v>52</v>
      </c>
      <c r="C57" s="530" t="s">
        <v>564</v>
      </c>
      <c r="D57" s="524">
        <f>'Modogashe_Price VAT Inclusive'!C49</f>
        <v>176.57454068691945</v>
      </c>
      <c r="E57" s="524">
        <f>'Modogashe_Price VAT Inclusive'!E49</f>
        <v>179.23621623828464</v>
      </c>
      <c r="F57" s="524">
        <f>'Modogashe_Price VAT Inclusive'!G49</f>
        <v>176.42970533608698</v>
      </c>
      <c r="I57" s="1083">
        <v>157.12</v>
      </c>
      <c r="J57" s="1083">
        <v>138</v>
      </c>
      <c r="K57" s="1083">
        <v>125.94</v>
      </c>
      <c r="M57" s="1083">
        <f t="shared" si="2"/>
        <v>166.62</v>
      </c>
      <c r="N57" s="1083">
        <f t="shared" si="3"/>
        <v>147.5</v>
      </c>
      <c r="O57" s="1083">
        <f t="shared" si="4"/>
        <v>135.44</v>
      </c>
      <c r="Q57" s="1263">
        <v>186.3</v>
      </c>
      <c r="R57" s="1263">
        <v>169</v>
      </c>
      <c r="S57" s="1263">
        <v>152.94</v>
      </c>
      <c r="U57" s="1265">
        <f t="shared" si="5"/>
        <v>-9.7254593130805631</v>
      </c>
      <c r="V57" s="1265">
        <f t="shared" si="6"/>
        <v>10.236216238284641</v>
      </c>
      <c r="W57" s="1265">
        <f t="shared" si="7"/>
        <v>23.489705336086985</v>
      </c>
    </row>
    <row r="58" spans="2:23" ht="15" thickBot="1">
      <c r="B58" s="161">
        <v>53</v>
      </c>
      <c r="C58" s="530" t="s">
        <v>111</v>
      </c>
      <c r="D58" s="524">
        <f>'Mandera_Price VAT Inclusive'!C49</f>
        <v>182.61692991784562</v>
      </c>
      <c r="E58" s="529">
        <f>'Mandera_Price VAT Inclusive'!E49</f>
        <v>185.26860546921083</v>
      </c>
      <c r="F58" s="524">
        <f>'Mandera_Price VAT Inclusive'!G49</f>
        <v>182.47209456701319</v>
      </c>
      <c r="I58" s="1083">
        <v>163.15</v>
      </c>
      <c r="J58" s="1083">
        <v>144.05000000000001</v>
      </c>
      <c r="K58" s="1083">
        <v>131.97999999999999</v>
      </c>
      <c r="M58" s="1083">
        <f t="shared" si="2"/>
        <v>172.65</v>
      </c>
      <c r="N58" s="1083">
        <f t="shared" si="3"/>
        <v>153.55000000000001</v>
      </c>
      <c r="O58" s="1083">
        <f t="shared" si="4"/>
        <v>141.47999999999999</v>
      </c>
      <c r="Q58" s="1263">
        <v>192.35</v>
      </c>
      <c r="R58" s="1263">
        <v>175.05</v>
      </c>
      <c r="S58" s="1263">
        <v>158.97999999999999</v>
      </c>
      <c r="U58" s="1265">
        <f t="shared" si="5"/>
        <v>-9.7330700821543701</v>
      </c>
      <c r="V58" s="1265">
        <f t="shared" si="6"/>
        <v>10.218605469210814</v>
      </c>
      <c r="W58" s="1265">
        <f t="shared" si="7"/>
        <v>23.492094567013197</v>
      </c>
    </row>
    <row r="59" spans="2:23" ht="15" thickBot="1">
      <c r="B59" s="161">
        <v>54</v>
      </c>
      <c r="C59" s="530" t="s">
        <v>688</v>
      </c>
      <c r="D59" s="524">
        <f>'Matuu_Price VAT Inclusive'!C49</f>
        <v>170.4722757682959</v>
      </c>
      <c r="E59" s="524">
        <f>'Matuu_Price VAT Inclusive'!E49</f>
        <v>173.12395131966113</v>
      </c>
      <c r="F59" s="524">
        <f>'Matuu_Price VAT Inclusive'!G49</f>
        <v>170.32744041746349</v>
      </c>
      <c r="I59" s="1083">
        <v>151.02000000000001</v>
      </c>
      <c r="J59" s="1083">
        <v>131.9</v>
      </c>
      <c r="K59" s="1083">
        <v>119.84</v>
      </c>
      <c r="M59" s="1083">
        <f t="shared" si="2"/>
        <v>160.52000000000001</v>
      </c>
      <c r="N59" s="1083">
        <f t="shared" si="3"/>
        <v>141.4</v>
      </c>
      <c r="O59" s="1083">
        <f t="shared" si="4"/>
        <v>129.34</v>
      </c>
      <c r="Q59" s="1263">
        <v>180.2</v>
      </c>
      <c r="R59" s="1263">
        <v>162.9</v>
      </c>
      <c r="S59" s="1263">
        <v>146.84</v>
      </c>
      <c r="U59" s="1265">
        <f t="shared" si="5"/>
        <v>-9.7277242317040873</v>
      </c>
      <c r="V59" s="1265">
        <f t="shared" si="6"/>
        <v>10.223951319661126</v>
      </c>
      <c r="W59" s="1265">
        <f t="shared" si="7"/>
        <v>23.487440417463489</v>
      </c>
    </row>
    <row r="60" spans="2:23" ht="15" thickBot="1">
      <c r="B60" s="161">
        <v>55</v>
      </c>
      <c r="C60" s="530" t="s">
        <v>689</v>
      </c>
      <c r="D60" s="524">
        <f>'Merti_Price VAT Inclusive'!C49</f>
        <v>174.92172308186898</v>
      </c>
      <c r="E60" s="524">
        <f>'Merti_Price VAT Inclusive'!E49</f>
        <v>177.57339863323421</v>
      </c>
      <c r="F60" s="524">
        <f>'Merti_Price VAT Inclusive'!G49</f>
        <v>174.77688773103654</v>
      </c>
      <c r="I60" s="1083">
        <v>155.46</v>
      </c>
      <c r="J60" s="1083">
        <v>136.35</v>
      </c>
      <c r="K60" s="1083">
        <v>124.29</v>
      </c>
      <c r="M60" s="1083">
        <f t="shared" si="2"/>
        <v>164.96</v>
      </c>
      <c r="N60" s="1083">
        <f t="shared" si="3"/>
        <v>145.85</v>
      </c>
      <c r="O60" s="1083">
        <f t="shared" si="4"/>
        <v>133.79000000000002</v>
      </c>
      <c r="Q60" s="1263">
        <v>184.65</v>
      </c>
      <c r="R60" s="1263">
        <v>167.35</v>
      </c>
      <c r="S60" s="1263">
        <v>151.29</v>
      </c>
      <c r="U60" s="1265">
        <f t="shared" si="5"/>
        <v>-9.72827691813103</v>
      </c>
      <c r="V60" s="1265">
        <f t="shared" si="6"/>
        <v>10.223398633234211</v>
      </c>
      <c r="W60" s="1265">
        <f t="shared" si="7"/>
        <v>23.486887731036546</v>
      </c>
    </row>
    <row r="61" spans="2:23" ht="15" thickBot="1">
      <c r="B61" s="161">
        <v>56</v>
      </c>
      <c r="C61" s="530" t="s">
        <v>690</v>
      </c>
      <c r="D61" s="524">
        <f>'Oldonyiro_Price VAT Inclusive'!C49</f>
        <v>171.93546631025453</v>
      </c>
      <c r="E61" s="524">
        <f>'Oldonyiro_Price VAT Inclusive'!E49</f>
        <v>174.58714186161976</v>
      </c>
      <c r="F61" s="524">
        <f>'Oldonyiro_Price VAT Inclusive'!G49</f>
        <v>171.7806309594221</v>
      </c>
      <c r="I61" s="1083">
        <v>152.47</v>
      </c>
      <c r="J61" s="1083">
        <v>133.36000000000001</v>
      </c>
      <c r="K61" s="1083">
        <v>121.29</v>
      </c>
      <c r="M61" s="1083">
        <f t="shared" si="2"/>
        <v>161.97</v>
      </c>
      <c r="N61" s="1083">
        <f t="shared" si="3"/>
        <v>142.86000000000001</v>
      </c>
      <c r="O61" s="1083">
        <f t="shared" si="4"/>
        <v>130.79000000000002</v>
      </c>
      <c r="Q61" s="1263">
        <v>181.67</v>
      </c>
      <c r="R61" s="1263">
        <v>164.36</v>
      </c>
      <c r="S61" s="1263">
        <v>148.29</v>
      </c>
      <c r="U61" s="1265">
        <f t="shared" si="5"/>
        <v>-9.7345336897454615</v>
      </c>
      <c r="V61" s="1265">
        <f t="shared" si="6"/>
        <v>10.227141861619742</v>
      </c>
      <c r="W61" s="1265">
        <f t="shared" si="7"/>
        <v>23.490630959422106</v>
      </c>
    </row>
    <row r="62" spans="2:23" ht="15" thickBot="1">
      <c r="B62" s="161">
        <v>57</v>
      </c>
      <c r="C62" s="530" t="s">
        <v>691</v>
      </c>
      <c r="D62" s="524">
        <f>'Eldas_Price VAT Inclusive'!C49</f>
        <v>180.61078359922982</v>
      </c>
      <c r="E62" s="524">
        <f>'Eldas_Price VAT Inclusive'!E49</f>
        <v>183.2724591505951</v>
      </c>
      <c r="F62" s="524">
        <f>'Eldas_Price VAT Inclusive'!G49</f>
        <v>180.46594824839744</v>
      </c>
      <c r="I62" s="1083">
        <v>161.16</v>
      </c>
      <c r="J62" s="1083">
        <v>142.04</v>
      </c>
      <c r="K62" s="1083">
        <v>129.97999999999999</v>
      </c>
      <c r="M62" s="1083">
        <f t="shared" si="2"/>
        <v>170.66</v>
      </c>
      <c r="N62" s="1083">
        <f t="shared" si="3"/>
        <v>151.54</v>
      </c>
      <c r="O62" s="1083">
        <f t="shared" si="4"/>
        <v>139.47999999999999</v>
      </c>
      <c r="Q62" s="1263">
        <v>190.34</v>
      </c>
      <c r="R62" s="1263">
        <v>173.04</v>
      </c>
      <c r="S62" s="1263">
        <v>156.97999999999999</v>
      </c>
      <c r="U62" s="1265">
        <f t="shared" si="5"/>
        <v>-9.7292164007701842</v>
      </c>
      <c r="V62" s="1265">
        <f t="shared" si="6"/>
        <v>10.232459150595105</v>
      </c>
      <c r="W62" s="1265">
        <f t="shared" si="7"/>
        <v>23.485948248397449</v>
      </c>
    </row>
    <row r="63" spans="2:23" ht="15" thickBot="1">
      <c r="B63" s="161">
        <v>58</v>
      </c>
      <c r="C63" s="530" t="s">
        <v>692</v>
      </c>
      <c r="D63" s="524">
        <f>'Bute_Price VAT Inclusive'!C49</f>
        <v>177.64847710269433</v>
      </c>
      <c r="E63" s="524">
        <f>'Bute_Price VAT Inclusive'!E49</f>
        <v>180.31015265405955</v>
      </c>
      <c r="F63" s="524">
        <f>'Bute_Price VAT Inclusive'!G49</f>
        <v>177.50364175186189</v>
      </c>
      <c r="I63" s="1083">
        <v>158.19</v>
      </c>
      <c r="J63" s="1083">
        <v>139.08000000000001</v>
      </c>
      <c r="K63" s="1083">
        <v>127.02</v>
      </c>
      <c r="M63" s="1083">
        <f t="shared" si="2"/>
        <v>167.69</v>
      </c>
      <c r="N63" s="1083">
        <f t="shared" si="3"/>
        <v>148.58000000000001</v>
      </c>
      <c r="O63" s="1083">
        <f t="shared" si="4"/>
        <v>136.51999999999998</v>
      </c>
      <c r="Q63" s="1263">
        <v>187.38</v>
      </c>
      <c r="R63" s="1263">
        <v>170.08</v>
      </c>
      <c r="S63" s="1263">
        <v>154.02000000000001</v>
      </c>
      <c r="U63" s="1265">
        <f t="shared" si="5"/>
        <v>-9.7315228973056662</v>
      </c>
      <c r="V63" s="1265">
        <f t="shared" si="6"/>
        <v>10.230152654059538</v>
      </c>
      <c r="W63" s="1265">
        <f t="shared" si="7"/>
        <v>23.483641751861882</v>
      </c>
    </row>
    <row r="64" spans="2:23" ht="15" thickBot="1">
      <c r="B64" s="161">
        <v>59</v>
      </c>
      <c r="C64" s="530" t="s">
        <v>693</v>
      </c>
      <c r="D64" s="524">
        <f>'Hadado_Price VAT Inclusive'!C49</f>
        <v>176.23318711089354</v>
      </c>
      <c r="E64" s="524">
        <f>'Hadado_Price VAT Inclusive'!E49</f>
        <v>178.89486266225876</v>
      </c>
      <c r="F64" s="524">
        <f>'Hadado_Price VAT Inclusive'!G49</f>
        <v>176.0883517600611</v>
      </c>
      <c r="I64" s="1083">
        <v>156.78</v>
      </c>
      <c r="J64" s="1083">
        <v>137.66999999999999</v>
      </c>
      <c r="K64" s="1083">
        <v>125.6</v>
      </c>
      <c r="M64" s="1083">
        <f t="shared" si="2"/>
        <v>166.28</v>
      </c>
      <c r="N64" s="1083">
        <f t="shared" si="3"/>
        <v>147.16999999999999</v>
      </c>
      <c r="O64" s="1083">
        <f t="shared" si="4"/>
        <v>135.1</v>
      </c>
      <c r="Q64" s="1263">
        <v>185.97</v>
      </c>
      <c r="R64" s="1263">
        <v>168.67</v>
      </c>
      <c r="S64" s="1263">
        <v>152.6</v>
      </c>
      <c r="U64" s="1265">
        <f t="shared" si="5"/>
        <v>-9.73681288910646</v>
      </c>
      <c r="V64" s="1265">
        <f t="shared" si="6"/>
        <v>10.224862662258772</v>
      </c>
      <c r="W64" s="1265">
        <f t="shared" si="7"/>
        <v>23.488351760061107</v>
      </c>
    </row>
    <row r="65" spans="2:23" ht="15" thickBot="1">
      <c r="B65" s="161">
        <v>60</v>
      </c>
      <c r="C65" s="530" t="s">
        <v>694</v>
      </c>
      <c r="D65" s="524">
        <f>'Mai Mahiu_Price VAT Inclusive'!C49</f>
        <v>169.69376751592853</v>
      </c>
      <c r="E65" s="524">
        <f>'Mai Mahiu_Price VAT Inclusive'!E49</f>
        <v>172.35544306729378</v>
      </c>
      <c r="F65" s="524">
        <f>'Mai Mahiu_Price VAT Inclusive'!G49</f>
        <v>169.54893216509612</v>
      </c>
      <c r="I65" s="1084">
        <v>150.24</v>
      </c>
      <c r="J65" s="1084">
        <v>131.12</v>
      </c>
      <c r="K65" s="1084">
        <v>119.06</v>
      </c>
      <c r="M65" s="1084">
        <f t="shared" si="2"/>
        <v>159.74</v>
      </c>
      <c r="N65" s="1084">
        <f t="shared" si="3"/>
        <v>140.62</v>
      </c>
      <c r="O65" s="1084">
        <f t="shared" si="4"/>
        <v>128.56</v>
      </c>
      <c r="Q65" s="1263">
        <v>179.42</v>
      </c>
      <c r="R65" s="1263">
        <v>162.12</v>
      </c>
      <c r="S65" s="1263">
        <v>146.06</v>
      </c>
      <c r="U65" s="1265">
        <f t="shared" si="5"/>
        <v>-9.7262324840714598</v>
      </c>
      <c r="V65" s="1265">
        <f t="shared" si="6"/>
        <v>10.235443067293772</v>
      </c>
      <c r="W65" s="1265">
        <f t="shared" si="7"/>
        <v>23.488932165096116</v>
      </c>
    </row>
    <row r="66" spans="2:23" ht="15" thickBot="1">
      <c r="B66" s="161">
        <v>61</v>
      </c>
      <c r="C66" s="530" t="s">
        <v>695</v>
      </c>
      <c r="D66" s="524">
        <f>'Doldo_Price VAT Inclusive'!C49</f>
        <v>172.26681988628036</v>
      </c>
      <c r="E66" s="524">
        <f>'Doldo_Price VAT Inclusive'!E49</f>
        <v>174.92849543764561</v>
      </c>
      <c r="F66" s="524">
        <f>'Doldo_Price VAT Inclusive'!G49</f>
        <v>172.12198453544795</v>
      </c>
      <c r="I66" s="1084">
        <v>152.81</v>
      </c>
      <c r="J66" s="1084">
        <v>133.69999999999999</v>
      </c>
      <c r="K66" s="1084">
        <v>121.63</v>
      </c>
      <c r="M66" s="1084">
        <f t="shared" si="2"/>
        <v>162.31</v>
      </c>
      <c r="N66" s="1084">
        <f t="shared" si="3"/>
        <v>143.19999999999999</v>
      </c>
      <c r="O66" s="1084">
        <f t="shared" si="4"/>
        <v>131.13</v>
      </c>
      <c r="Q66" s="1263">
        <v>182</v>
      </c>
      <c r="R66" s="1263">
        <v>164.7</v>
      </c>
      <c r="S66" s="1263">
        <v>148.63</v>
      </c>
      <c r="U66" s="1265">
        <f t="shared" si="5"/>
        <v>-9.7331801137196408</v>
      </c>
      <c r="V66" s="1265">
        <f t="shared" si="6"/>
        <v>10.22849543764562</v>
      </c>
      <c r="W66" s="1265">
        <f t="shared" si="7"/>
        <v>23.491984535447955</v>
      </c>
    </row>
    <row r="67" spans="2:23" ht="15" thickBot="1">
      <c r="B67" s="161">
        <v>62</v>
      </c>
      <c r="C67" s="530" t="s">
        <v>696</v>
      </c>
      <c r="D67" s="524">
        <f>'Lamuria_Price VAT Inclusive'!C49</f>
        <v>171.39251053359732</v>
      </c>
      <c r="E67" s="524">
        <f>'Lamuria_Price VAT Inclusive'!E49</f>
        <v>174.04418608496258</v>
      </c>
      <c r="F67" s="524">
        <f>'Lamuria_Price VAT Inclusive'!G49</f>
        <v>171.23767518276492</v>
      </c>
      <c r="I67" s="1084">
        <v>151.93</v>
      </c>
      <c r="J67" s="1084">
        <v>132.82</v>
      </c>
      <c r="K67" s="1084">
        <v>120.75</v>
      </c>
      <c r="M67" s="1084">
        <f t="shared" si="2"/>
        <v>161.43</v>
      </c>
      <c r="N67" s="1084">
        <f t="shared" si="3"/>
        <v>142.32</v>
      </c>
      <c r="O67" s="1084">
        <f t="shared" si="4"/>
        <v>130.25</v>
      </c>
      <c r="Q67" s="1263">
        <v>181.12</v>
      </c>
      <c r="R67" s="1263">
        <v>163.82</v>
      </c>
      <c r="S67" s="1263">
        <v>147.75</v>
      </c>
      <c r="U67" s="1265">
        <f t="shared" si="5"/>
        <v>-9.7274894664026874</v>
      </c>
      <c r="V67" s="1265">
        <f t="shared" si="6"/>
        <v>10.224186084962582</v>
      </c>
      <c r="W67" s="1265">
        <f t="shared" si="7"/>
        <v>23.487675182764917</v>
      </c>
    </row>
    <row r="68" spans="2:23" ht="15" thickBot="1">
      <c r="B68" s="161">
        <v>64</v>
      </c>
      <c r="C68" s="530" t="s">
        <v>698</v>
      </c>
      <c r="D68" s="524">
        <f>'Sipili_Price VAT Inclusive'!C49</f>
        <v>172.25484474874094</v>
      </c>
      <c r="E68" s="524">
        <f>'Sipili_Price VAT Inclusive'!E49</f>
        <v>174.91652030010616</v>
      </c>
      <c r="F68" s="524">
        <f>'Sipili_Price VAT Inclusive'!G49</f>
        <v>172.1100093979085</v>
      </c>
      <c r="I68" s="1083">
        <v>152.80000000000001</v>
      </c>
      <c r="J68" s="1083">
        <v>133.68</v>
      </c>
      <c r="K68" s="1083">
        <v>121.62</v>
      </c>
      <c r="M68" s="1083">
        <f t="shared" si="2"/>
        <v>162.30000000000001</v>
      </c>
      <c r="N68" s="1083">
        <f t="shared" si="3"/>
        <v>143.18</v>
      </c>
      <c r="O68" s="1083">
        <f t="shared" si="4"/>
        <v>131.12</v>
      </c>
      <c r="Q68" s="1263">
        <v>181.98</v>
      </c>
      <c r="R68" s="1263">
        <v>164.68</v>
      </c>
      <c r="S68" s="1263">
        <v>148.62</v>
      </c>
      <c r="U68" s="1265">
        <f t="shared" si="5"/>
        <v>-9.7251552512590536</v>
      </c>
      <c r="V68" s="1265">
        <f t="shared" si="6"/>
        <v>10.23652030010615</v>
      </c>
      <c r="W68" s="1265">
        <f t="shared" si="7"/>
        <v>23.490009397908494</v>
      </c>
    </row>
    <row r="69" spans="2:23" ht="15" thickBot="1">
      <c r="B69" s="161">
        <v>65</v>
      </c>
      <c r="C69" s="530" t="s">
        <v>699</v>
      </c>
      <c r="D69" s="524">
        <f>'Marimanti_Price VAT Inclusive'!C49</f>
        <v>171.8775657600967</v>
      </c>
      <c r="E69" s="524">
        <f>'Marimanti_Price VAT Inclusive'!E49</f>
        <v>174.53924131146192</v>
      </c>
      <c r="F69" s="524">
        <f>'Marimanti_Price VAT Inclusive'!G49</f>
        <v>171.73273040926426</v>
      </c>
      <c r="I69" s="1083">
        <v>152.41999999999999</v>
      </c>
      <c r="J69" s="1083">
        <v>133.31</v>
      </c>
      <c r="K69" s="1083">
        <v>121.25</v>
      </c>
      <c r="M69" s="1083">
        <f t="shared" si="2"/>
        <v>161.91999999999999</v>
      </c>
      <c r="N69" s="1083">
        <f t="shared" si="3"/>
        <v>142.81</v>
      </c>
      <c r="O69" s="1083">
        <f t="shared" si="4"/>
        <v>130.75</v>
      </c>
      <c r="Q69" s="1263">
        <v>181.61</v>
      </c>
      <c r="R69" s="1263">
        <v>164.31</v>
      </c>
      <c r="S69" s="1263">
        <v>148.25</v>
      </c>
      <c r="U69" s="1265">
        <f t="shared" si="5"/>
        <v>-9.7324342399033128</v>
      </c>
      <c r="V69" s="1265">
        <f t="shared" si="6"/>
        <v>10.229241311461919</v>
      </c>
      <c r="W69" s="1265">
        <f t="shared" si="7"/>
        <v>23.482730409264263</v>
      </c>
    </row>
    <row r="70" spans="2:23" ht="15" thickBot="1">
      <c r="B70" s="161">
        <v>66</v>
      </c>
      <c r="C70" s="530" t="s">
        <v>700</v>
      </c>
      <c r="D70" s="524">
        <f>'Mutuobare_Price VAT Inclusive'!C49</f>
        <v>171.21683374558444</v>
      </c>
      <c r="E70" s="524">
        <f>'Mutuobare_Price VAT Inclusive'!E49</f>
        <v>173.87850929694963</v>
      </c>
      <c r="F70" s="524">
        <f>'Mutuobare_Price VAT Inclusive'!G49</f>
        <v>171.07199839475197</v>
      </c>
      <c r="I70" s="1083">
        <v>151.76</v>
      </c>
      <c r="J70" s="1083">
        <v>132.65</v>
      </c>
      <c r="K70" s="1083">
        <v>120.58</v>
      </c>
      <c r="M70" s="1083">
        <f t="shared" ref="M70:M134" si="8">I70+9.5</f>
        <v>161.26</v>
      </c>
      <c r="N70" s="1083">
        <f t="shared" ref="N70:N134" si="9">J70+9.5</f>
        <v>142.15</v>
      </c>
      <c r="O70" s="1083">
        <f t="shared" ref="O70:O134" si="10">K70+9.5</f>
        <v>130.07999999999998</v>
      </c>
      <c r="Q70" s="1263">
        <v>180.95</v>
      </c>
      <c r="R70" s="1263">
        <v>163.65</v>
      </c>
      <c r="S70" s="1263">
        <v>147.58000000000001</v>
      </c>
      <c r="U70" s="1265">
        <f t="shared" si="5"/>
        <v>-9.7331662544155506</v>
      </c>
      <c r="V70" s="1265">
        <f t="shared" si="6"/>
        <v>10.228509296949625</v>
      </c>
      <c r="W70" s="1265">
        <f t="shared" si="7"/>
        <v>23.49199839475196</v>
      </c>
    </row>
    <row r="71" spans="2:23" ht="15" thickBot="1">
      <c r="B71" s="161">
        <v>67</v>
      </c>
      <c r="C71" s="530" t="s">
        <v>701</v>
      </c>
      <c r="D71" s="524">
        <f>'Nort Horr_Price VAT Inclusive'!C49</f>
        <v>178.38105994244333</v>
      </c>
      <c r="E71" s="524">
        <f>'Nort Horr_Price VAT Inclusive'!E49</f>
        <v>181.04273549380855</v>
      </c>
      <c r="F71" s="524">
        <f>'Nort Horr_Price VAT Inclusive'!G49</f>
        <v>178.23622459161089</v>
      </c>
      <c r="I71" s="1083">
        <v>158.93</v>
      </c>
      <c r="J71" s="1083">
        <v>139.82</v>
      </c>
      <c r="K71" s="1083">
        <v>127.75</v>
      </c>
      <c r="M71" s="1083">
        <f t="shared" si="8"/>
        <v>168.43</v>
      </c>
      <c r="N71" s="1083">
        <f t="shared" si="9"/>
        <v>149.32</v>
      </c>
      <c r="O71" s="1083">
        <f t="shared" si="10"/>
        <v>137.25</v>
      </c>
      <c r="Q71" s="1263">
        <v>188.11</v>
      </c>
      <c r="R71" s="1263">
        <v>170.82</v>
      </c>
      <c r="S71" s="1263">
        <v>154.75</v>
      </c>
      <c r="U71" s="1265">
        <f t="shared" ref="U71:U134" si="11">D71-Q71</f>
        <v>-9.7289400575566845</v>
      </c>
      <c r="V71" s="1265">
        <f t="shared" ref="V71:V134" si="12">E71-R71</f>
        <v>10.222735493808557</v>
      </c>
      <c r="W71" s="1265">
        <f t="shared" ref="W71:W134" si="13">F71-S71</f>
        <v>23.486224591610892</v>
      </c>
    </row>
    <row r="72" spans="2:23" ht="15" thickBot="1">
      <c r="B72" s="161">
        <v>68</v>
      </c>
      <c r="C72" s="530" t="s">
        <v>702</v>
      </c>
      <c r="D72" s="524">
        <f>'Maikona_Price VAT Inclusive'!C49</f>
        <v>176.99972022572149</v>
      </c>
      <c r="E72" s="524">
        <f>'Maikona_Price VAT Inclusive'!E49</f>
        <v>179.66139577708671</v>
      </c>
      <c r="F72" s="524">
        <f>'Maikona_Price VAT Inclusive'!G49</f>
        <v>176.85488487488905</v>
      </c>
      <c r="I72" s="1083">
        <v>157.55000000000001</v>
      </c>
      <c r="J72" s="1083">
        <v>138.43</v>
      </c>
      <c r="K72" s="1083">
        <v>126.37</v>
      </c>
      <c r="M72" s="1083">
        <f t="shared" si="8"/>
        <v>167.05</v>
      </c>
      <c r="N72" s="1083">
        <f t="shared" si="9"/>
        <v>147.93</v>
      </c>
      <c r="O72" s="1083">
        <f t="shared" si="10"/>
        <v>135.87</v>
      </c>
      <c r="Q72" s="1263">
        <v>186.73</v>
      </c>
      <c r="R72" s="1263">
        <v>169.43</v>
      </c>
      <c r="S72" s="1263">
        <v>153.37</v>
      </c>
      <c r="U72" s="1265">
        <f t="shared" si="11"/>
        <v>-9.7302797742785003</v>
      </c>
      <c r="V72" s="1265">
        <f t="shared" si="12"/>
        <v>10.231395777086703</v>
      </c>
      <c r="W72" s="1265">
        <f t="shared" si="13"/>
        <v>23.484884874889048</v>
      </c>
    </row>
    <row r="73" spans="2:23" ht="15" thickBot="1">
      <c r="B73" s="161">
        <v>69</v>
      </c>
      <c r="C73" s="530" t="s">
        <v>703</v>
      </c>
      <c r="D73" s="524">
        <f>'Kalacha_Price VAT Inclusive'!C49</f>
        <v>177.54267600237867</v>
      </c>
      <c r="E73" s="524">
        <f>'Kalacha_Price VAT Inclusive'!E49</f>
        <v>180.20435155374386</v>
      </c>
      <c r="F73" s="524">
        <f>'Kalacha_Price VAT Inclusive'!G49</f>
        <v>177.39784065154623</v>
      </c>
      <c r="I73" s="1083">
        <v>158.09</v>
      </c>
      <c r="J73" s="1083">
        <v>138.97</v>
      </c>
      <c r="K73" s="1083">
        <v>126.91</v>
      </c>
      <c r="M73" s="1083">
        <f t="shared" si="8"/>
        <v>167.59</v>
      </c>
      <c r="N73" s="1083">
        <f t="shared" si="9"/>
        <v>148.47</v>
      </c>
      <c r="O73" s="1083">
        <f t="shared" si="10"/>
        <v>136.41</v>
      </c>
      <c r="Q73" s="1263">
        <v>187.27</v>
      </c>
      <c r="R73" s="1263">
        <v>169.97</v>
      </c>
      <c r="S73" s="1263">
        <v>153.91</v>
      </c>
      <c r="U73" s="1265">
        <f t="shared" si="11"/>
        <v>-9.7273239976213404</v>
      </c>
      <c r="V73" s="1265">
        <f t="shared" si="12"/>
        <v>10.234351553743863</v>
      </c>
      <c r="W73" s="1265">
        <f t="shared" si="13"/>
        <v>23.487840651546236</v>
      </c>
    </row>
    <row r="74" spans="2:23" ht="15" thickBot="1">
      <c r="B74" s="161">
        <v>70</v>
      </c>
      <c r="C74" s="530" t="s">
        <v>704</v>
      </c>
      <c r="D74" s="524">
        <f>'Loyangalani_Price VAT Inclusive'!C49</f>
        <v>177.61255169007595</v>
      </c>
      <c r="E74" s="524">
        <f>'Loyangalani_Price VAT Inclusive'!E49</f>
        <v>180.26422724144115</v>
      </c>
      <c r="F74" s="524">
        <f>'Loyangalani_Price VAT Inclusive'!G49</f>
        <v>177.46771633924351</v>
      </c>
      <c r="I74" s="1083">
        <v>158.15</v>
      </c>
      <c r="J74" s="1083">
        <v>139.04</v>
      </c>
      <c r="K74" s="1083">
        <v>126.97</v>
      </c>
      <c r="M74" s="1083">
        <f t="shared" si="8"/>
        <v>167.65</v>
      </c>
      <c r="N74" s="1083">
        <f t="shared" si="9"/>
        <v>148.54</v>
      </c>
      <c r="O74" s="1083">
        <f t="shared" si="10"/>
        <v>136.47</v>
      </c>
      <c r="Q74" s="1263">
        <v>187.34</v>
      </c>
      <c r="R74" s="1263">
        <v>170.04</v>
      </c>
      <c r="S74" s="1263">
        <v>153.97</v>
      </c>
      <c r="U74" s="1265">
        <f t="shared" si="11"/>
        <v>-9.727448309924057</v>
      </c>
      <c r="V74" s="1265">
        <f t="shared" si="12"/>
        <v>10.224227241441156</v>
      </c>
      <c r="W74" s="1265">
        <f t="shared" si="13"/>
        <v>23.49771633924351</v>
      </c>
    </row>
    <row r="75" spans="2:23" ht="15" thickBot="1">
      <c r="B75" s="161">
        <v>71</v>
      </c>
      <c r="C75" s="530" t="s">
        <v>705</v>
      </c>
      <c r="D75" s="524">
        <f>'Turbi_Price VAT Inclusive'!C49</f>
        <v>177.41292462698408</v>
      </c>
      <c r="E75" s="524">
        <f>'Turbi_Price VAT Inclusive'!E49</f>
        <v>180.0746001783493</v>
      </c>
      <c r="F75" s="524">
        <f>'Turbi_Price VAT Inclusive'!G49</f>
        <v>177.26808927615164</v>
      </c>
      <c r="I75" s="1083">
        <v>157.96</v>
      </c>
      <c r="J75" s="1083">
        <v>138.84</v>
      </c>
      <c r="K75" s="1083">
        <v>126.78</v>
      </c>
      <c r="M75" s="1083">
        <f t="shared" si="8"/>
        <v>167.46</v>
      </c>
      <c r="N75" s="1083">
        <f t="shared" si="9"/>
        <v>148.34</v>
      </c>
      <c r="O75" s="1083">
        <f t="shared" si="10"/>
        <v>136.28</v>
      </c>
      <c r="Q75" s="1263">
        <v>187.14</v>
      </c>
      <c r="R75" s="1263">
        <v>169.84</v>
      </c>
      <c r="S75" s="1263">
        <v>153.78</v>
      </c>
      <c r="U75" s="1265">
        <f t="shared" si="11"/>
        <v>-9.7270753730159072</v>
      </c>
      <c r="V75" s="1265">
        <f t="shared" si="12"/>
        <v>10.234600178349297</v>
      </c>
      <c r="W75" s="1265">
        <f t="shared" si="13"/>
        <v>23.488089276151641</v>
      </c>
    </row>
    <row r="76" spans="2:23" ht="15" thickBot="1">
      <c r="B76" s="161">
        <v>72</v>
      </c>
      <c r="C76" s="530" t="s">
        <v>706</v>
      </c>
      <c r="D76" s="524">
        <f>'Laisamis_Price VAT Inclusive'!C49</f>
        <v>174.61629491846151</v>
      </c>
      <c r="E76" s="524">
        <f>'Laisamis_Price VAT Inclusive'!E49</f>
        <v>177.2779704698267</v>
      </c>
      <c r="F76" s="524">
        <f>'Laisamis_Price VAT Inclusive'!G49</f>
        <v>174.47145956762904</v>
      </c>
      <c r="I76" s="1083">
        <v>155.16</v>
      </c>
      <c r="J76" s="1083">
        <v>136.06</v>
      </c>
      <c r="K76" s="1083">
        <v>123.98</v>
      </c>
      <c r="M76" s="1083">
        <f t="shared" si="8"/>
        <v>164.66</v>
      </c>
      <c r="N76" s="1083">
        <f t="shared" si="9"/>
        <v>145.56</v>
      </c>
      <c r="O76" s="1083">
        <f t="shared" si="10"/>
        <v>133.48000000000002</v>
      </c>
      <c r="Q76" s="1264">
        <v>184.36</v>
      </c>
      <c r="R76" s="1264">
        <v>167.06</v>
      </c>
      <c r="S76" s="1264">
        <v>150.97999999999999</v>
      </c>
      <c r="U76" s="1265">
        <f t="shared" si="11"/>
        <v>-9.7437050815385078</v>
      </c>
      <c r="V76" s="1265">
        <f t="shared" si="12"/>
        <v>10.217970469826696</v>
      </c>
      <c r="W76" s="1265">
        <f t="shared" si="13"/>
        <v>23.49145956762905</v>
      </c>
    </row>
    <row r="77" spans="2:23" ht="15" thickBot="1">
      <c r="B77" s="161">
        <v>73</v>
      </c>
      <c r="C77" s="530" t="s">
        <v>707</v>
      </c>
      <c r="D77" s="524">
        <f>'Merille_Price VAT Inclusive'!C49</f>
        <v>174.32086675505397</v>
      </c>
      <c r="E77" s="524">
        <f>'Merille_Price VAT Inclusive'!E49</f>
        <v>176.98254230641919</v>
      </c>
      <c r="F77" s="524">
        <f>'Merille_Price VAT Inclusive'!G49</f>
        <v>174.17603140422156</v>
      </c>
      <c r="I77" s="1083">
        <v>154.87</v>
      </c>
      <c r="J77" s="1083">
        <v>135.75</v>
      </c>
      <c r="K77" s="1083">
        <v>123.69</v>
      </c>
      <c r="M77" s="1083">
        <f t="shared" si="8"/>
        <v>164.37</v>
      </c>
      <c r="N77" s="1083">
        <f t="shared" si="9"/>
        <v>145.25</v>
      </c>
      <c r="O77" s="1083">
        <f t="shared" si="10"/>
        <v>133.19</v>
      </c>
      <c r="Q77" s="1263">
        <v>184.05</v>
      </c>
      <c r="R77" s="1263">
        <v>166.75</v>
      </c>
      <c r="S77" s="1263">
        <v>150.69</v>
      </c>
      <c r="U77" s="1265">
        <f t="shared" si="11"/>
        <v>-9.7291332449460413</v>
      </c>
      <c r="V77" s="1265">
        <f t="shared" si="12"/>
        <v>10.232542306419191</v>
      </c>
      <c r="W77" s="1265">
        <f t="shared" si="13"/>
        <v>23.486031404221563</v>
      </c>
    </row>
    <row r="78" spans="2:23" ht="15" thickBot="1">
      <c r="B78" s="161">
        <v>74</v>
      </c>
      <c r="C78" s="530" t="s">
        <v>708</v>
      </c>
      <c r="D78" s="524">
        <f>'Korr_Price VAT Inclusive'!C49</f>
        <v>175.56047995884182</v>
      </c>
      <c r="E78" s="524">
        <f>'Korr_Price VAT Inclusive'!E49</f>
        <v>178.22215551020702</v>
      </c>
      <c r="F78" s="524">
        <f>'Korr_Price VAT Inclusive'!G49</f>
        <v>175.41564460800939</v>
      </c>
      <c r="I78" s="1083">
        <v>156.11000000000001</v>
      </c>
      <c r="J78" s="1083">
        <v>137</v>
      </c>
      <c r="K78" s="1083">
        <v>124.93</v>
      </c>
      <c r="M78" s="1083">
        <f t="shared" si="8"/>
        <v>165.61</v>
      </c>
      <c r="N78" s="1083">
        <f t="shared" si="9"/>
        <v>146.5</v>
      </c>
      <c r="O78" s="1083">
        <f t="shared" si="10"/>
        <v>134.43</v>
      </c>
      <c r="Q78" s="1263">
        <v>185.3</v>
      </c>
      <c r="R78" s="1263">
        <v>168</v>
      </c>
      <c r="S78" s="1263">
        <v>151.93</v>
      </c>
      <c r="U78" s="1265">
        <f t="shared" si="11"/>
        <v>-9.7395200411581868</v>
      </c>
      <c r="V78" s="1265">
        <f t="shared" si="12"/>
        <v>10.222155510207017</v>
      </c>
      <c r="W78" s="1265">
        <f t="shared" si="13"/>
        <v>23.48564460800938</v>
      </c>
    </row>
    <row r="79" spans="2:23" ht="15" thickBot="1">
      <c r="B79" s="568">
        <v>75</v>
      </c>
      <c r="C79" s="568" t="s">
        <v>38</v>
      </c>
      <c r="D79" s="569">
        <f>'Nakuru-Price VAT Inclusive'!C49</f>
        <v>168.76890177700642</v>
      </c>
      <c r="E79" s="569">
        <f>'Nakuru-Price VAT Inclusive'!E49</f>
        <v>171.72410054451069</v>
      </c>
      <c r="F79" s="569">
        <f>'Nakuru-Price VAT Inclusive'!G49</f>
        <v>168.92527275731763</v>
      </c>
      <c r="I79" s="1082">
        <v>149.63999999999999</v>
      </c>
      <c r="J79" s="1082">
        <v>130.83000000000001</v>
      </c>
      <c r="K79" s="1082">
        <v>118.79</v>
      </c>
      <c r="M79" s="1082">
        <f t="shared" si="8"/>
        <v>159.13999999999999</v>
      </c>
      <c r="N79" s="1082">
        <f t="shared" si="9"/>
        <v>140.33000000000001</v>
      </c>
      <c r="O79" s="1082">
        <f t="shared" si="10"/>
        <v>128.29000000000002</v>
      </c>
      <c r="Q79" s="1262">
        <v>178.62</v>
      </c>
      <c r="R79" s="1262">
        <v>161.83000000000001</v>
      </c>
      <c r="S79" s="1262">
        <v>145.79</v>
      </c>
      <c r="U79" s="1265">
        <f t="shared" si="11"/>
        <v>-9.8510982229935848</v>
      </c>
      <c r="V79" s="1265">
        <f t="shared" si="12"/>
        <v>9.8941005445106782</v>
      </c>
      <c r="W79" s="1265">
        <f t="shared" si="13"/>
        <v>23.135272757317637</v>
      </c>
    </row>
    <row r="80" spans="2:23" ht="15" thickBot="1">
      <c r="B80" s="161">
        <v>76</v>
      </c>
      <c r="C80" s="528" t="s">
        <v>219</v>
      </c>
      <c r="D80" s="529">
        <f>'Gilgil_Price VAT Inclusive'!C49</f>
        <v>168.73306811189681</v>
      </c>
      <c r="E80" s="529">
        <f>'Gilgil_Price VAT Inclusive'!E49</f>
        <v>171.68826687940108</v>
      </c>
      <c r="F80" s="529">
        <f>'Gilgil_Price VAT Inclusive'!G49</f>
        <v>168.88943909220802</v>
      </c>
      <c r="I80" s="1083">
        <v>149.61000000000001</v>
      </c>
      <c r="J80" s="1083">
        <v>130.79</v>
      </c>
      <c r="K80" s="1083">
        <v>118.76</v>
      </c>
      <c r="M80" s="1083">
        <f t="shared" si="8"/>
        <v>159.11000000000001</v>
      </c>
      <c r="N80" s="1083">
        <f t="shared" si="9"/>
        <v>140.29</v>
      </c>
      <c r="O80" s="1083">
        <f t="shared" si="10"/>
        <v>128.26</v>
      </c>
      <c r="Q80" s="1263">
        <v>178.58</v>
      </c>
      <c r="R80" s="1263">
        <v>161.79</v>
      </c>
      <c r="S80" s="1263">
        <v>145.76</v>
      </c>
      <c r="U80" s="1265">
        <f t="shared" si="11"/>
        <v>-9.8469318881031995</v>
      </c>
      <c r="V80" s="1265">
        <f t="shared" si="12"/>
        <v>9.898266879401092</v>
      </c>
      <c r="W80" s="1265">
        <f t="shared" si="13"/>
        <v>23.129439092208031</v>
      </c>
    </row>
    <row r="81" spans="2:23" ht="15" thickBot="1">
      <c r="B81" s="161">
        <v>77</v>
      </c>
      <c r="C81" s="528" t="s">
        <v>205</v>
      </c>
      <c r="D81" s="529">
        <f>'Mogotio_Price VAT Inclusive'!C49</f>
        <v>168.7222904881113</v>
      </c>
      <c r="E81" s="529">
        <f>'Mogotio_Price VAT Inclusive'!E49</f>
        <v>171.67748925561557</v>
      </c>
      <c r="F81" s="529">
        <f>'Mogotio_Price VAT Inclusive'!G49</f>
        <v>168.87866146842251</v>
      </c>
      <c r="I81" s="1083">
        <v>149.6</v>
      </c>
      <c r="J81" s="1083">
        <v>130.78</v>
      </c>
      <c r="K81" s="1083">
        <v>118.74</v>
      </c>
      <c r="M81" s="1083">
        <f t="shared" si="8"/>
        <v>159.1</v>
      </c>
      <c r="N81" s="1083">
        <f t="shared" si="9"/>
        <v>140.28</v>
      </c>
      <c r="O81" s="1083">
        <f t="shared" si="10"/>
        <v>128.24</v>
      </c>
      <c r="Q81" s="1263">
        <v>178.57</v>
      </c>
      <c r="R81" s="1263">
        <v>161.78</v>
      </c>
      <c r="S81" s="1263">
        <v>145.74</v>
      </c>
      <c r="U81" s="1265">
        <f t="shared" si="11"/>
        <v>-9.847709511888695</v>
      </c>
      <c r="V81" s="1265">
        <f t="shared" si="12"/>
        <v>9.897489255615568</v>
      </c>
      <c r="W81" s="1265">
        <f t="shared" si="13"/>
        <v>23.138661468422498</v>
      </c>
    </row>
    <row r="82" spans="2:23" ht="15" thickBot="1">
      <c r="B82" s="161">
        <v>78</v>
      </c>
      <c r="C82" s="528" t="s">
        <v>204</v>
      </c>
      <c r="D82" s="529">
        <f>'Molo_Price VAT Inclusive'!C49</f>
        <v>168.80372142337961</v>
      </c>
      <c r="E82" s="529">
        <f>'Molo_Price VAT Inclusive'!E49</f>
        <v>171.75892019088388</v>
      </c>
      <c r="F82" s="529">
        <f>'Molo_Price VAT Inclusive'!G49</f>
        <v>168.97009240369084</v>
      </c>
      <c r="I82" s="1083">
        <v>149.69</v>
      </c>
      <c r="J82" s="1083">
        <v>130.86000000000001</v>
      </c>
      <c r="K82" s="1083">
        <v>118.83</v>
      </c>
      <c r="M82" s="1083">
        <f t="shared" si="8"/>
        <v>159.19</v>
      </c>
      <c r="N82" s="1083">
        <f t="shared" si="9"/>
        <v>140.36000000000001</v>
      </c>
      <c r="O82" s="1083">
        <f t="shared" si="10"/>
        <v>128.32999999999998</v>
      </c>
      <c r="Q82" s="1263">
        <v>178.65</v>
      </c>
      <c r="R82" s="1263">
        <v>161.86000000000001</v>
      </c>
      <c r="S82" s="1263">
        <v>145.83000000000001</v>
      </c>
      <c r="U82" s="1265">
        <f t="shared" si="11"/>
        <v>-9.8462785766203922</v>
      </c>
      <c r="V82" s="1265">
        <f t="shared" si="12"/>
        <v>9.8989201908838709</v>
      </c>
      <c r="W82" s="1265">
        <f t="shared" si="13"/>
        <v>23.140092403690829</v>
      </c>
    </row>
    <row r="83" spans="2:23" ht="15" thickBot="1">
      <c r="B83" s="161">
        <v>79</v>
      </c>
      <c r="C83" s="528" t="s">
        <v>396</v>
      </c>
      <c r="D83" s="529">
        <f>'Olenguruone_Price VAT Inclusive'!C49</f>
        <v>169.51277387801815</v>
      </c>
      <c r="E83" s="529">
        <f>'Olenguruone_Price VAT Inclusive'!E49</f>
        <v>172.46797264552242</v>
      </c>
      <c r="F83" s="529">
        <f>'Olenguruone_Price VAT Inclusive'!G49</f>
        <v>169.66914485832936</v>
      </c>
      <c r="I83" s="1083">
        <v>150.38999999999999</v>
      </c>
      <c r="J83" s="1083">
        <v>131.56</v>
      </c>
      <c r="K83" s="1083">
        <v>119.53</v>
      </c>
      <c r="M83" s="1083">
        <f t="shared" si="8"/>
        <v>159.88999999999999</v>
      </c>
      <c r="N83" s="1083">
        <f t="shared" si="9"/>
        <v>141.06</v>
      </c>
      <c r="O83" s="1083">
        <f t="shared" si="10"/>
        <v>129.03</v>
      </c>
      <c r="Q83" s="1263">
        <v>179.36</v>
      </c>
      <c r="R83" s="1263">
        <v>162.56</v>
      </c>
      <c r="S83" s="1263">
        <v>146.53</v>
      </c>
      <c r="U83" s="1265">
        <f t="shared" si="11"/>
        <v>-9.847226121981862</v>
      </c>
      <c r="V83" s="1265">
        <f t="shared" si="12"/>
        <v>9.9079726455224204</v>
      </c>
      <c r="W83" s="1265">
        <f t="shared" si="13"/>
        <v>23.13914485832936</v>
      </c>
    </row>
    <row r="84" spans="2:23" ht="15" thickBot="1">
      <c r="B84" s="161">
        <v>80</v>
      </c>
      <c r="C84" s="528" t="s">
        <v>208</v>
      </c>
      <c r="D84" s="529">
        <f>'Londiani_Price VAT Inclusive'!C49</f>
        <v>169.02849627530432</v>
      </c>
      <c r="E84" s="529">
        <f>'Londiani_Price VAT Inclusive'!E49</f>
        <v>171.98369504280859</v>
      </c>
      <c r="F84" s="529">
        <f>'Londiani_Price VAT Inclusive'!G49</f>
        <v>169.18486725561553</v>
      </c>
      <c r="I84" s="1083">
        <v>149.9</v>
      </c>
      <c r="J84" s="1083">
        <v>131.09</v>
      </c>
      <c r="K84" s="1083">
        <v>119.05</v>
      </c>
      <c r="M84" s="1083">
        <f t="shared" si="8"/>
        <v>159.4</v>
      </c>
      <c r="N84" s="1083">
        <f t="shared" si="9"/>
        <v>140.59</v>
      </c>
      <c r="O84" s="1083">
        <f t="shared" si="10"/>
        <v>128.55000000000001</v>
      </c>
      <c r="Q84" s="1264">
        <v>178.88</v>
      </c>
      <c r="R84" s="1264">
        <v>162.09</v>
      </c>
      <c r="S84" s="1264">
        <v>146.05000000000001</v>
      </c>
      <c r="U84" s="1265">
        <f t="shared" si="11"/>
        <v>-9.8515037246956751</v>
      </c>
      <c r="V84" s="1265">
        <f t="shared" si="12"/>
        <v>9.8936950428085879</v>
      </c>
      <c r="W84" s="1265">
        <f t="shared" si="13"/>
        <v>23.134867255615518</v>
      </c>
    </row>
    <row r="85" spans="2:23" ht="15" thickBot="1">
      <c r="B85" s="161">
        <v>81</v>
      </c>
      <c r="C85" s="528" t="s">
        <v>68</v>
      </c>
      <c r="D85" s="524">
        <f>'Nyahururu_Price VAT Inclusive'!C49</f>
        <v>169.01771865151881</v>
      </c>
      <c r="E85" s="524">
        <f>'Nyahururu_Price VAT Inclusive'!E49</f>
        <v>171.97291741902308</v>
      </c>
      <c r="F85" s="524">
        <f>'Nyahururu_Price VAT Inclusive'!G49</f>
        <v>169.17408963183001</v>
      </c>
      <c r="I85" s="1083">
        <v>149.88999999999999</v>
      </c>
      <c r="J85" s="1083">
        <v>131.08000000000001</v>
      </c>
      <c r="K85" s="1083">
        <v>119.04</v>
      </c>
      <c r="M85" s="1083">
        <f t="shared" si="8"/>
        <v>159.38999999999999</v>
      </c>
      <c r="N85" s="1083">
        <f t="shared" si="9"/>
        <v>140.58000000000001</v>
      </c>
      <c r="O85" s="1083">
        <f t="shared" si="10"/>
        <v>128.54000000000002</v>
      </c>
      <c r="Q85" s="1263">
        <v>178.87</v>
      </c>
      <c r="R85" s="1263">
        <v>162.08000000000001</v>
      </c>
      <c r="S85" s="1263">
        <v>146.04</v>
      </c>
      <c r="U85" s="1265">
        <f t="shared" si="11"/>
        <v>-9.8522813484811991</v>
      </c>
      <c r="V85" s="1265">
        <f t="shared" si="12"/>
        <v>9.892917419023064</v>
      </c>
      <c r="W85" s="1265">
        <f t="shared" si="13"/>
        <v>23.134089631830022</v>
      </c>
    </row>
    <row r="86" spans="2:23" ht="15" thickBot="1">
      <c r="B86" s="161">
        <v>82</v>
      </c>
      <c r="C86" s="528" t="s">
        <v>499</v>
      </c>
      <c r="D86" s="524">
        <f>'ArchersPost_Price VAT Inclusive'!C49</f>
        <v>172.00397542313328</v>
      </c>
      <c r="E86" s="524">
        <f>'ArchersPost_Price VAT Inclusive'!E49</f>
        <v>174.95917419063755</v>
      </c>
      <c r="F86" s="524">
        <f>'ArchersPost_Price VAT Inclusive'!G49</f>
        <v>172.16034640344449</v>
      </c>
      <c r="I86" s="1083">
        <v>152.88</v>
      </c>
      <c r="J86" s="1083">
        <v>134.06</v>
      </c>
      <c r="K86" s="1083">
        <v>122.03</v>
      </c>
      <c r="M86" s="1083">
        <f t="shared" si="8"/>
        <v>162.38</v>
      </c>
      <c r="N86" s="1083">
        <f t="shared" si="9"/>
        <v>143.56</v>
      </c>
      <c r="O86" s="1083">
        <f t="shared" si="10"/>
        <v>131.53</v>
      </c>
      <c r="Q86" s="1264">
        <v>181.85</v>
      </c>
      <c r="R86" s="1264">
        <v>165.06</v>
      </c>
      <c r="S86" s="1264">
        <v>149.03</v>
      </c>
      <c r="U86" s="1265">
        <f t="shared" si="11"/>
        <v>-9.8460245768667107</v>
      </c>
      <c r="V86" s="1265">
        <f t="shared" si="12"/>
        <v>9.8991741906375523</v>
      </c>
      <c r="W86" s="1265">
        <f t="shared" si="13"/>
        <v>23.130346403444491</v>
      </c>
    </row>
    <row r="87" spans="2:23" ht="15" thickBot="1">
      <c r="B87" s="161">
        <v>83</v>
      </c>
      <c r="C87" s="528" t="s">
        <v>500</v>
      </c>
      <c r="D87" s="524">
        <f>'Lodosoit_Price VAT Inclusive'!C49</f>
        <v>173.10186211398707</v>
      </c>
      <c r="E87" s="524">
        <f>'Lodosoit_Price VAT Inclusive'!E49</f>
        <v>176.05706088149134</v>
      </c>
      <c r="F87" s="524">
        <f>'Lodosoit_Price VAT Inclusive'!G49</f>
        <v>173.2582330942983</v>
      </c>
      <c r="I87" s="1083">
        <v>153.97999999999999</v>
      </c>
      <c r="J87" s="1083">
        <v>135.16</v>
      </c>
      <c r="K87" s="1083">
        <v>123.13</v>
      </c>
      <c r="M87" s="1083">
        <f t="shared" si="8"/>
        <v>163.47999999999999</v>
      </c>
      <c r="N87" s="1083">
        <f t="shared" si="9"/>
        <v>144.66</v>
      </c>
      <c r="O87" s="1083">
        <f t="shared" si="10"/>
        <v>132.63</v>
      </c>
      <c r="Q87" s="1263">
        <v>182.95</v>
      </c>
      <c r="R87" s="1263">
        <v>166.16</v>
      </c>
      <c r="S87" s="1263">
        <v>150.13</v>
      </c>
      <c r="U87" s="1265">
        <f t="shared" si="11"/>
        <v>-9.8481378860129212</v>
      </c>
      <c r="V87" s="1265">
        <f t="shared" si="12"/>
        <v>9.8970608814913419</v>
      </c>
      <c r="W87" s="1265">
        <f t="shared" si="13"/>
        <v>23.128233094298309</v>
      </c>
    </row>
    <row r="88" spans="2:23" ht="15" thickBot="1">
      <c r="B88" s="161">
        <v>84</v>
      </c>
      <c r="C88" s="528" t="s">
        <v>112</v>
      </c>
      <c r="D88" s="524">
        <f>'Naivasha_Price VAT Inclusive'!C49</f>
        <v>169.09956947675556</v>
      </c>
      <c r="E88" s="524">
        <f>'Naivasha_Price VAT Inclusive'!E49</f>
        <v>172.04476824425984</v>
      </c>
      <c r="F88" s="524">
        <f>'Naivasha_Price VAT Inclusive'!G49</f>
        <v>169.25594045706677</v>
      </c>
      <c r="I88" s="1083">
        <v>149.97</v>
      </c>
      <c r="J88" s="1083">
        <v>131.15</v>
      </c>
      <c r="K88" s="1083">
        <v>119.11</v>
      </c>
      <c r="M88" s="1083">
        <f t="shared" si="8"/>
        <v>159.47</v>
      </c>
      <c r="N88" s="1083">
        <f t="shared" si="9"/>
        <v>140.65</v>
      </c>
      <c r="O88" s="1083">
        <f t="shared" si="10"/>
        <v>128.61000000000001</v>
      </c>
      <c r="Q88" s="1263">
        <v>178.95</v>
      </c>
      <c r="R88" s="1263">
        <v>162.15</v>
      </c>
      <c r="S88" s="1263">
        <v>146.11000000000001</v>
      </c>
      <c r="U88" s="1265">
        <f t="shared" si="11"/>
        <v>-9.8504305232444267</v>
      </c>
      <c r="V88" s="1265">
        <f t="shared" si="12"/>
        <v>9.8947682442598364</v>
      </c>
      <c r="W88" s="1265">
        <f t="shared" si="13"/>
        <v>23.145940457066757</v>
      </c>
    </row>
    <row r="89" spans="2:23" ht="15" thickBot="1">
      <c r="B89" s="161">
        <v>85</v>
      </c>
      <c r="C89" s="530" t="s">
        <v>206</v>
      </c>
      <c r="D89" s="529">
        <f>'Marigat_Price VAT Inclusive'!C49</f>
        <v>169.5007987404787</v>
      </c>
      <c r="E89" s="529">
        <f>'Marigat_Price VAT Inclusive'!E49</f>
        <v>172.44599750798298</v>
      </c>
      <c r="F89" s="529">
        <f>'Marigat_Price VAT Inclusive'!G49</f>
        <v>169.65716972078991</v>
      </c>
      <c r="I89" s="1083">
        <v>150.38</v>
      </c>
      <c r="J89" s="1083">
        <v>131.55000000000001</v>
      </c>
      <c r="K89" s="1083">
        <v>119.51</v>
      </c>
      <c r="M89" s="1083">
        <f t="shared" si="8"/>
        <v>159.88</v>
      </c>
      <c r="N89" s="1083">
        <f t="shared" si="9"/>
        <v>141.05000000000001</v>
      </c>
      <c r="O89" s="1083">
        <f t="shared" si="10"/>
        <v>129.01</v>
      </c>
      <c r="Q89" s="1263">
        <v>179.34</v>
      </c>
      <c r="R89" s="1263">
        <v>162.55000000000001</v>
      </c>
      <c r="S89" s="1263">
        <v>146.51</v>
      </c>
      <c r="U89" s="1265">
        <f t="shared" si="11"/>
        <v>-9.8392012595213032</v>
      </c>
      <c r="V89" s="1265">
        <f t="shared" si="12"/>
        <v>9.895997507982969</v>
      </c>
      <c r="W89" s="1265">
        <f t="shared" si="13"/>
        <v>23.147169720789918</v>
      </c>
    </row>
    <row r="90" spans="2:23" ht="15" thickBot="1">
      <c r="B90" s="161">
        <v>86</v>
      </c>
      <c r="C90" s="530" t="s">
        <v>146</v>
      </c>
      <c r="D90" s="524">
        <f>'Kabarnet_Price VAT Inclusive'!C49</f>
        <v>169.98585396697806</v>
      </c>
      <c r="E90" s="524">
        <f>'Kabarnet_Price VAT Inclusive'!E49</f>
        <v>172.94105273448233</v>
      </c>
      <c r="F90" s="524">
        <f>'Kabarnet_Price VAT Inclusive'!G49</f>
        <v>170.14222494728926</v>
      </c>
      <c r="I90" s="1083">
        <v>150.86000000000001</v>
      </c>
      <c r="J90" s="1083">
        <v>132.04</v>
      </c>
      <c r="K90" s="1083">
        <v>120.01</v>
      </c>
      <c r="M90" s="1083">
        <f t="shared" si="8"/>
        <v>160.36000000000001</v>
      </c>
      <c r="N90" s="1083">
        <f t="shared" si="9"/>
        <v>141.54</v>
      </c>
      <c r="O90" s="1083">
        <f t="shared" si="10"/>
        <v>129.51</v>
      </c>
      <c r="Q90" s="1263">
        <v>179.83</v>
      </c>
      <c r="R90" s="1263">
        <v>163.04</v>
      </c>
      <c r="S90" s="1263">
        <v>147.01</v>
      </c>
      <c r="U90" s="1265">
        <f t="shared" si="11"/>
        <v>-9.844146033021957</v>
      </c>
      <c r="V90" s="1265">
        <f t="shared" si="12"/>
        <v>9.9010527344823345</v>
      </c>
      <c r="W90" s="1265">
        <f t="shared" si="13"/>
        <v>23.132224947289274</v>
      </c>
    </row>
    <row r="91" spans="2:23" ht="15" thickBot="1">
      <c r="B91" s="161">
        <v>87</v>
      </c>
      <c r="C91" s="530" t="s">
        <v>143</v>
      </c>
      <c r="D91" s="524">
        <f>'Maralal_Price VAT Inclusive'!C49</f>
        <v>171.07176552029239</v>
      </c>
      <c r="E91" s="524">
        <f>'Maralal_Price VAT Inclusive'!E49</f>
        <v>174.02696428779666</v>
      </c>
      <c r="F91" s="524">
        <f>'Maralal_Price VAT Inclusive'!G49</f>
        <v>171.22813650060363</v>
      </c>
      <c r="I91" s="1083">
        <v>151.94999999999999</v>
      </c>
      <c r="J91" s="1083">
        <v>133.13</v>
      </c>
      <c r="K91" s="1083">
        <v>121.1</v>
      </c>
      <c r="M91" s="1083">
        <f t="shared" si="8"/>
        <v>161.44999999999999</v>
      </c>
      <c r="N91" s="1083">
        <f t="shared" si="9"/>
        <v>142.63</v>
      </c>
      <c r="O91" s="1083">
        <f t="shared" si="10"/>
        <v>130.6</v>
      </c>
      <c r="Q91" s="1263">
        <v>180.92</v>
      </c>
      <c r="R91" s="1263">
        <v>164.13</v>
      </c>
      <c r="S91" s="1263">
        <v>148.1</v>
      </c>
      <c r="U91" s="1265">
        <f t="shared" si="11"/>
        <v>-9.8482344797075996</v>
      </c>
      <c r="V91" s="1265">
        <f t="shared" si="12"/>
        <v>9.8969642877966635</v>
      </c>
      <c r="W91" s="1265">
        <f t="shared" si="13"/>
        <v>23.128136500603631</v>
      </c>
    </row>
    <row r="92" spans="2:23" ht="15" thickBot="1">
      <c r="B92" s="161">
        <v>88</v>
      </c>
      <c r="C92" s="530" t="s">
        <v>712</v>
      </c>
      <c r="D92" s="524">
        <f>'Wamba_Price VAT Inclusive'!C49</f>
        <v>171.91014946035705</v>
      </c>
      <c r="E92" s="524">
        <f>'Wamba_Price VAT Inclusive'!E49</f>
        <v>174.86534822786132</v>
      </c>
      <c r="F92" s="524">
        <f>'Wamba_Price VAT Inclusive'!G49</f>
        <v>172.07652044066828</v>
      </c>
      <c r="I92" s="1083">
        <v>152.79</v>
      </c>
      <c r="J92" s="1083">
        <v>133.97</v>
      </c>
      <c r="K92" s="1083">
        <v>121.93</v>
      </c>
      <c r="M92" s="1083">
        <f t="shared" si="8"/>
        <v>162.29</v>
      </c>
      <c r="N92" s="1083">
        <f t="shared" si="9"/>
        <v>143.47</v>
      </c>
      <c r="O92" s="1083">
        <f t="shared" si="10"/>
        <v>131.43</v>
      </c>
      <c r="Q92" s="1263">
        <v>181.76</v>
      </c>
      <c r="R92" s="1263">
        <v>164.97</v>
      </c>
      <c r="S92" s="1263">
        <v>148.93</v>
      </c>
      <c r="U92" s="1265">
        <f t="shared" si="11"/>
        <v>-9.8498505396429437</v>
      </c>
      <c r="V92" s="1265">
        <f t="shared" si="12"/>
        <v>9.8953482278613194</v>
      </c>
      <c r="W92" s="1265">
        <f t="shared" si="13"/>
        <v>23.146520440668269</v>
      </c>
    </row>
    <row r="93" spans="2:23" ht="15" thickBot="1">
      <c r="B93" s="161"/>
      <c r="C93" s="530" t="s">
        <v>697</v>
      </c>
      <c r="D93" s="524">
        <f>'Rumuruti_Price VAT Inclusive'!C49</f>
        <v>169.56187194192992</v>
      </c>
      <c r="E93" s="524">
        <f>'Rumuruti_Price VAT Inclusive'!E49</f>
        <v>172.51707070943419</v>
      </c>
      <c r="F93" s="524">
        <f>'Rumuruti_Price VAT Inclusive'!G49</f>
        <v>169.71824292224113</v>
      </c>
      <c r="I93" s="1083"/>
      <c r="J93" s="1083"/>
      <c r="K93" s="1083"/>
      <c r="M93" s="1083"/>
      <c r="N93" s="1083"/>
      <c r="O93" s="1083"/>
      <c r="Q93" s="1263">
        <v>179.41</v>
      </c>
      <c r="R93" s="1263">
        <v>162.62</v>
      </c>
      <c r="S93" s="1263">
        <v>146.58000000000001</v>
      </c>
      <c r="U93" s="1265">
        <f t="shared" si="11"/>
        <v>-9.8481280580700741</v>
      </c>
      <c r="V93" s="1265">
        <f t="shared" si="12"/>
        <v>9.897070709434189</v>
      </c>
      <c r="W93" s="1265">
        <f t="shared" si="13"/>
        <v>23.138242922241119</v>
      </c>
    </row>
    <row r="94" spans="2:23" ht="15" thickBot="1">
      <c r="B94" s="568">
        <v>89</v>
      </c>
      <c r="C94" s="568" t="s">
        <v>39</v>
      </c>
      <c r="D94" s="569">
        <f>'Eldoret_Price VAT Inclusive'!C49</f>
        <v>169.4710217770064</v>
      </c>
      <c r="E94" s="569">
        <f>'Eldoret_Price VAT Inclusive'!E49</f>
        <v>172.4262205445107</v>
      </c>
      <c r="F94" s="569">
        <f>'Eldoret_Price VAT Inclusive'!G49</f>
        <v>169.63739275731763</v>
      </c>
      <c r="I94" s="1082">
        <v>150.53</v>
      </c>
      <c r="J94" s="1082">
        <v>131.72</v>
      </c>
      <c r="K94" s="1082">
        <v>119.67</v>
      </c>
      <c r="M94" s="1082">
        <f t="shared" si="8"/>
        <v>160.03</v>
      </c>
      <c r="N94" s="1082">
        <f t="shared" si="9"/>
        <v>141.22</v>
      </c>
      <c r="O94" s="1082">
        <f t="shared" si="10"/>
        <v>129.17000000000002</v>
      </c>
      <c r="Q94" s="1262">
        <v>179.5</v>
      </c>
      <c r="R94" s="1262">
        <v>162.72</v>
      </c>
      <c r="S94" s="1262">
        <v>146.66999999999999</v>
      </c>
      <c r="U94" s="1265">
        <f t="shared" si="11"/>
        <v>-10.028978222993601</v>
      </c>
      <c r="V94" s="1265">
        <f t="shared" si="12"/>
        <v>9.7062205445106997</v>
      </c>
      <c r="W94" s="1265">
        <f t="shared" si="13"/>
        <v>22.96739275731764</v>
      </c>
    </row>
    <row r="95" spans="2:23" s="360" customFormat="1" ht="15" thickBot="1">
      <c r="B95" s="161">
        <v>90</v>
      </c>
      <c r="C95" s="530" t="s">
        <v>568</v>
      </c>
      <c r="D95" s="912">
        <f>'Kiplombe_Price VAT Inclusive'!C49</f>
        <v>169.4710217770064</v>
      </c>
      <c r="E95" s="912">
        <f>'Kiplombe_Price VAT Inclusive'!E49</f>
        <v>172.4262205445107</v>
      </c>
      <c r="F95" s="912">
        <f>'Kiplombe_Price VAT Inclusive'!G49</f>
        <v>169.63739275731763</v>
      </c>
      <c r="I95" s="1083">
        <v>150.53</v>
      </c>
      <c r="J95" s="1083">
        <v>131.72</v>
      </c>
      <c r="K95" s="1083">
        <v>119.67</v>
      </c>
      <c r="M95" s="1083">
        <f t="shared" si="8"/>
        <v>160.03</v>
      </c>
      <c r="N95" s="1083">
        <f t="shared" si="9"/>
        <v>141.22</v>
      </c>
      <c r="O95" s="1083">
        <f t="shared" si="10"/>
        <v>129.17000000000002</v>
      </c>
      <c r="Q95" s="1263">
        <v>179.5</v>
      </c>
      <c r="R95" s="1263">
        <v>162.72</v>
      </c>
      <c r="S95" s="1263">
        <v>146.66999999999999</v>
      </c>
      <c r="U95" s="1265">
        <f t="shared" si="11"/>
        <v>-10.028978222993601</v>
      </c>
      <c r="V95" s="1265">
        <f t="shared" si="12"/>
        <v>9.7062205445106997</v>
      </c>
      <c r="W95" s="1265">
        <f t="shared" si="13"/>
        <v>22.96739275731764</v>
      </c>
    </row>
    <row r="96" spans="2:23" s="360" customFormat="1" ht="15" thickBot="1">
      <c r="B96" s="161">
        <v>91</v>
      </c>
      <c r="C96" s="530" t="s">
        <v>605</v>
      </c>
      <c r="D96" s="912">
        <f>'Iten_Price VAT Inclusive'!C49</f>
        <v>169.4710217770064</v>
      </c>
      <c r="E96" s="912">
        <f>'Iten_Price VAT Inclusive'!E49</f>
        <v>172.4262205445107</v>
      </c>
      <c r="F96" s="912">
        <f>'Iten_Price VAT Inclusive'!G49</f>
        <v>169.63739275731763</v>
      </c>
      <c r="I96" s="1083">
        <v>150.53</v>
      </c>
      <c r="J96" s="1083">
        <v>131.72</v>
      </c>
      <c r="K96" s="1083">
        <v>119.67</v>
      </c>
      <c r="M96" s="1083">
        <f t="shared" si="8"/>
        <v>160.03</v>
      </c>
      <c r="N96" s="1083">
        <f t="shared" si="9"/>
        <v>141.22</v>
      </c>
      <c r="O96" s="1083">
        <f t="shared" si="10"/>
        <v>129.17000000000002</v>
      </c>
      <c r="Q96" s="1263">
        <v>179.5</v>
      </c>
      <c r="R96" s="1263">
        <v>162.72</v>
      </c>
      <c r="S96" s="1263">
        <v>146.66999999999999</v>
      </c>
      <c r="U96" s="1265">
        <f t="shared" si="11"/>
        <v>-10.028978222993601</v>
      </c>
      <c r="V96" s="1265">
        <f t="shared" si="12"/>
        <v>9.7062205445106997</v>
      </c>
      <c r="W96" s="1265">
        <f t="shared" si="13"/>
        <v>22.96739275731764</v>
      </c>
    </row>
    <row r="97" spans="2:23" s="360" customFormat="1" ht="15" thickBot="1">
      <c r="B97" s="161">
        <v>92</v>
      </c>
      <c r="C97" s="530" t="s">
        <v>569</v>
      </c>
      <c r="D97" s="912">
        <f>'Naiberi_Price VAT Inclusive'!C49</f>
        <v>169.4710217770064</v>
      </c>
      <c r="E97" s="912">
        <f>'Naiberi_Price VAT Inclusive'!E49</f>
        <v>172.4262205445107</v>
      </c>
      <c r="F97" s="912">
        <f>'Naiberi_Price VAT Inclusive'!G49</f>
        <v>169.63739275731763</v>
      </c>
      <c r="I97" s="1083">
        <v>150.53</v>
      </c>
      <c r="J97" s="1083">
        <v>131.72</v>
      </c>
      <c r="K97" s="1083">
        <v>119.67</v>
      </c>
      <c r="M97" s="1083">
        <f t="shared" si="8"/>
        <v>160.03</v>
      </c>
      <c r="N97" s="1083">
        <f t="shared" si="9"/>
        <v>141.22</v>
      </c>
      <c r="O97" s="1083">
        <f t="shared" si="10"/>
        <v>129.17000000000002</v>
      </c>
      <c r="Q97" s="1263">
        <v>179.5</v>
      </c>
      <c r="R97" s="1263">
        <v>162.72</v>
      </c>
      <c r="S97" s="1263">
        <v>146.66999999999999</v>
      </c>
      <c r="U97" s="1265">
        <f t="shared" si="11"/>
        <v>-10.028978222993601</v>
      </c>
      <c r="V97" s="1265">
        <f t="shared" si="12"/>
        <v>9.7062205445106997</v>
      </c>
      <c r="W97" s="1265">
        <f t="shared" si="13"/>
        <v>22.96739275731764</v>
      </c>
    </row>
    <row r="98" spans="2:23" s="360" customFormat="1" ht="15" thickBot="1">
      <c r="B98" s="161">
        <v>93</v>
      </c>
      <c r="C98" s="530" t="s">
        <v>570</v>
      </c>
      <c r="D98" s="912">
        <f>'Kesses_Price VAT Inclusive'!C49</f>
        <v>169.4710217770064</v>
      </c>
      <c r="E98" s="912">
        <f>'Kesses_Price VAT Inclusive'!E49</f>
        <v>172.4262205445107</v>
      </c>
      <c r="F98" s="912">
        <f>'Kesses_Price VAT Inclusive'!G49</f>
        <v>169.63739275731763</v>
      </c>
      <c r="I98" s="1083">
        <v>150.53</v>
      </c>
      <c r="J98" s="1083">
        <v>131.72</v>
      </c>
      <c r="K98" s="1083">
        <v>119.67</v>
      </c>
      <c r="M98" s="1083">
        <f t="shared" si="8"/>
        <v>160.03</v>
      </c>
      <c r="N98" s="1083">
        <f t="shared" si="9"/>
        <v>141.22</v>
      </c>
      <c r="O98" s="1083">
        <f t="shared" si="10"/>
        <v>129.17000000000002</v>
      </c>
      <c r="Q98" s="1263">
        <v>179.5</v>
      </c>
      <c r="R98" s="1263">
        <v>162.72</v>
      </c>
      <c r="S98" s="1263">
        <v>146.66999999999999</v>
      </c>
      <c r="U98" s="1265">
        <f t="shared" si="11"/>
        <v>-10.028978222993601</v>
      </c>
      <c r="V98" s="1265">
        <f t="shared" si="12"/>
        <v>9.7062205445106997</v>
      </c>
      <c r="W98" s="1265">
        <f t="shared" si="13"/>
        <v>22.96739275731764</v>
      </c>
    </row>
    <row r="99" spans="2:23" ht="15" thickBot="1">
      <c r="B99" s="161">
        <v>94</v>
      </c>
      <c r="C99" s="530" t="s">
        <v>114</v>
      </c>
      <c r="D99" s="524">
        <f>'Kapsabet_Price VAT Inclusive'!C49</f>
        <v>169.48428617580856</v>
      </c>
      <c r="E99" s="524">
        <f>'Kapsabet_Price VAT Inclusive'!E49</f>
        <v>172.43948494331286</v>
      </c>
      <c r="F99" s="524">
        <f>'Kapsabet_Price VAT Inclusive'!G49</f>
        <v>169.65065715611979</v>
      </c>
      <c r="I99" s="1083">
        <v>150.54</v>
      </c>
      <c r="J99" s="1083">
        <v>131.74</v>
      </c>
      <c r="K99" s="1083">
        <v>119.68</v>
      </c>
      <c r="M99" s="1083">
        <f t="shared" si="8"/>
        <v>160.04</v>
      </c>
      <c r="N99" s="1083">
        <f t="shared" si="9"/>
        <v>141.24</v>
      </c>
      <c r="O99" s="1083">
        <f t="shared" si="10"/>
        <v>129.18</v>
      </c>
      <c r="Q99" s="1264">
        <v>179.52</v>
      </c>
      <c r="R99" s="1264">
        <v>162.74</v>
      </c>
      <c r="S99" s="1264">
        <v>146.68</v>
      </c>
      <c r="U99" s="1265">
        <f t="shared" si="11"/>
        <v>-10.035713824191447</v>
      </c>
      <c r="V99" s="1265">
        <f t="shared" si="12"/>
        <v>9.6994849433128536</v>
      </c>
      <c r="W99" s="1265">
        <f t="shared" si="13"/>
        <v>22.970657156119785</v>
      </c>
    </row>
    <row r="100" spans="2:23" ht="15" thickBot="1">
      <c r="B100" s="161">
        <v>95</v>
      </c>
      <c r="C100" s="530" t="s">
        <v>209</v>
      </c>
      <c r="D100" s="524">
        <f>'Webuye_Price VAT Inclusive'!C49</f>
        <v>169.90749057707117</v>
      </c>
      <c r="E100" s="524">
        <f>'Webuye_Price VAT Inclusive'!E49</f>
        <v>172.85268934457548</v>
      </c>
      <c r="F100" s="524">
        <f>'Webuye_Price VAT Inclusive'!G49</f>
        <v>170.06386155738241</v>
      </c>
      <c r="I100" s="1083">
        <v>150.94999999999999</v>
      </c>
      <c r="J100" s="1083">
        <v>132.15</v>
      </c>
      <c r="K100" s="1083">
        <v>120.1</v>
      </c>
      <c r="M100" s="1083">
        <f t="shared" si="8"/>
        <v>160.44999999999999</v>
      </c>
      <c r="N100" s="1083">
        <f t="shared" si="9"/>
        <v>141.65</v>
      </c>
      <c r="O100" s="1083">
        <f t="shared" si="10"/>
        <v>129.6</v>
      </c>
      <c r="Q100" s="1263">
        <v>179.93</v>
      </c>
      <c r="R100" s="1263">
        <v>163.15</v>
      </c>
      <c r="S100" s="1263">
        <v>147.1</v>
      </c>
      <c r="U100" s="1265">
        <f t="shared" si="11"/>
        <v>-10.022509422928835</v>
      </c>
      <c r="V100" s="1265">
        <f t="shared" si="12"/>
        <v>9.7026893445754752</v>
      </c>
      <c r="W100" s="1265">
        <f t="shared" si="13"/>
        <v>22.963861557382415</v>
      </c>
    </row>
    <row r="101" spans="2:23" ht="15" thickBot="1">
      <c r="B101" s="161">
        <v>96</v>
      </c>
      <c r="C101" s="530" t="s">
        <v>115</v>
      </c>
      <c r="D101" s="524">
        <f>'Kitale_Prive VAT Inclusive'!C49</f>
        <v>169.8376148893739</v>
      </c>
      <c r="E101" s="524">
        <f>'Kitale_Prive VAT Inclusive'!E49</f>
        <v>172.7928136568782</v>
      </c>
      <c r="F101" s="524">
        <f>'Kitale_Prive VAT Inclusive'!G49</f>
        <v>169.99398586968513</v>
      </c>
      <c r="I101" s="1083">
        <v>150.88999999999999</v>
      </c>
      <c r="J101" s="1083">
        <v>132.08000000000001</v>
      </c>
      <c r="K101" s="1083">
        <v>120.03</v>
      </c>
      <c r="M101" s="1083">
        <f t="shared" si="8"/>
        <v>160.38999999999999</v>
      </c>
      <c r="N101" s="1083">
        <f t="shared" si="9"/>
        <v>141.58000000000001</v>
      </c>
      <c r="O101" s="1083">
        <f t="shared" si="10"/>
        <v>129.53</v>
      </c>
      <c r="Q101" s="1263">
        <v>179.86</v>
      </c>
      <c r="R101" s="1263">
        <v>163.08000000000001</v>
      </c>
      <c r="S101" s="1263">
        <v>147.03</v>
      </c>
      <c r="U101" s="1265">
        <f t="shared" si="11"/>
        <v>-10.022385110626118</v>
      </c>
      <c r="V101" s="1265">
        <f t="shared" si="12"/>
        <v>9.7128136568781827</v>
      </c>
      <c r="W101" s="1265">
        <f t="shared" si="13"/>
        <v>22.963985869685132</v>
      </c>
    </row>
    <row r="102" spans="2:23" ht="15" thickBot="1">
      <c r="B102" s="161">
        <v>97</v>
      </c>
      <c r="C102" s="530" t="s">
        <v>141</v>
      </c>
      <c r="D102" s="524">
        <f>'Kapenguria_Price VAT Inclusive'!C49</f>
        <v>170.47439662880726</v>
      </c>
      <c r="E102" s="524">
        <f>'Kapenguria_Price VAT Inclusive'!E49</f>
        <v>173.42959539631156</v>
      </c>
      <c r="F102" s="524">
        <f>'Kapenguria_Price VAT Inclusive'!G49</f>
        <v>170.63076760911849</v>
      </c>
      <c r="I102" s="1083">
        <v>151.52000000000001</v>
      </c>
      <c r="J102" s="1083">
        <v>132.72</v>
      </c>
      <c r="K102" s="1083">
        <v>120.67</v>
      </c>
      <c r="M102" s="1083">
        <f t="shared" si="8"/>
        <v>161.02000000000001</v>
      </c>
      <c r="N102" s="1083">
        <f t="shared" si="9"/>
        <v>142.22</v>
      </c>
      <c r="O102" s="1083">
        <f t="shared" si="10"/>
        <v>130.17000000000002</v>
      </c>
      <c r="Q102" s="1263">
        <v>180.5</v>
      </c>
      <c r="R102" s="1263">
        <v>163.72</v>
      </c>
      <c r="S102" s="1263">
        <v>147.66999999999999</v>
      </c>
      <c r="U102" s="1265">
        <f t="shared" si="11"/>
        <v>-10.025603371192744</v>
      </c>
      <c r="V102" s="1265">
        <f t="shared" si="12"/>
        <v>9.7095953963115562</v>
      </c>
      <c r="W102" s="1265">
        <f t="shared" si="13"/>
        <v>22.960767609118506</v>
      </c>
    </row>
    <row r="103" spans="2:23" ht="15" thickBot="1">
      <c r="B103" s="161">
        <v>98</v>
      </c>
      <c r="C103" s="530" t="s">
        <v>69</v>
      </c>
      <c r="D103" s="524">
        <f>'Bungoma_Price VAT Inclusive'!C49</f>
        <v>170.23884415309709</v>
      </c>
      <c r="E103" s="524">
        <f>'Bungoma_Price VAT Inclusive'!E49</f>
        <v>173.19404292060136</v>
      </c>
      <c r="F103" s="524">
        <f>'Bungoma_Price VAT Inclusive'!G49</f>
        <v>170.3952151334083</v>
      </c>
      <c r="I103" s="1083">
        <v>151.30000000000001</v>
      </c>
      <c r="J103" s="1083">
        <v>132.47999999999999</v>
      </c>
      <c r="K103" s="1083">
        <v>120.44</v>
      </c>
      <c r="M103" s="1083">
        <f t="shared" si="8"/>
        <v>160.80000000000001</v>
      </c>
      <c r="N103" s="1083">
        <f t="shared" si="9"/>
        <v>141.97999999999999</v>
      </c>
      <c r="O103" s="1083">
        <f t="shared" si="10"/>
        <v>129.94</v>
      </c>
      <c r="Q103" s="1263">
        <v>180.26</v>
      </c>
      <c r="R103" s="1263">
        <v>163.47999999999999</v>
      </c>
      <c r="S103" s="1263">
        <v>147.44</v>
      </c>
      <c r="U103" s="1265">
        <f t="shared" si="11"/>
        <v>-10.0211558469029</v>
      </c>
      <c r="V103" s="1265">
        <f t="shared" si="12"/>
        <v>9.7140429206013721</v>
      </c>
      <c r="W103" s="1265">
        <f t="shared" si="13"/>
        <v>22.955215133408302</v>
      </c>
    </row>
    <row r="104" spans="2:23" ht="15" thickBot="1">
      <c r="B104" s="161">
        <v>99</v>
      </c>
      <c r="C104" s="528" t="s">
        <v>501</v>
      </c>
      <c r="D104" s="524">
        <f>'Moiben_Price VAT Inclusive'!C49</f>
        <v>169.48428617580856</v>
      </c>
      <c r="E104" s="524">
        <f>'Moiben_Price VAT Inclusive'!E49</f>
        <v>172.43948494331286</v>
      </c>
      <c r="F104" s="524">
        <f>'Moiben_Price VAT Inclusive'!G49</f>
        <v>169.65065715611979</v>
      </c>
      <c r="I104" s="1083">
        <v>150.54</v>
      </c>
      <c r="J104" s="1083">
        <v>131.74</v>
      </c>
      <c r="K104" s="1083">
        <v>119.68</v>
      </c>
      <c r="M104" s="1083">
        <f t="shared" si="8"/>
        <v>160.04</v>
      </c>
      <c r="N104" s="1083">
        <f t="shared" si="9"/>
        <v>141.24</v>
      </c>
      <c r="O104" s="1083">
        <f t="shared" si="10"/>
        <v>129.18</v>
      </c>
      <c r="Q104" s="1263">
        <v>179.52</v>
      </c>
      <c r="R104" s="1263">
        <v>162.74</v>
      </c>
      <c r="S104" s="1263">
        <v>146.68</v>
      </c>
      <c r="U104" s="1265">
        <f t="shared" si="11"/>
        <v>-10.035713824191447</v>
      </c>
      <c r="V104" s="1265">
        <f t="shared" si="12"/>
        <v>9.6994849433128536</v>
      </c>
      <c r="W104" s="1265">
        <f t="shared" si="13"/>
        <v>22.970657156119785</v>
      </c>
    </row>
    <row r="105" spans="2:23" s="163" customFormat="1" ht="15" thickBot="1">
      <c r="B105" s="161">
        <v>100</v>
      </c>
      <c r="C105" s="528" t="s">
        <v>502</v>
      </c>
      <c r="D105" s="529">
        <f>'Matunda_Price VAT Inclusive'!C49</f>
        <v>169.46033590072966</v>
      </c>
      <c r="E105" s="529">
        <f>'Matunda_Price VAT Inclusive'!E49</f>
        <v>172.41553466823396</v>
      </c>
      <c r="F105" s="529">
        <f>'Matunda_Price VAT Inclusive'!G49</f>
        <v>169.6167068810409</v>
      </c>
      <c r="I105" s="1083">
        <v>150.52000000000001</v>
      </c>
      <c r="J105" s="1083">
        <v>131.69999999999999</v>
      </c>
      <c r="K105" s="1083">
        <v>119.66</v>
      </c>
      <c r="M105" s="1083">
        <f t="shared" si="8"/>
        <v>160.02000000000001</v>
      </c>
      <c r="N105" s="1083">
        <f t="shared" si="9"/>
        <v>141.19999999999999</v>
      </c>
      <c r="O105" s="1083">
        <f t="shared" si="10"/>
        <v>129.16</v>
      </c>
      <c r="Q105" s="1263">
        <v>179.49</v>
      </c>
      <c r="R105" s="1263">
        <v>162.69999999999999</v>
      </c>
      <c r="S105" s="1263">
        <v>146.66</v>
      </c>
      <c r="U105" s="1265">
        <f t="shared" si="11"/>
        <v>-10.029664099270349</v>
      </c>
      <c r="V105" s="1265">
        <f t="shared" si="12"/>
        <v>9.7155346682339712</v>
      </c>
      <c r="W105" s="1265">
        <f t="shared" si="13"/>
        <v>22.956706881040901</v>
      </c>
    </row>
    <row r="106" spans="2:23" s="163" customFormat="1" ht="15" thickBot="1">
      <c r="B106" s="161">
        <v>101</v>
      </c>
      <c r="C106" s="528" t="s">
        <v>503</v>
      </c>
      <c r="D106" s="529">
        <f>'Burnt Fores_Price VAT Inclusive'!C49</f>
        <v>169.42441048811128</v>
      </c>
      <c r="E106" s="529">
        <f>'Burnt Fores_Price VAT Inclusive'!E49</f>
        <v>172.37960925561558</v>
      </c>
      <c r="F106" s="529">
        <f>'Burnt Fores_Price VAT Inclusive'!G49</f>
        <v>169.58078146842251</v>
      </c>
      <c r="I106" s="1083">
        <v>150.47999999999999</v>
      </c>
      <c r="J106" s="1083">
        <v>131.66999999999999</v>
      </c>
      <c r="K106" s="1083">
        <v>119.62</v>
      </c>
      <c r="M106" s="1083">
        <f t="shared" si="8"/>
        <v>159.97999999999999</v>
      </c>
      <c r="N106" s="1083">
        <f t="shared" si="9"/>
        <v>141.16999999999999</v>
      </c>
      <c r="O106" s="1083">
        <f t="shared" si="10"/>
        <v>129.12</v>
      </c>
      <c r="Q106" s="1263">
        <v>179.45</v>
      </c>
      <c r="R106" s="1263">
        <v>162.66999999999999</v>
      </c>
      <c r="S106" s="1263">
        <v>146.62</v>
      </c>
      <c r="U106" s="1265">
        <f t="shared" si="11"/>
        <v>-10.025589511888711</v>
      </c>
      <c r="V106" s="1265">
        <f t="shared" si="12"/>
        <v>9.7096092556155895</v>
      </c>
      <c r="W106" s="1265">
        <f t="shared" si="13"/>
        <v>22.96078146842251</v>
      </c>
    </row>
    <row r="107" spans="2:23" ht="15" thickBot="1">
      <c r="B107" s="161">
        <v>102</v>
      </c>
      <c r="C107" s="528" t="s">
        <v>504</v>
      </c>
      <c r="D107" s="524">
        <f>'Tambach_Price VAT Inclusive'!C49</f>
        <v>169.51823645088751</v>
      </c>
      <c r="E107" s="524">
        <f>'Tambach_Price VAT Inclusive'!E49</f>
        <v>172.47343521839178</v>
      </c>
      <c r="F107" s="524">
        <f>'Tambach_Price VAT Inclusive'!G49</f>
        <v>169.67460743119872</v>
      </c>
      <c r="I107" s="1083">
        <v>150.57</v>
      </c>
      <c r="J107" s="1083">
        <v>131.76</v>
      </c>
      <c r="K107" s="1083">
        <v>119.71</v>
      </c>
      <c r="M107" s="1083">
        <f t="shared" si="8"/>
        <v>160.07</v>
      </c>
      <c r="N107" s="1083">
        <f t="shared" si="9"/>
        <v>141.26</v>
      </c>
      <c r="O107" s="1083">
        <f t="shared" si="10"/>
        <v>129.20999999999998</v>
      </c>
      <c r="Q107" s="1263">
        <v>179.54</v>
      </c>
      <c r="R107" s="1263">
        <v>162.76</v>
      </c>
      <c r="S107" s="1263">
        <v>146.71</v>
      </c>
      <c r="U107" s="1265">
        <f t="shared" si="11"/>
        <v>-10.021763549112478</v>
      </c>
      <c r="V107" s="1265">
        <f t="shared" si="12"/>
        <v>9.713435218391794</v>
      </c>
      <c r="W107" s="1265">
        <f t="shared" si="13"/>
        <v>22.964607431198715</v>
      </c>
    </row>
    <row r="108" spans="2:23" ht="15" thickBot="1">
      <c r="B108" s="161">
        <v>103</v>
      </c>
      <c r="C108" s="528" t="s">
        <v>505</v>
      </c>
      <c r="D108" s="524">
        <f>'Kapsowar_Price VAT Inclusive'!C49</f>
        <v>169.97934140230794</v>
      </c>
      <c r="E108" s="524">
        <f>'Kapsowar_Price VAT Inclusive'!E49</f>
        <v>172.93454016981221</v>
      </c>
      <c r="F108" s="524">
        <f>'Kapsowar_Price VAT Inclusive'!G49</f>
        <v>170.13571238261915</v>
      </c>
      <c r="I108" s="1083">
        <v>151.04</v>
      </c>
      <c r="J108" s="1083">
        <v>132.22</v>
      </c>
      <c r="K108" s="1083">
        <v>120.18</v>
      </c>
      <c r="M108" s="1083">
        <f t="shared" si="8"/>
        <v>160.54</v>
      </c>
      <c r="N108" s="1083">
        <f t="shared" si="9"/>
        <v>141.72</v>
      </c>
      <c r="O108" s="1083">
        <f t="shared" si="10"/>
        <v>129.68</v>
      </c>
      <c r="Q108" s="1263">
        <v>180</v>
      </c>
      <c r="R108" s="1263">
        <v>163.22</v>
      </c>
      <c r="S108" s="1263">
        <v>147.18</v>
      </c>
      <c r="U108" s="1265">
        <f t="shared" si="11"/>
        <v>-10.020658597692062</v>
      </c>
      <c r="V108" s="1265">
        <f t="shared" si="12"/>
        <v>9.71454016981221</v>
      </c>
      <c r="W108" s="1265">
        <f t="shared" si="13"/>
        <v>22.95571238261914</v>
      </c>
    </row>
    <row r="109" spans="2:23" ht="15" thickBot="1">
      <c r="B109" s="161">
        <v>104</v>
      </c>
      <c r="C109" s="528" t="s">
        <v>506</v>
      </c>
      <c r="D109" s="524">
        <f>'Chebara_Price VAT Inclusive'!C49</f>
        <v>169.8615651644528</v>
      </c>
      <c r="E109" s="524">
        <f>'Chebara_Price VAT Inclusive'!E49</f>
        <v>172.8167639319571</v>
      </c>
      <c r="F109" s="524">
        <f>'Chebara_Price VAT Inclusive'!G49</f>
        <v>170.01793614476404</v>
      </c>
      <c r="I109" s="1083">
        <v>150.91999999999999</v>
      </c>
      <c r="J109" s="1083">
        <v>132.1</v>
      </c>
      <c r="K109" s="1083">
        <v>120.06</v>
      </c>
      <c r="M109" s="1083">
        <f t="shared" si="8"/>
        <v>160.41999999999999</v>
      </c>
      <c r="N109" s="1083">
        <f t="shared" si="9"/>
        <v>141.6</v>
      </c>
      <c r="O109" s="1083">
        <f t="shared" si="10"/>
        <v>129.56</v>
      </c>
      <c r="Q109" s="1263">
        <v>179.89</v>
      </c>
      <c r="R109" s="1263">
        <v>163.1</v>
      </c>
      <c r="S109" s="1263">
        <v>147.06</v>
      </c>
      <c r="U109" s="1265">
        <f t="shared" si="11"/>
        <v>-10.028434835547188</v>
      </c>
      <c r="V109" s="1265">
        <f t="shared" si="12"/>
        <v>9.7167639319571038</v>
      </c>
      <c r="W109" s="1265">
        <f t="shared" si="13"/>
        <v>22.957936144764034</v>
      </c>
    </row>
    <row r="110" spans="2:23" ht="15" thickBot="1">
      <c r="B110" s="161">
        <v>105</v>
      </c>
      <c r="C110" s="528" t="s">
        <v>507</v>
      </c>
      <c r="D110" s="524">
        <f>'Kimwarer_Price VAT Inclusive'!C49</f>
        <v>169.78971433921609</v>
      </c>
      <c r="E110" s="524">
        <f>'Kimwarer_Price VAT Inclusive'!E49</f>
        <v>172.74491310672036</v>
      </c>
      <c r="F110" s="524">
        <f>'Kimwarer_Price VAT Inclusive'!G49</f>
        <v>169.9460853195273</v>
      </c>
      <c r="I110" s="1083">
        <v>150.84</v>
      </c>
      <c r="J110" s="1083">
        <v>132.03</v>
      </c>
      <c r="K110" s="1083">
        <v>119.99</v>
      </c>
      <c r="M110" s="1083">
        <f t="shared" si="8"/>
        <v>160.34</v>
      </c>
      <c r="N110" s="1083">
        <f t="shared" si="9"/>
        <v>141.53</v>
      </c>
      <c r="O110" s="1083">
        <f t="shared" si="10"/>
        <v>129.49</v>
      </c>
      <c r="Q110" s="1263">
        <v>179.81</v>
      </c>
      <c r="R110" s="1263">
        <v>163.03</v>
      </c>
      <c r="S110" s="1263">
        <v>146.99</v>
      </c>
      <c r="U110" s="1265">
        <f t="shared" si="11"/>
        <v>-10.020285660783912</v>
      </c>
      <c r="V110" s="1265">
        <f t="shared" si="12"/>
        <v>9.7149131067203598</v>
      </c>
      <c r="W110" s="1265">
        <f t="shared" si="13"/>
        <v>22.95608531952729</v>
      </c>
    </row>
    <row r="111" spans="2:23" ht="15" thickBot="1">
      <c r="B111" s="161">
        <v>106</v>
      </c>
      <c r="C111" s="528" t="s">
        <v>508</v>
      </c>
      <c r="D111" s="524">
        <f>'Timboroa_Price VAT Inclusive'!C49</f>
        <v>169.70786351397931</v>
      </c>
      <c r="E111" s="524">
        <f>'Timboroa_Price VAT Inclusive'!E49</f>
        <v>172.6630622814836</v>
      </c>
      <c r="F111" s="524">
        <f>'Timboroa_Price VAT Inclusive'!G49</f>
        <v>169.86423449429057</v>
      </c>
      <c r="I111" s="1083">
        <v>150.77000000000001</v>
      </c>
      <c r="J111" s="1083">
        <v>131.94999999999999</v>
      </c>
      <c r="K111" s="1083">
        <v>119.9</v>
      </c>
      <c r="M111" s="1083">
        <f t="shared" si="8"/>
        <v>160.27000000000001</v>
      </c>
      <c r="N111" s="1083">
        <f t="shared" si="9"/>
        <v>141.44999999999999</v>
      </c>
      <c r="O111" s="1083">
        <f t="shared" si="10"/>
        <v>129.4</v>
      </c>
      <c r="Q111" s="1264">
        <v>179.73</v>
      </c>
      <c r="R111" s="1264">
        <v>162.94999999999999</v>
      </c>
      <c r="S111" s="1264">
        <v>146.9</v>
      </c>
      <c r="U111" s="1265">
        <f t="shared" si="11"/>
        <v>-10.022136486020685</v>
      </c>
      <c r="V111" s="1265">
        <f t="shared" si="12"/>
        <v>9.7130622814836158</v>
      </c>
      <c r="W111" s="1265">
        <f t="shared" si="13"/>
        <v>22.964234494290565</v>
      </c>
    </row>
    <row r="112" spans="2:23" ht="15" thickBot="1">
      <c r="B112" s="161">
        <v>107</v>
      </c>
      <c r="C112" s="528" t="s">
        <v>509</v>
      </c>
      <c r="D112" s="524">
        <f>'Nandi Hills_Price VAT Inclusive'!C49</f>
        <v>169.67193810136098</v>
      </c>
      <c r="E112" s="524">
        <f>'Nandi Hills_Price VAT Inclusive'!E49</f>
        <v>172.62713686886525</v>
      </c>
      <c r="F112" s="524">
        <f>'Nandi Hills_Price VAT Inclusive'!G49</f>
        <v>169.82830908167222</v>
      </c>
      <c r="I112" s="1083">
        <v>150.72</v>
      </c>
      <c r="J112" s="1083">
        <v>131.91</v>
      </c>
      <c r="K112" s="1083">
        <v>119.87</v>
      </c>
      <c r="M112" s="1083">
        <f t="shared" si="8"/>
        <v>160.22</v>
      </c>
      <c r="N112" s="1083">
        <f t="shared" si="9"/>
        <v>141.41</v>
      </c>
      <c r="O112" s="1083">
        <f t="shared" si="10"/>
        <v>129.37</v>
      </c>
      <c r="Q112" s="1263">
        <v>179.69</v>
      </c>
      <c r="R112" s="1263">
        <v>162.91</v>
      </c>
      <c r="S112" s="1263">
        <v>146.87</v>
      </c>
      <c r="U112" s="1265">
        <f t="shared" si="11"/>
        <v>-10.018061898639019</v>
      </c>
      <c r="V112" s="1265">
        <f t="shared" si="12"/>
        <v>9.7171368688652535</v>
      </c>
      <c r="W112" s="1265">
        <f t="shared" si="13"/>
        <v>22.958309081672212</v>
      </c>
    </row>
    <row r="113" spans="2:23" ht="15" thickBot="1">
      <c r="B113" s="161">
        <v>108</v>
      </c>
      <c r="C113" s="528" t="s">
        <v>510</v>
      </c>
      <c r="D113" s="524">
        <f>'Kaiboi_Price VAT Inclusive'!C49</f>
        <v>169.53021158842694</v>
      </c>
      <c r="E113" s="524">
        <f>'Kaiboi_Price VAT Inclusive'!E49</f>
        <v>172.48541035593124</v>
      </c>
      <c r="F113" s="524">
        <f>'Kaiboi_Price VAT Inclusive'!G49</f>
        <v>169.68658256873817</v>
      </c>
      <c r="I113" s="1083">
        <v>150.58000000000001</v>
      </c>
      <c r="J113" s="1083">
        <v>131.77000000000001</v>
      </c>
      <c r="K113" s="1083">
        <v>119.73</v>
      </c>
      <c r="M113" s="1083">
        <f t="shared" si="8"/>
        <v>160.08000000000001</v>
      </c>
      <c r="N113" s="1083">
        <f t="shared" si="9"/>
        <v>141.27000000000001</v>
      </c>
      <c r="O113" s="1083">
        <f t="shared" si="10"/>
        <v>129.23000000000002</v>
      </c>
      <c r="Q113" s="1263">
        <v>179.55</v>
      </c>
      <c r="R113" s="1263">
        <v>162.77000000000001</v>
      </c>
      <c r="S113" s="1263">
        <v>146.72999999999999</v>
      </c>
      <c r="U113" s="1265">
        <f t="shared" si="11"/>
        <v>-10.019788411573074</v>
      </c>
      <c r="V113" s="1265">
        <f t="shared" si="12"/>
        <v>9.7154103559312261</v>
      </c>
      <c r="W113" s="1265">
        <f t="shared" si="13"/>
        <v>22.956582568738185</v>
      </c>
    </row>
    <row r="114" spans="2:23" ht="15" thickBot="1">
      <c r="B114" s="161">
        <v>109</v>
      </c>
      <c r="C114" s="528" t="s">
        <v>511</v>
      </c>
      <c r="D114" s="524">
        <f>'Kiminini_Price VAT Inclusive'!C49</f>
        <v>170.01526681492632</v>
      </c>
      <c r="E114" s="529">
        <f>'Kiminini_Price VAT Inclusive'!E49</f>
        <v>172.97046558243059</v>
      </c>
      <c r="F114" s="524">
        <f>'Kiminini_Price VAT Inclusive'!G49</f>
        <v>170.18163779523752</v>
      </c>
      <c r="I114" s="1083">
        <v>151.07</v>
      </c>
      <c r="J114" s="1083">
        <v>132.27000000000001</v>
      </c>
      <c r="K114" s="1083">
        <v>120.21</v>
      </c>
      <c r="M114" s="1083">
        <f t="shared" si="8"/>
        <v>160.57</v>
      </c>
      <c r="N114" s="1083">
        <f t="shared" si="9"/>
        <v>141.77000000000001</v>
      </c>
      <c r="O114" s="1083">
        <f t="shared" si="10"/>
        <v>129.70999999999998</v>
      </c>
      <c r="Q114" s="1263">
        <v>180.05</v>
      </c>
      <c r="R114" s="1263">
        <v>163.27000000000001</v>
      </c>
      <c r="S114" s="1263">
        <v>147.21</v>
      </c>
      <c r="U114" s="1265">
        <f t="shared" si="11"/>
        <v>-10.034733185073691</v>
      </c>
      <c r="V114" s="1265">
        <f t="shared" si="12"/>
        <v>9.7004655824305814</v>
      </c>
      <c r="W114" s="1265">
        <f t="shared" si="13"/>
        <v>22.971637795237513</v>
      </c>
    </row>
    <row r="115" spans="2:23" ht="15" thickBot="1">
      <c r="B115" s="161">
        <v>110</v>
      </c>
      <c r="C115" s="528" t="s">
        <v>512</v>
      </c>
      <c r="D115" s="524">
        <f>'Endebes_Price VAT Inclusive'!C49</f>
        <v>170.3685955284916</v>
      </c>
      <c r="E115" s="524">
        <f>'Endebes_Price VAT Inclusive'!E49</f>
        <v>173.3237942959959</v>
      </c>
      <c r="F115" s="524">
        <f>'Endebes_Price VAT Inclusive'!G49</f>
        <v>170.52496650880283</v>
      </c>
      <c r="I115" s="1083">
        <v>151.43</v>
      </c>
      <c r="J115" s="1083">
        <v>132.61000000000001</v>
      </c>
      <c r="K115" s="1083">
        <v>120.57</v>
      </c>
      <c r="M115" s="1083">
        <f t="shared" si="8"/>
        <v>160.93</v>
      </c>
      <c r="N115" s="1083">
        <f t="shared" si="9"/>
        <v>142.11000000000001</v>
      </c>
      <c r="O115" s="1083">
        <f t="shared" si="10"/>
        <v>130.07</v>
      </c>
      <c r="Q115" s="1263">
        <v>180.39</v>
      </c>
      <c r="R115" s="1263">
        <v>163.61000000000001</v>
      </c>
      <c r="S115" s="1263">
        <v>147.57</v>
      </c>
      <c r="U115" s="1265">
        <f t="shared" si="11"/>
        <v>-10.02140447150839</v>
      </c>
      <c r="V115" s="1265">
        <f t="shared" si="12"/>
        <v>9.7137942959958821</v>
      </c>
      <c r="W115" s="1265">
        <f t="shared" si="13"/>
        <v>22.954966508802841</v>
      </c>
    </row>
    <row r="116" spans="2:23" ht="15" thickBot="1">
      <c r="B116" s="161">
        <v>111</v>
      </c>
      <c r="C116" s="528" t="s">
        <v>513</v>
      </c>
      <c r="D116" s="524">
        <f>'Saboti_Price VAT Inclusive'!C49</f>
        <v>170.04921709000521</v>
      </c>
      <c r="E116" s="524">
        <f>'Saboti_Price VAT Inclusive'!E49</f>
        <v>172.99441585750949</v>
      </c>
      <c r="F116" s="524">
        <f>'Saboti_Price VAT Inclusive'!G49</f>
        <v>170.20558807031642</v>
      </c>
      <c r="I116" s="1083">
        <v>151.1</v>
      </c>
      <c r="J116" s="1083">
        <v>132.29</v>
      </c>
      <c r="K116" s="1083">
        <v>120.25</v>
      </c>
      <c r="M116" s="1083">
        <f t="shared" si="8"/>
        <v>160.6</v>
      </c>
      <c r="N116" s="1083">
        <f t="shared" si="9"/>
        <v>141.79</v>
      </c>
      <c r="O116" s="1083">
        <f t="shared" si="10"/>
        <v>129.75</v>
      </c>
      <c r="Q116" s="1263">
        <v>180.07</v>
      </c>
      <c r="R116" s="1263">
        <v>163.29</v>
      </c>
      <c r="S116" s="1263">
        <v>147.25</v>
      </c>
      <c r="U116" s="1265">
        <f t="shared" si="11"/>
        <v>-10.020782909994779</v>
      </c>
      <c r="V116" s="1265">
        <f t="shared" si="12"/>
        <v>9.7044158575095025</v>
      </c>
      <c r="W116" s="1265">
        <f t="shared" si="13"/>
        <v>22.955588070316423</v>
      </c>
    </row>
    <row r="117" spans="2:23" ht="15" thickBot="1">
      <c r="B117" s="161">
        <v>112</v>
      </c>
      <c r="C117" s="528" t="s">
        <v>514</v>
      </c>
      <c r="D117" s="524">
        <f>'Chepareria_Price VAT Inclusive'!C49</f>
        <v>170.67599882943858</v>
      </c>
      <c r="E117" s="529">
        <f>'Chepareria_Price VAT Inclusive'!E49</f>
        <v>173.63119759694285</v>
      </c>
      <c r="F117" s="524">
        <f>'Chepareria_Price VAT Inclusive'!G49</f>
        <v>170.83236980974982</v>
      </c>
      <c r="I117" s="1083">
        <v>151.72999999999999</v>
      </c>
      <c r="J117" s="1083">
        <v>132.93</v>
      </c>
      <c r="K117" s="1083">
        <v>120.87</v>
      </c>
      <c r="M117" s="1083">
        <f t="shared" si="8"/>
        <v>161.22999999999999</v>
      </c>
      <c r="N117" s="1083">
        <f t="shared" si="9"/>
        <v>142.43</v>
      </c>
      <c r="O117" s="1083">
        <f t="shared" si="10"/>
        <v>130.37</v>
      </c>
      <c r="Q117" s="1263">
        <v>180.71</v>
      </c>
      <c r="R117" s="1263">
        <v>163.93</v>
      </c>
      <c r="S117" s="1263">
        <v>147.87</v>
      </c>
      <c r="U117" s="1265">
        <f t="shared" si="11"/>
        <v>-10.034001170561424</v>
      </c>
      <c r="V117" s="1265">
        <f t="shared" si="12"/>
        <v>9.7011975969428477</v>
      </c>
      <c r="W117" s="1265">
        <f t="shared" si="13"/>
        <v>22.962369809749816</v>
      </c>
    </row>
    <row r="118" spans="2:23" ht="15" thickBot="1">
      <c r="B118" s="161">
        <v>113</v>
      </c>
      <c r="C118" s="528" t="s">
        <v>515</v>
      </c>
      <c r="D118" s="524">
        <f>'Lomut_Price VAT Inclusive'!C49</f>
        <v>172.29289102187062</v>
      </c>
      <c r="E118" s="524">
        <f>'Lomut_Price VAT Inclusive'!E49</f>
        <v>175.24808978937492</v>
      </c>
      <c r="F118" s="524">
        <f>'Lomut_Price VAT Inclusive'!G49</f>
        <v>172.44926200218188</v>
      </c>
      <c r="I118" s="1083">
        <v>153.35</v>
      </c>
      <c r="J118" s="1083">
        <v>134.53</v>
      </c>
      <c r="K118" s="1083">
        <v>122.49</v>
      </c>
      <c r="M118" s="1083">
        <f t="shared" si="8"/>
        <v>162.85</v>
      </c>
      <c r="N118" s="1083">
        <f t="shared" si="9"/>
        <v>144.03</v>
      </c>
      <c r="O118" s="1083">
        <f t="shared" si="10"/>
        <v>131.99</v>
      </c>
      <c r="Q118" s="1263">
        <v>182.33</v>
      </c>
      <c r="R118" s="1263">
        <v>165.53</v>
      </c>
      <c r="S118" s="1263">
        <v>149.49</v>
      </c>
      <c r="U118" s="1265">
        <f t="shared" si="11"/>
        <v>-10.037108978129396</v>
      </c>
      <c r="V118" s="1265">
        <f t="shared" si="12"/>
        <v>9.7180897893749147</v>
      </c>
      <c r="W118" s="1265">
        <f t="shared" si="13"/>
        <v>22.959262002181873</v>
      </c>
    </row>
    <row r="119" spans="2:23" ht="15" thickBot="1">
      <c r="B119" s="161">
        <v>114</v>
      </c>
      <c r="C119" s="528" t="s">
        <v>516</v>
      </c>
      <c r="D119" s="524">
        <f>'Burgich_Price VAT Inclusive'!C49</f>
        <v>171.08920323070114</v>
      </c>
      <c r="E119" s="524">
        <f>'Burgich_Price VAT Inclusive'!E49</f>
        <v>174.04440199820544</v>
      </c>
      <c r="F119" s="524">
        <f>'Burgich_Price VAT Inclusive'!G49</f>
        <v>171.2555742110124</v>
      </c>
      <c r="I119" s="1083">
        <v>152.15</v>
      </c>
      <c r="J119" s="1083">
        <v>133.34</v>
      </c>
      <c r="K119" s="1083">
        <v>121.29</v>
      </c>
      <c r="M119" s="1083">
        <f t="shared" si="8"/>
        <v>161.65</v>
      </c>
      <c r="N119" s="1083">
        <f t="shared" si="9"/>
        <v>142.84</v>
      </c>
      <c r="O119" s="1083">
        <f t="shared" si="10"/>
        <v>130.79000000000002</v>
      </c>
      <c r="Q119" s="1264">
        <v>181.12</v>
      </c>
      <c r="R119" s="1264">
        <v>164.34</v>
      </c>
      <c r="S119" s="1264">
        <v>148.29</v>
      </c>
      <c r="U119" s="1265">
        <f t="shared" si="11"/>
        <v>-10.03079676929886</v>
      </c>
      <c r="V119" s="1265">
        <f t="shared" si="12"/>
        <v>9.7044019982054408</v>
      </c>
      <c r="W119" s="1265">
        <f t="shared" si="13"/>
        <v>22.965574211012409</v>
      </c>
    </row>
    <row r="120" spans="2:23" ht="15" thickBot="1">
      <c r="B120" s="161">
        <v>115</v>
      </c>
      <c r="C120" s="528" t="s">
        <v>517</v>
      </c>
      <c r="D120" s="524">
        <f>'Sigor_Price VAT Inclusive'!C49</f>
        <v>171.21895460609574</v>
      </c>
      <c r="E120" s="524">
        <f>'Sigor_Price VAT Inclusive'!E49</f>
        <v>174.17415337360003</v>
      </c>
      <c r="F120" s="524">
        <f>'Sigor_Price VAT Inclusive'!G49</f>
        <v>171.37532558640697</v>
      </c>
      <c r="I120" s="1083">
        <v>152.28</v>
      </c>
      <c r="J120" s="1083">
        <v>133.47</v>
      </c>
      <c r="K120" s="1083">
        <v>121.42</v>
      </c>
      <c r="M120" s="1083">
        <f t="shared" si="8"/>
        <v>161.78</v>
      </c>
      <c r="N120" s="1083">
        <f t="shared" si="9"/>
        <v>142.97</v>
      </c>
      <c r="O120" s="1083">
        <f t="shared" si="10"/>
        <v>130.92000000000002</v>
      </c>
      <c r="Q120" s="1263">
        <v>181.25</v>
      </c>
      <c r="R120" s="1263">
        <v>164.47</v>
      </c>
      <c r="S120" s="1263">
        <v>148.41999999999999</v>
      </c>
      <c r="U120" s="1265">
        <f t="shared" si="11"/>
        <v>-10.031045393904265</v>
      </c>
      <c r="V120" s="1265">
        <f t="shared" si="12"/>
        <v>9.704153373600036</v>
      </c>
      <c r="W120" s="1265">
        <f t="shared" si="13"/>
        <v>22.955325586406985</v>
      </c>
    </row>
    <row r="121" spans="2:23" ht="15" thickBot="1">
      <c r="B121" s="161">
        <v>116</v>
      </c>
      <c r="C121" s="528" t="s">
        <v>662</v>
      </c>
      <c r="D121" s="524">
        <f>'Lodwar_Price VAT Inclusive'!C49</f>
        <v>173.65028046351358</v>
      </c>
      <c r="E121" s="524">
        <f>'Lodwar_Price VAT Inclusive'!E49</f>
        <v>176.60547923101788</v>
      </c>
      <c r="F121" s="524">
        <f>'Lodwar_Price VAT Inclusive'!G49</f>
        <v>173.80665144382482</v>
      </c>
      <c r="I121" s="1083">
        <v>154.71</v>
      </c>
      <c r="J121" s="1083">
        <v>135.9</v>
      </c>
      <c r="K121" s="1083">
        <v>123.85</v>
      </c>
      <c r="M121" s="1083">
        <f t="shared" si="8"/>
        <v>164.21</v>
      </c>
      <c r="N121" s="1083">
        <f t="shared" si="9"/>
        <v>145.4</v>
      </c>
      <c r="O121" s="1083">
        <f t="shared" si="10"/>
        <v>133.35</v>
      </c>
      <c r="Q121" s="1264">
        <v>183.68</v>
      </c>
      <c r="R121" s="1264">
        <v>166.9</v>
      </c>
      <c r="S121" s="1264">
        <v>150.85</v>
      </c>
      <c r="U121" s="1265">
        <f t="shared" si="11"/>
        <v>-10.029719536486425</v>
      </c>
      <c r="V121" s="1265">
        <f t="shared" si="12"/>
        <v>9.7054792310178755</v>
      </c>
      <c r="W121" s="1265">
        <f t="shared" si="13"/>
        <v>22.956651443824825</v>
      </c>
    </row>
    <row r="122" spans="2:23" ht="15" thickBot="1">
      <c r="B122" s="161">
        <v>117</v>
      </c>
      <c r="C122" s="528" t="s">
        <v>519</v>
      </c>
      <c r="D122" s="524">
        <f>'Kakuma_Price VAT Inclusive'!C49</f>
        <v>175.24322238086674</v>
      </c>
      <c r="E122" s="524">
        <f>'Kakuma_Price VAT Inclusive'!E49</f>
        <v>178.19842114837101</v>
      </c>
      <c r="F122" s="524">
        <f>'Kakuma_Price VAT Inclusive'!G49</f>
        <v>175.39959336117798</v>
      </c>
      <c r="I122" s="1083">
        <v>156.30000000000001</v>
      </c>
      <c r="J122" s="1083">
        <v>137.49</v>
      </c>
      <c r="K122" s="1083">
        <v>125.44</v>
      </c>
      <c r="M122" s="1083">
        <f t="shared" si="8"/>
        <v>165.8</v>
      </c>
      <c r="N122" s="1083">
        <f t="shared" si="9"/>
        <v>146.99</v>
      </c>
      <c r="O122" s="1083">
        <f t="shared" si="10"/>
        <v>134.94</v>
      </c>
      <c r="Q122" s="1263">
        <v>185.27</v>
      </c>
      <c r="R122" s="1263">
        <v>168.49</v>
      </c>
      <c r="S122" s="1263">
        <v>152.44</v>
      </c>
      <c r="U122" s="1265">
        <f t="shared" si="11"/>
        <v>-10.02677761913327</v>
      </c>
      <c r="V122" s="1265">
        <f t="shared" si="12"/>
        <v>9.7084211483710021</v>
      </c>
      <c r="W122" s="1265">
        <f t="shared" si="13"/>
        <v>22.95959336117798</v>
      </c>
    </row>
    <row r="123" spans="2:23" ht="15" thickBot="1">
      <c r="B123" s="161">
        <v>118</v>
      </c>
      <c r="C123" s="528" t="s">
        <v>520</v>
      </c>
      <c r="D123" s="524">
        <f>'Lokichar_Price VAT Inclusive'!C49</f>
        <v>172.65819487297543</v>
      </c>
      <c r="E123" s="524">
        <f>'Lokichar_Price VAT Inclusive'!E49</f>
        <v>175.6133936404797</v>
      </c>
      <c r="F123" s="524">
        <f>'Lokichar_Price VAT Inclusive'!G49</f>
        <v>172.81456585328667</v>
      </c>
      <c r="I123" s="1083">
        <v>153.71</v>
      </c>
      <c r="J123" s="1083">
        <v>134.9</v>
      </c>
      <c r="K123" s="1083">
        <v>122.85</v>
      </c>
      <c r="M123" s="1083">
        <f t="shared" si="8"/>
        <v>163.21</v>
      </c>
      <c r="N123" s="1083">
        <f t="shared" si="9"/>
        <v>144.4</v>
      </c>
      <c r="O123" s="1083">
        <f t="shared" si="10"/>
        <v>132.35</v>
      </c>
      <c r="Q123" s="1263">
        <v>182.68</v>
      </c>
      <c r="R123" s="1263">
        <v>165.9</v>
      </c>
      <c r="S123" s="1263">
        <v>149.85</v>
      </c>
      <c r="U123" s="1265">
        <f t="shared" si="11"/>
        <v>-10.021805127024578</v>
      </c>
      <c r="V123" s="1265">
        <f t="shared" si="12"/>
        <v>9.7133936404796941</v>
      </c>
      <c r="W123" s="1265">
        <f t="shared" si="13"/>
        <v>22.964565853286672</v>
      </c>
    </row>
    <row r="124" spans="2:23" ht="15" thickBot="1">
      <c r="B124" s="161">
        <v>119</v>
      </c>
      <c r="C124" s="528" t="s">
        <v>521</v>
      </c>
      <c r="D124" s="524">
        <f>'Kalokol_Price VAT Inclusive'!C49</f>
        <v>174.4168135783415</v>
      </c>
      <c r="E124" s="524">
        <f>'Kalokol_Price VAT Inclusive'!E49</f>
        <v>177.3720123458458</v>
      </c>
      <c r="F124" s="524">
        <f>'Kalokol_Price VAT Inclusive'!G49</f>
        <v>174.57318455865274</v>
      </c>
      <c r="I124" s="1083">
        <v>155.47</v>
      </c>
      <c r="J124" s="1083">
        <v>136.66</v>
      </c>
      <c r="K124" s="1083">
        <v>124.61</v>
      </c>
      <c r="M124" s="1083">
        <f t="shared" si="8"/>
        <v>164.97</v>
      </c>
      <c r="N124" s="1083">
        <f t="shared" si="9"/>
        <v>146.16</v>
      </c>
      <c r="O124" s="1083">
        <f t="shared" si="10"/>
        <v>134.11000000000001</v>
      </c>
      <c r="Q124" s="1263">
        <v>184.44</v>
      </c>
      <c r="R124" s="1263">
        <v>167.66</v>
      </c>
      <c r="S124" s="1263">
        <v>151.61000000000001</v>
      </c>
      <c r="U124" s="1265">
        <f t="shared" si="11"/>
        <v>-10.023186421658494</v>
      </c>
      <c r="V124" s="1265">
        <f t="shared" si="12"/>
        <v>9.7120123458458067</v>
      </c>
      <c r="W124" s="1265">
        <f t="shared" si="13"/>
        <v>22.963184558652728</v>
      </c>
    </row>
    <row r="125" spans="2:23" s="163" customFormat="1" ht="15" thickBot="1">
      <c r="B125" s="161">
        <v>120</v>
      </c>
      <c r="C125" s="528" t="s">
        <v>522</v>
      </c>
      <c r="D125" s="529">
        <f>'Lokori_Price VAT Inclusive'!C49</f>
        <v>173.02349872408018</v>
      </c>
      <c r="E125" s="529">
        <f>'Lokori_Price VAT Inclusive'!E49</f>
        <v>175.97869749158448</v>
      </c>
      <c r="F125" s="529">
        <f>'Lokori_Price VAT Inclusive'!G49</f>
        <v>173.17986970439145</v>
      </c>
      <c r="I125" s="1083">
        <v>154.07</v>
      </c>
      <c r="J125" s="1083">
        <v>135.27000000000001</v>
      </c>
      <c r="K125" s="1083">
        <v>123.22</v>
      </c>
      <c r="M125" s="1083">
        <f t="shared" si="8"/>
        <v>163.57</v>
      </c>
      <c r="N125" s="1083">
        <f t="shared" si="9"/>
        <v>144.77000000000001</v>
      </c>
      <c r="O125" s="1083">
        <f t="shared" si="10"/>
        <v>132.72</v>
      </c>
      <c r="Q125" s="1263">
        <v>183.05</v>
      </c>
      <c r="R125" s="1263">
        <v>166.27</v>
      </c>
      <c r="S125" s="1263">
        <v>150.22</v>
      </c>
      <c r="U125" s="1265">
        <f t="shared" si="11"/>
        <v>-10.026501275919827</v>
      </c>
      <c r="V125" s="1265">
        <f t="shared" si="12"/>
        <v>9.7086974915844735</v>
      </c>
      <c r="W125" s="1265">
        <f t="shared" si="13"/>
        <v>22.959869704391451</v>
      </c>
    </row>
    <row r="126" spans="2:23" ht="15" thickBot="1">
      <c r="B126" s="161">
        <v>121</v>
      </c>
      <c r="C126" s="528" t="s">
        <v>523</v>
      </c>
      <c r="D126" s="524">
        <f>'Lokitaung_Price VAT Inclusive'!C49</f>
        <v>177.29726924964029</v>
      </c>
      <c r="E126" s="524">
        <f>'Lokitaung_Price VAT Inclusive'!E49</f>
        <v>180.25246801714459</v>
      </c>
      <c r="F126" s="524">
        <f>'Lokitaung_Price VAT Inclusive'!G49</f>
        <v>177.46364022995155</v>
      </c>
      <c r="I126" s="1083">
        <v>158.35</v>
      </c>
      <c r="J126" s="1083">
        <v>139.55000000000001</v>
      </c>
      <c r="K126" s="1083">
        <v>127.49</v>
      </c>
      <c r="M126" s="1083">
        <f t="shared" si="8"/>
        <v>167.85</v>
      </c>
      <c r="N126" s="1083">
        <f t="shared" si="9"/>
        <v>149.05000000000001</v>
      </c>
      <c r="O126" s="1083">
        <f t="shared" si="10"/>
        <v>136.99</v>
      </c>
      <c r="Q126" s="1263">
        <v>187.33</v>
      </c>
      <c r="R126" s="1263">
        <v>170.55</v>
      </c>
      <c r="S126" s="1263">
        <v>154.49</v>
      </c>
      <c r="U126" s="1265">
        <f t="shared" si="11"/>
        <v>-10.032730750359718</v>
      </c>
      <c r="V126" s="1265">
        <f t="shared" si="12"/>
        <v>9.7024680171445823</v>
      </c>
      <c r="W126" s="1265">
        <f t="shared" si="13"/>
        <v>22.973640229951542</v>
      </c>
    </row>
    <row r="127" spans="2:23" ht="15" thickBot="1">
      <c r="B127" s="161">
        <v>122</v>
      </c>
      <c r="C127" s="528" t="s">
        <v>524</v>
      </c>
      <c r="D127" s="524">
        <f>'Kapedo_Price VAT Inclusive'!C49</f>
        <v>172.29289102187062</v>
      </c>
      <c r="E127" s="524">
        <f>'Kapedo_Price VAT Inclusive'!E49</f>
        <v>175.24808978937492</v>
      </c>
      <c r="F127" s="524">
        <f>'Kapedo_Price VAT Inclusive'!G49</f>
        <v>172.44926200218188</v>
      </c>
      <c r="I127" s="1083">
        <v>153.35</v>
      </c>
      <c r="J127" s="1083">
        <v>134.53</v>
      </c>
      <c r="K127" s="1083">
        <v>122.49</v>
      </c>
      <c r="M127" s="1083">
        <f t="shared" si="8"/>
        <v>162.85</v>
      </c>
      <c r="N127" s="1083">
        <f t="shared" si="9"/>
        <v>144.03</v>
      </c>
      <c r="O127" s="1083">
        <f t="shared" si="10"/>
        <v>131.99</v>
      </c>
      <c r="Q127" s="1263">
        <v>182.33</v>
      </c>
      <c r="R127" s="1263">
        <v>165.53</v>
      </c>
      <c r="S127" s="1263">
        <v>149.49</v>
      </c>
      <c r="U127" s="1265">
        <f t="shared" si="11"/>
        <v>-10.037108978129396</v>
      </c>
      <c r="V127" s="1265">
        <f t="shared" si="12"/>
        <v>9.7180897893749147</v>
      </c>
      <c r="W127" s="1265">
        <f t="shared" si="13"/>
        <v>22.959262002181873</v>
      </c>
    </row>
    <row r="128" spans="2:23" ht="15" thickBot="1">
      <c r="B128" s="161">
        <v>123</v>
      </c>
      <c r="C128" s="530" t="s">
        <v>174</v>
      </c>
      <c r="D128" s="524">
        <f>'Malaba_Price VAT Inclusive'!C49</f>
        <v>170.6400734168202</v>
      </c>
      <c r="E128" s="524">
        <f>'Malaba_Price VAT Inclusive'!E49</f>
        <v>173.59527218432447</v>
      </c>
      <c r="F128" s="524">
        <f>'Malaba_Price VAT Inclusive'!G49</f>
        <v>170.79644439713144</v>
      </c>
      <c r="I128" s="1083">
        <v>151.69999999999999</v>
      </c>
      <c r="J128" s="1083">
        <v>132.88</v>
      </c>
      <c r="K128" s="1083">
        <v>120.84</v>
      </c>
      <c r="M128" s="1083">
        <f t="shared" si="8"/>
        <v>161.19999999999999</v>
      </c>
      <c r="N128" s="1083">
        <f t="shared" si="9"/>
        <v>142.38</v>
      </c>
      <c r="O128" s="1083">
        <f t="shared" si="10"/>
        <v>130.34</v>
      </c>
      <c r="Q128" s="1263">
        <v>180.66</v>
      </c>
      <c r="R128" s="1263">
        <v>163.88</v>
      </c>
      <c r="S128" s="1263">
        <v>147.84</v>
      </c>
      <c r="U128" s="1265">
        <f t="shared" si="11"/>
        <v>-10.019926583179796</v>
      </c>
      <c r="V128" s="1265">
        <f t="shared" si="12"/>
        <v>9.7152721843244763</v>
      </c>
      <c r="W128" s="1265">
        <f t="shared" si="13"/>
        <v>22.956444397131435</v>
      </c>
    </row>
    <row r="129" spans="2:23" ht="15" thickBot="1">
      <c r="B129" s="161">
        <v>124</v>
      </c>
      <c r="C129" s="530" t="s">
        <v>113</v>
      </c>
      <c r="D129" s="524">
        <f>'Lokichogio_Price VAT Inclusive'!C49</f>
        <v>176.43493503449673</v>
      </c>
      <c r="E129" s="529">
        <f>'Lokichogio_Price VAT Inclusive'!E49</f>
        <v>179.390133802001</v>
      </c>
      <c r="F129" s="524">
        <f>'Lokichogio_Price VAT Inclusive'!G49</f>
        <v>176.59130601480797</v>
      </c>
      <c r="I129" s="1083">
        <v>157.47999999999999</v>
      </c>
      <c r="J129" s="1083">
        <v>138.68</v>
      </c>
      <c r="K129" s="1083">
        <v>126.63</v>
      </c>
      <c r="M129" s="1083">
        <f t="shared" si="8"/>
        <v>166.98</v>
      </c>
      <c r="N129" s="1083">
        <f t="shared" si="9"/>
        <v>148.18</v>
      </c>
      <c r="O129" s="1083">
        <f t="shared" si="10"/>
        <v>136.13</v>
      </c>
      <c r="Q129" s="1263">
        <v>186.46</v>
      </c>
      <c r="R129" s="1263">
        <v>169.68</v>
      </c>
      <c r="S129" s="1263">
        <v>153.63</v>
      </c>
      <c r="U129" s="1265">
        <f t="shared" si="11"/>
        <v>-10.025064965503276</v>
      </c>
      <c r="V129" s="1265">
        <f t="shared" si="12"/>
        <v>9.7101338020009962</v>
      </c>
      <c r="W129" s="1265">
        <f t="shared" si="13"/>
        <v>22.961306014807974</v>
      </c>
    </row>
    <row r="130" spans="2:23" ht="15" thickBot="1">
      <c r="B130" s="161">
        <v>125</v>
      </c>
      <c r="C130" s="530" t="s">
        <v>638</v>
      </c>
      <c r="D130" s="524">
        <f>'Ziwa_Price VAT INclusive'!C49</f>
        <v>169.67193810136098</v>
      </c>
      <c r="E130" s="524">
        <f>'Ziwa_Price VAT INclusive'!E49</f>
        <v>172.62713686886525</v>
      </c>
      <c r="F130" s="524">
        <f>'Ziwa_Price VAT INclusive'!G49</f>
        <v>169.82830908167222</v>
      </c>
      <c r="I130" s="1083">
        <v>150.72</v>
      </c>
      <c r="J130" s="1083">
        <v>131.91</v>
      </c>
      <c r="K130" s="1083">
        <v>119.87</v>
      </c>
      <c r="M130" s="1083">
        <f t="shared" si="8"/>
        <v>160.22</v>
      </c>
      <c r="N130" s="1083">
        <f t="shared" si="9"/>
        <v>141.41</v>
      </c>
      <c r="O130" s="1083">
        <f t="shared" si="10"/>
        <v>129.37</v>
      </c>
      <c r="Q130" s="1263">
        <v>179.69</v>
      </c>
      <c r="R130" s="1263">
        <v>162.91</v>
      </c>
      <c r="S130" s="1263">
        <v>146.87</v>
      </c>
      <c r="U130" s="1265">
        <f t="shared" si="11"/>
        <v>-10.018061898639019</v>
      </c>
      <c r="V130" s="1265">
        <f t="shared" si="12"/>
        <v>9.7171368688652535</v>
      </c>
      <c r="W130" s="1265">
        <f t="shared" si="13"/>
        <v>22.958309081672212</v>
      </c>
    </row>
    <row r="131" spans="2:23" ht="15" thickBot="1">
      <c r="B131" s="161">
        <v>126</v>
      </c>
      <c r="C131" s="530" t="s">
        <v>606</v>
      </c>
      <c r="D131" s="524">
        <f>'Soy_Price VAT Inclusive'!C49</f>
        <v>169.47231103826914</v>
      </c>
      <c r="E131" s="524">
        <f>'Soy_Price VAT Inclusive'!E49</f>
        <v>172.42750980577341</v>
      </c>
      <c r="F131" s="524">
        <f>'Soy_Price VAT Inclusive'!G49</f>
        <v>169.63868201858034</v>
      </c>
      <c r="I131" s="1083">
        <v>150.53</v>
      </c>
      <c r="J131" s="1083">
        <v>131.72</v>
      </c>
      <c r="K131" s="1083">
        <v>119.67</v>
      </c>
      <c r="M131" s="1083">
        <f t="shared" si="8"/>
        <v>160.03</v>
      </c>
      <c r="N131" s="1083">
        <f t="shared" si="9"/>
        <v>141.22</v>
      </c>
      <c r="O131" s="1083">
        <f t="shared" si="10"/>
        <v>129.17000000000002</v>
      </c>
      <c r="Q131" s="1263">
        <v>179.51</v>
      </c>
      <c r="R131" s="1263">
        <v>162.72</v>
      </c>
      <c r="S131" s="1263">
        <v>146.66999999999999</v>
      </c>
      <c r="U131" s="1265">
        <f t="shared" si="11"/>
        <v>-10.037688961730851</v>
      </c>
      <c r="V131" s="1265">
        <f t="shared" si="12"/>
        <v>9.7075098057734124</v>
      </c>
      <c r="W131" s="1265">
        <f t="shared" si="13"/>
        <v>22.968682018580353</v>
      </c>
    </row>
    <row r="132" spans="2:23" ht="15" thickBot="1">
      <c r="B132" s="161">
        <v>127</v>
      </c>
      <c r="C132" s="530" t="s">
        <v>607</v>
      </c>
      <c r="D132" s="524">
        <f>'Moi''s Bridge_Price VAT Inclusiv'!C49</f>
        <v>169.54218672596642</v>
      </c>
      <c r="E132" s="524">
        <f>'Moi''s Bridge_Price VAT Inclusiv'!E49</f>
        <v>172.49738549347069</v>
      </c>
      <c r="F132" s="524">
        <f>'Moi''s Bridge_Price VAT Inclusiv'!G49</f>
        <v>169.69855770627763</v>
      </c>
      <c r="I132" s="1083">
        <v>150.59</v>
      </c>
      <c r="J132" s="1083">
        <v>131.78</v>
      </c>
      <c r="K132" s="1083">
        <v>119.74</v>
      </c>
      <c r="M132" s="1083">
        <f t="shared" si="8"/>
        <v>160.09</v>
      </c>
      <c r="N132" s="1083">
        <f t="shared" si="9"/>
        <v>141.28</v>
      </c>
      <c r="O132" s="1083">
        <f t="shared" si="10"/>
        <v>129.24</v>
      </c>
      <c r="Q132" s="1263">
        <v>179.57</v>
      </c>
      <c r="R132" s="1263">
        <v>162.78</v>
      </c>
      <c r="S132" s="1263">
        <v>146.74</v>
      </c>
      <c r="U132" s="1265">
        <f t="shared" si="11"/>
        <v>-10.027813274033576</v>
      </c>
      <c r="V132" s="1265">
        <f t="shared" si="12"/>
        <v>9.7173854934706867</v>
      </c>
      <c r="W132" s="1265">
        <f t="shared" si="13"/>
        <v>22.958557706277617</v>
      </c>
    </row>
    <row r="133" spans="2:23" ht="15" thickBot="1">
      <c r="B133" s="161">
        <v>128</v>
      </c>
      <c r="C133" s="530" t="s">
        <v>608</v>
      </c>
      <c r="D133" s="524">
        <f>'Turbo_Price VAT Inclusive'!C49</f>
        <v>169.42441048811128</v>
      </c>
      <c r="E133" s="524">
        <f>'Turbo_Price VAT Inclusive'!E49</f>
        <v>172.37960925561558</v>
      </c>
      <c r="F133" s="524">
        <f>'Turbo_Price VAT Inclusive'!G49</f>
        <v>169.58078146842251</v>
      </c>
      <c r="I133" s="1083">
        <v>150.47999999999999</v>
      </c>
      <c r="J133" s="1083">
        <v>131.66999999999999</v>
      </c>
      <c r="K133" s="1083">
        <v>119.62</v>
      </c>
      <c r="M133" s="1083">
        <f t="shared" si="8"/>
        <v>159.97999999999999</v>
      </c>
      <c r="N133" s="1083">
        <f t="shared" si="9"/>
        <v>141.16999999999999</v>
      </c>
      <c r="O133" s="1083">
        <f t="shared" si="10"/>
        <v>129.12</v>
      </c>
      <c r="Q133" s="1263">
        <v>179.45</v>
      </c>
      <c r="R133" s="1263">
        <v>162.66999999999999</v>
      </c>
      <c r="S133" s="1263">
        <v>146.62</v>
      </c>
      <c r="U133" s="1265">
        <f t="shared" si="11"/>
        <v>-10.025589511888711</v>
      </c>
      <c r="V133" s="1265">
        <f t="shared" si="12"/>
        <v>9.7096092556155895</v>
      </c>
      <c r="W133" s="1265">
        <f t="shared" si="13"/>
        <v>22.96078146842251</v>
      </c>
    </row>
    <row r="134" spans="2:23" ht="15" thickBot="1">
      <c r="B134" s="161">
        <v>129</v>
      </c>
      <c r="C134" s="530" t="s">
        <v>609</v>
      </c>
      <c r="D134" s="524">
        <f>'Kibish _Prive VAT Inclusive'!C49</f>
        <v>177.53282172535054</v>
      </c>
      <c r="E134" s="524">
        <f>'Kibish _Prive VAT Inclusive'!E49</f>
        <v>180.48802049285482</v>
      </c>
      <c r="F134" s="524">
        <f>'Kibish _Prive VAT Inclusive'!G49</f>
        <v>177.68919270566175</v>
      </c>
      <c r="I134" s="1083">
        <v>158.59</v>
      </c>
      <c r="J134" s="1083">
        <v>139.77000000000001</v>
      </c>
      <c r="K134" s="1083">
        <v>127.73</v>
      </c>
      <c r="M134" s="1083">
        <f t="shared" si="8"/>
        <v>168.09</v>
      </c>
      <c r="N134" s="1083">
        <f t="shared" si="9"/>
        <v>149.27000000000001</v>
      </c>
      <c r="O134" s="1083">
        <f t="shared" si="10"/>
        <v>137.23000000000002</v>
      </c>
      <c r="Q134" s="1263">
        <v>187.56</v>
      </c>
      <c r="R134" s="1263">
        <v>170.77</v>
      </c>
      <c r="S134" s="1263">
        <v>154.72999999999999</v>
      </c>
      <c r="U134" s="1265">
        <f t="shared" si="11"/>
        <v>-10.027178274649458</v>
      </c>
      <c r="V134" s="1265">
        <f t="shared" si="12"/>
        <v>9.7180204928548051</v>
      </c>
      <c r="W134" s="1265">
        <f t="shared" si="13"/>
        <v>22.959192705661764</v>
      </c>
    </row>
    <row r="135" spans="2:23" ht="15" thickBot="1">
      <c r="B135" s="161">
        <v>130</v>
      </c>
      <c r="C135" s="530" t="s">
        <v>610</v>
      </c>
      <c r="D135" s="524">
        <f>'Nakalale_Price VAT Inclusive'!C49</f>
        <v>176.35308420925998</v>
      </c>
      <c r="E135" s="524">
        <f>'Nakalale_Price VAT Inclusive'!E49</f>
        <v>179.30828297676427</v>
      </c>
      <c r="F135" s="524">
        <f>'Nakalale_Price VAT Inclusive'!G49</f>
        <v>176.51945518957123</v>
      </c>
      <c r="I135" s="1083">
        <v>157.41</v>
      </c>
      <c r="J135" s="1083">
        <v>138.6</v>
      </c>
      <c r="K135" s="1083">
        <v>126.55</v>
      </c>
      <c r="M135" s="1083">
        <f t="shared" ref="M135:M198" si="14">I135+9.5</f>
        <v>166.91</v>
      </c>
      <c r="N135" s="1083">
        <f t="shared" ref="N135:N198" si="15">J135+9.5</f>
        <v>148.1</v>
      </c>
      <c r="O135" s="1083">
        <f t="shared" ref="O135:O198" si="16">K135+9.5</f>
        <v>136.05000000000001</v>
      </c>
      <c r="Q135" s="1263">
        <v>186.39</v>
      </c>
      <c r="R135" s="1263">
        <v>169.6</v>
      </c>
      <c r="S135" s="1263">
        <v>153.55000000000001</v>
      </c>
      <c r="U135" s="1265">
        <f t="shared" ref="U135:U198" si="17">D135-Q135</f>
        <v>-10.036915790740011</v>
      </c>
      <c r="V135" s="1265">
        <f t="shared" ref="V135:V198" si="18">E135-R135</f>
        <v>9.7082829767642806</v>
      </c>
      <c r="W135" s="1265">
        <f t="shared" ref="W135:W198" si="19">F135-S135</f>
        <v>22.969455189571221</v>
      </c>
    </row>
    <row r="136" spans="2:23" ht="15" thickBot="1">
      <c r="B136" s="161">
        <v>131</v>
      </c>
      <c r="C136" s="530" t="s">
        <v>611</v>
      </c>
      <c r="D136" s="524">
        <f>'Loima_Price VAT Inclusive'!C49</f>
        <v>172.77597111083054</v>
      </c>
      <c r="E136" s="524">
        <f>'Loima_Price VAT Inclusive'!E49</f>
        <v>175.73116987833484</v>
      </c>
      <c r="F136" s="524">
        <f>'Loima_Price VAT Inclusive'!G49</f>
        <v>172.93234209114178</v>
      </c>
      <c r="I136" s="1083">
        <v>153.82</v>
      </c>
      <c r="J136" s="1083">
        <v>135.02000000000001</v>
      </c>
      <c r="K136" s="1083">
        <v>122.97</v>
      </c>
      <c r="M136" s="1083">
        <f t="shared" si="14"/>
        <v>163.32</v>
      </c>
      <c r="N136" s="1083">
        <f t="shared" si="15"/>
        <v>144.52000000000001</v>
      </c>
      <c r="O136" s="1083">
        <f t="shared" si="16"/>
        <v>132.47</v>
      </c>
      <c r="Q136" s="1263">
        <v>182.8</v>
      </c>
      <c r="R136" s="1263">
        <v>166.02</v>
      </c>
      <c r="S136" s="1263">
        <v>149.97</v>
      </c>
      <c r="U136" s="1265">
        <f t="shared" si="17"/>
        <v>-10.024028889169472</v>
      </c>
      <c r="V136" s="1265">
        <f t="shared" si="18"/>
        <v>9.7111698783348288</v>
      </c>
      <c r="W136" s="1265">
        <f t="shared" si="19"/>
        <v>22.962342091141778</v>
      </c>
    </row>
    <row r="137" spans="2:23" ht="15" thickBot="1">
      <c r="B137" s="161">
        <v>132</v>
      </c>
      <c r="C137" s="530" t="s">
        <v>612</v>
      </c>
      <c r="D137" s="524">
        <f>'Lokiriama_Price VAT Inclusive'!C49</f>
        <v>174.33496275310475</v>
      </c>
      <c r="E137" s="524">
        <f>'Lokiriama_Price VAT Inclusive'!E49</f>
        <v>177.29016152060905</v>
      </c>
      <c r="F137" s="524">
        <f>'Lokiriama_Price VAT Inclusive'!G49</f>
        <v>174.501333733416</v>
      </c>
      <c r="I137" s="1083">
        <v>155.38999999999999</v>
      </c>
      <c r="J137" s="1083">
        <v>136.59</v>
      </c>
      <c r="K137" s="1083">
        <v>124.53</v>
      </c>
      <c r="M137" s="1083">
        <f t="shared" si="14"/>
        <v>164.89</v>
      </c>
      <c r="N137" s="1083">
        <f t="shared" si="15"/>
        <v>146.09</v>
      </c>
      <c r="O137" s="1083">
        <f t="shared" si="16"/>
        <v>134.03</v>
      </c>
      <c r="Q137" s="1263">
        <v>184.37</v>
      </c>
      <c r="R137" s="1263">
        <v>167.59</v>
      </c>
      <c r="S137" s="1263">
        <v>151.53</v>
      </c>
      <c r="U137" s="1265">
        <f t="shared" si="17"/>
        <v>-10.035037246895257</v>
      </c>
      <c r="V137" s="1265">
        <f t="shared" si="18"/>
        <v>9.7001615206090435</v>
      </c>
      <c r="W137" s="1265">
        <f t="shared" si="19"/>
        <v>22.971333733416003</v>
      </c>
    </row>
    <row r="138" spans="2:23" ht="15" thickBot="1">
      <c r="B138" s="161">
        <v>133</v>
      </c>
      <c r="C138" s="530" t="s">
        <v>613</v>
      </c>
      <c r="D138" s="524">
        <f>'Kainuk_Price VAT Inclusive'!C49</f>
        <v>171.54833304458217</v>
      </c>
      <c r="E138" s="524">
        <f>'Kainuk_Price VAT Inclusive'!E49</f>
        <v>174.50353181208646</v>
      </c>
      <c r="F138" s="524">
        <f>'Kainuk_Price VAT Inclusive'!G49</f>
        <v>171.7047040248934</v>
      </c>
      <c r="I138" s="1083">
        <v>152.6</v>
      </c>
      <c r="J138" s="1083">
        <v>133.79</v>
      </c>
      <c r="K138" s="1083">
        <v>121.74</v>
      </c>
      <c r="M138" s="1083">
        <f t="shared" si="14"/>
        <v>162.1</v>
      </c>
      <c r="N138" s="1083">
        <f t="shared" si="15"/>
        <v>143.29</v>
      </c>
      <c r="O138" s="1083">
        <f t="shared" si="16"/>
        <v>131.24</v>
      </c>
      <c r="Q138" s="1263">
        <v>181.57</v>
      </c>
      <c r="R138" s="1263">
        <v>164.79</v>
      </c>
      <c r="S138" s="1263">
        <v>148.74</v>
      </c>
      <c r="U138" s="1265">
        <f t="shared" si="17"/>
        <v>-10.021666955417828</v>
      </c>
      <c r="V138" s="1265">
        <f t="shared" si="18"/>
        <v>9.7135318120864724</v>
      </c>
      <c r="W138" s="1265">
        <f t="shared" si="19"/>
        <v>22.964704024893393</v>
      </c>
    </row>
    <row r="139" spans="2:23" ht="15" thickBot="1">
      <c r="B139" s="161">
        <v>134</v>
      </c>
      <c r="C139" s="530" t="s">
        <v>614</v>
      </c>
      <c r="D139" s="524">
        <f>'Kacheliba_Price VAT Inclusive'!C49</f>
        <v>170.87562589253039</v>
      </c>
      <c r="E139" s="524">
        <f>'Kacheliba_Price VAT Inclusive'!E49</f>
        <v>173.83082466003469</v>
      </c>
      <c r="F139" s="524">
        <f>'Kacheliba_Price VAT Inclusive'!G49</f>
        <v>171.03199687284163</v>
      </c>
      <c r="I139" s="1083">
        <v>151.91999999999999</v>
      </c>
      <c r="J139" s="1083">
        <v>133.12</v>
      </c>
      <c r="K139" s="1083">
        <v>121.07</v>
      </c>
      <c r="M139" s="1083">
        <f t="shared" si="14"/>
        <v>161.41999999999999</v>
      </c>
      <c r="N139" s="1083">
        <f t="shared" si="15"/>
        <v>142.62</v>
      </c>
      <c r="O139" s="1083">
        <f t="shared" si="16"/>
        <v>130.57</v>
      </c>
      <c r="Q139" s="1263">
        <v>180.9</v>
      </c>
      <c r="R139" s="1263">
        <v>164.12</v>
      </c>
      <c r="S139" s="1263">
        <v>148.07</v>
      </c>
      <c r="U139" s="1265">
        <f t="shared" si="17"/>
        <v>-10.024374107469612</v>
      </c>
      <c r="V139" s="1265">
        <f t="shared" si="18"/>
        <v>9.7108246600346888</v>
      </c>
      <c r="W139" s="1265">
        <f t="shared" si="19"/>
        <v>22.961996872841638</v>
      </c>
    </row>
    <row r="140" spans="2:23" ht="15" thickBot="1">
      <c r="B140" s="161">
        <v>135</v>
      </c>
      <c r="C140" s="530" t="s">
        <v>615</v>
      </c>
      <c r="D140" s="524">
        <f>'Kiwawa_Price VAT Inclusive'!C49</f>
        <v>171.47845735688486</v>
      </c>
      <c r="E140" s="524">
        <f>'Kiwawa_Price VAT Inclusive'!E49</f>
        <v>174.43365612438916</v>
      </c>
      <c r="F140" s="524">
        <f>'Kiwawa_Price VAT Inclusive'!G49</f>
        <v>171.63482833719613</v>
      </c>
      <c r="I140" s="1083">
        <v>152.54</v>
      </c>
      <c r="J140" s="1083">
        <v>133.72</v>
      </c>
      <c r="K140" s="1083">
        <v>121.68</v>
      </c>
      <c r="M140" s="1083">
        <f t="shared" si="14"/>
        <v>162.04</v>
      </c>
      <c r="N140" s="1083">
        <f t="shared" si="15"/>
        <v>143.22</v>
      </c>
      <c r="O140" s="1083">
        <f t="shared" si="16"/>
        <v>131.18</v>
      </c>
      <c r="Q140" s="1263">
        <v>181.5</v>
      </c>
      <c r="R140" s="1263">
        <v>164.72</v>
      </c>
      <c r="S140" s="1263">
        <v>148.68</v>
      </c>
      <c r="U140" s="1265">
        <f t="shared" si="17"/>
        <v>-10.02154264311514</v>
      </c>
      <c r="V140" s="1265">
        <f t="shared" si="18"/>
        <v>9.7136561243891606</v>
      </c>
      <c r="W140" s="1265">
        <f t="shared" si="19"/>
        <v>22.954828337196119</v>
      </c>
    </row>
    <row r="141" spans="2:23" ht="15" thickBot="1">
      <c r="B141" s="161">
        <v>136</v>
      </c>
      <c r="C141" s="530" t="s">
        <v>616</v>
      </c>
      <c r="D141" s="524">
        <f>'Ortum_Price VAT Inclusive'!C49</f>
        <v>171.06525295562224</v>
      </c>
      <c r="E141" s="524">
        <f>'Ortum_Price VAT Inclusive'!E49</f>
        <v>174.02045172312654</v>
      </c>
      <c r="F141" s="524">
        <f>'Ortum_Price VAT Inclusive'!G49</f>
        <v>171.22162393593351</v>
      </c>
      <c r="I141" s="1083">
        <v>152.12</v>
      </c>
      <c r="J141" s="1083">
        <v>133.31</v>
      </c>
      <c r="K141" s="1083">
        <v>121.26</v>
      </c>
      <c r="M141" s="1083">
        <f t="shared" si="14"/>
        <v>161.62</v>
      </c>
      <c r="N141" s="1083">
        <f t="shared" si="15"/>
        <v>142.81</v>
      </c>
      <c r="O141" s="1083">
        <f t="shared" si="16"/>
        <v>130.76</v>
      </c>
      <c r="Q141" s="1263">
        <v>181.09</v>
      </c>
      <c r="R141" s="1263">
        <v>164.31</v>
      </c>
      <c r="S141" s="1263">
        <v>148.26</v>
      </c>
      <c r="U141" s="1265">
        <f t="shared" si="17"/>
        <v>-10.024747044377762</v>
      </c>
      <c r="V141" s="1265">
        <f t="shared" si="18"/>
        <v>9.710451723126539</v>
      </c>
      <c r="W141" s="1265">
        <f t="shared" si="19"/>
        <v>22.961623935933517</v>
      </c>
    </row>
    <row r="142" spans="2:23" ht="15" thickBot="1">
      <c r="B142" s="161">
        <v>137</v>
      </c>
      <c r="C142" s="530" t="s">
        <v>617</v>
      </c>
      <c r="D142" s="524">
        <f>'Kachibora_Price VAT Inclusive'!C49</f>
        <v>169.8615651644528</v>
      </c>
      <c r="E142" s="524">
        <f>'Kachibora_Price VAT Inclusive'!E49</f>
        <v>172.8167639319571</v>
      </c>
      <c r="F142" s="524">
        <f>'Kachibora_Price VAT Inclusive'!G49</f>
        <v>170.01793614476404</v>
      </c>
      <c r="I142" s="1083">
        <v>150.91999999999999</v>
      </c>
      <c r="J142" s="1083">
        <v>132.1</v>
      </c>
      <c r="K142" s="1083">
        <v>120.06</v>
      </c>
      <c r="M142" s="1083">
        <f t="shared" si="14"/>
        <v>160.41999999999999</v>
      </c>
      <c r="N142" s="1083">
        <f t="shared" si="15"/>
        <v>141.6</v>
      </c>
      <c r="O142" s="1083">
        <f t="shared" si="16"/>
        <v>129.56</v>
      </c>
      <c r="Q142" s="1263">
        <v>179.89</v>
      </c>
      <c r="R142" s="1263">
        <v>163.1</v>
      </c>
      <c r="S142" s="1263">
        <v>147.06</v>
      </c>
      <c r="U142" s="1265">
        <f t="shared" si="17"/>
        <v>-10.028434835547188</v>
      </c>
      <c r="V142" s="1265">
        <f t="shared" si="18"/>
        <v>9.7167639319571038</v>
      </c>
      <c r="W142" s="1265">
        <f t="shared" si="19"/>
        <v>22.957936144764034</v>
      </c>
    </row>
    <row r="143" spans="2:23" ht="15" thickBot="1">
      <c r="B143" s="161">
        <v>138</v>
      </c>
      <c r="C143" s="530" t="s">
        <v>618</v>
      </c>
      <c r="D143" s="524">
        <f>'Kwanza_Price VAT Inclusive'!C49</f>
        <v>170.58019772912292</v>
      </c>
      <c r="E143" s="524">
        <f>'Kwanza_Price VAT Inclusive'!E49</f>
        <v>173.5253964966272</v>
      </c>
      <c r="F143" s="524">
        <f>'Kwanza_Price VAT Inclusive'!G49</f>
        <v>170.73656870943415</v>
      </c>
      <c r="I143" s="1083">
        <v>151.63</v>
      </c>
      <c r="J143" s="1083">
        <v>132.82</v>
      </c>
      <c r="K143" s="1083">
        <v>120.78</v>
      </c>
      <c r="M143" s="1083">
        <f t="shared" si="14"/>
        <v>161.13</v>
      </c>
      <c r="N143" s="1083">
        <f t="shared" si="15"/>
        <v>142.32</v>
      </c>
      <c r="O143" s="1083">
        <f t="shared" si="16"/>
        <v>130.28</v>
      </c>
      <c r="Q143" s="1263">
        <v>180.6</v>
      </c>
      <c r="R143" s="1263">
        <v>163.82</v>
      </c>
      <c r="S143" s="1263">
        <v>147.78</v>
      </c>
      <c r="U143" s="1265">
        <f t="shared" si="17"/>
        <v>-10.019802270877079</v>
      </c>
      <c r="V143" s="1265">
        <f t="shared" si="18"/>
        <v>9.7053964966272019</v>
      </c>
      <c r="W143" s="1265">
        <f t="shared" si="19"/>
        <v>22.956568709434151</v>
      </c>
    </row>
    <row r="144" spans="2:23" ht="15" thickBot="1">
      <c r="B144" s="161">
        <v>139</v>
      </c>
      <c r="C144" s="530" t="s">
        <v>619</v>
      </c>
      <c r="D144" s="524">
        <f>'Kaplamai_Price VAT Inclusive'!C49</f>
        <v>169.88551543953176</v>
      </c>
      <c r="E144" s="524">
        <f>'Kaplamai_Price VAT Inclusive'!E49</f>
        <v>172.84071420703603</v>
      </c>
      <c r="F144" s="524">
        <f>'Kaplamai_Price VAT Inclusive'!G49</f>
        <v>170.05188641984296</v>
      </c>
      <c r="I144" s="1083">
        <v>150.94</v>
      </c>
      <c r="J144" s="1083">
        <v>132.13999999999999</v>
      </c>
      <c r="K144" s="1083">
        <v>120.08</v>
      </c>
      <c r="M144" s="1083">
        <f t="shared" si="14"/>
        <v>160.44</v>
      </c>
      <c r="N144" s="1083">
        <f t="shared" si="15"/>
        <v>141.63999999999999</v>
      </c>
      <c r="O144" s="1083">
        <f t="shared" si="16"/>
        <v>129.57999999999998</v>
      </c>
      <c r="Q144" s="1263">
        <v>179.92</v>
      </c>
      <c r="R144" s="1263">
        <v>163.13999999999999</v>
      </c>
      <c r="S144" s="1263">
        <v>147.08000000000001</v>
      </c>
      <c r="U144" s="1265">
        <f t="shared" si="17"/>
        <v>-10.034484560468229</v>
      </c>
      <c r="V144" s="1265">
        <f t="shared" si="18"/>
        <v>9.700714207036043</v>
      </c>
      <c r="W144" s="1265">
        <f t="shared" si="19"/>
        <v>22.971886419842946</v>
      </c>
    </row>
    <row r="145" spans="2:23" ht="15" thickBot="1">
      <c r="B145" s="161">
        <v>140</v>
      </c>
      <c r="C145" s="530" t="s">
        <v>620</v>
      </c>
      <c r="D145" s="524">
        <f>'Eldama Ravine_Price VAT Inclusi'!C49</f>
        <v>170.30871984079431</v>
      </c>
      <c r="E145" s="524">
        <f>'Eldama Ravine_Price VAT Inclusi'!E49</f>
        <v>173.25391860829862</v>
      </c>
      <c r="F145" s="524">
        <f>'Eldama Ravine_Price VAT Inclusi'!G49</f>
        <v>170.46509082110555</v>
      </c>
      <c r="I145" s="1083">
        <v>151.36000000000001</v>
      </c>
      <c r="J145" s="1083">
        <v>132.55000000000001</v>
      </c>
      <c r="K145" s="1083">
        <v>120.51</v>
      </c>
      <c r="M145" s="1083">
        <f t="shared" si="14"/>
        <v>160.86000000000001</v>
      </c>
      <c r="N145" s="1083">
        <f t="shared" si="15"/>
        <v>142.05000000000001</v>
      </c>
      <c r="O145" s="1083">
        <f t="shared" si="16"/>
        <v>130.01</v>
      </c>
      <c r="Q145" s="1264">
        <v>180.33</v>
      </c>
      <c r="R145" s="1264">
        <v>163.55000000000001</v>
      </c>
      <c r="S145" s="1264">
        <v>147.51</v>
      </c>
      <c r="U145" s="1265">
        <f t="shared" si="17"/>
        <v>-10.021280159205702</v>
      </c>
      <c r="V145" s="1265">
        <f t="shared" si="18"/>
        <v>9.7039186082986078</v>
      </c>
      <c r="W145" s="1265">
        <f t="shared" si="19"/>
        <v>22.955090821105557</v>
      </c>
    </row>
    <row r="146" spans="2:23" ht="15" thickBot="1">
      <c r="B146" s="161">
        <v>141</v>
      </c>
      <c r="C146" s="530" t="s">
        <v>621</v>
      </c>
      <c r="D146" s="524">
        <f>'Tenges_Price VAT Inclusive'!C49</f>
        <v>170.45044635372835</v>
      </c>
      <c r="E146" s="524">
        <f>'Tenges_Price VAT Inclusive'!E49</f>
        <v>173.39564512123263</v>
      </c>
      <c r="F146" s="524">
        <f>'Tenges_Price VAT Inclusive'!G49</f>
        <v>170.60681733403959</v>
      </c>
      <c r="I146" s="1083">
        <v>151.5</v>
      </c>
      <c r="J146" s="1083">
        <v>132.69</v>
      </c>
      <c r="K146" s="1083">
        <v>120.65</v>
      </c>
      <c r="M146" s="1083">
        <f t="shared" si="14"/>
        <v>161</v>
      </c>
      <c r="N146" s="1083">
        <f t="shared" si="15"/>
        <v>142.19</v>
      </c>
      <c r="O146" s="1083">
        <f t="shared" si="16"/>
        <v>130.15</v>
      </c>
      <c r="Q146" s="1263">
        <v>180.47</v>
      </c>
      <c r="R146" s="1263">
        <v>163.69</v>
      </c>
      <c r="S146" s="1263">
        <v>147.65</v>
      </c>
      <c r="U146" s="1265">
        <f t="shared" si="17"/>
        <v>-10.019553646271646</v>
      </c>
      <c r="V146" s="1265">
        <f t="shared" si="18"/>
        <v>9.7056451212326351</v>
      </c>
      <c r="W146" s="1265">
        <f t="shared" si="19"/>
        <v>22.956817334039584</v>
      </c>
    </row>
    <row r="147" spans="2:23" ht="15" thickBot="1">
      <c r="B147" s="161">
        <v>142</v>
      </c>
      <c r="C147" s="530" t="s">
        <v>622</v>
      </c>
      <c r="D147" s="524">
        <f>'Barwessa_Price VAT Inclusive'!C49</f>
        <v>170.55822259158344</v>
      </c>
      <c r="E147" s="524">
        <f>'Barwessa_Price VAT Inclusive'!E49</f>
        <v>173.51342135908774</v>
      </c>
      <c r="F147" s="524">
        <f>'Barwessa_Price VAT Inclusive'!G49</f>
        <v>170.7245935718947</v>
      </c>
      <c r="I147" s="1083">
        <v>151.62</v>
      </c>
      <c r="J147" s="1083">
        <v>132.81</v>
      </c>
      <c r="K147" s="1083">
        <v>120.75</v>
      </c>
      <c r="M147" s="1083">
        <f t="shared" si="14"/>
        <v>161.12</v>
      </c>
      <c r="N147" s="1083">
        <f t="shared" si="15"/>
        <v>142.31</v>
      </c>
      <c r="O147" s="1083">
        <f t="shared" si="16"/>
        <v>130.25</v>
      </c>
      <c r="Q147" s="1263">
        <v>180.59</v>
      </c>
      <c r="R147" s="1263">
        <v>163.81</v>
      </c>
      <c r="S147" s="1263">
        <v>147.75</v>
      </c>
      <c r="U147" s="1265">
        <f t="shared" si="17"/>
        <v>-10.031777408416559</v>
      </c>
      <c r="V147" s="1265">
        <f t="shared" si="18"/>
        <v>9.7034213590877414</v>
      </c>
      <c r="W147" s="1265">
        <f t="shared" si="19"/>
        <v>22.974593571894701</v>
      </c>
    </row>
    <row r="148" spans="2:23" ht="15" thickBot="1">
      <c r="B148" s="161">
        <v>143</v>
      </c>
      <c r="C148" s="530" t="s">
        <v>623</v>
      </c>
      <c r="D148" s="524">
        <f>'Kipsaraman_Price VAT Inclusive'!C49</f>
        <v>171.46648221934544</v>
      </c>
      <c r="E148" s="524">
        <f>'Kipsaraman_Price VAT Inclusive'!E49</f>
        <v>174.42168098684971</v>
      </c>
      <c r="F148" s="524">
        <f>'Kipsaraman_Price VAT Inclusive'!G49</f>
        <v>171.62285319965667</v>
      </c>
      <c r="I148" s="1083">
        <v>152.52000000000001</v>
      </c>
      <c r="J148" s="1083">
        <v>133.71</v>
      </c>
      <c r="K148" s="1083">
        <v>121.66</v>
      </c>
      <c r="M148" s="1083">
        <f t="shared" si="14"/>
        <v>162.02000000000001</v>
      </c>
      <c r="N148" s="1083">
        <f t="shared" si="15"/>
        <v>143.21</v>
      </c>
      <c r="O148" s="1083">
        <f t="shared" si="16"/>
        <v>131.16</v>
      </c>
      <c r="Q148" s="1263">
        <v>181.49</v>
      </c>
      <c r="R148" s="1263">
        <v>164.71</v>
      </c>
      <c r="S148" s="1263">
        <v>148.66</v>
      </c>
      <c r="U148" s="1265">
        <f t="shared" si="17"/>
        <v>-10.023517780654572</v>
      </c>
      <c r="V148" s="1265">
        <f t="shared" si="18"/>
        <v>9.7116809868497</v>
      </c>
      <c r="W148" s="1265">
        <f t="shared" si="19"/>
        <v>22.962853199656678</v>
      </c>
    </row>
    <row r="149" spans="2:23" ht="15" thickBot="1">
      <c r="B149" s="161">
        <v>144</v>
      </c>
      <c r="C149" s="530" t="s">
        <v>624</v>
      </c>
      <c r="D149" s="524">
        <f>'Loruk_Price VAT Inclusive'!C49</f>
        <v>171.33673084395087</v>
      </c>
      <c r="E149" s="524">
        <f>'Loruk_Price VAT Inclusive'!E49</f>
        <v>174.29192961145515</v>
      </c>
      <c r="F149" s="524">
        <f>'Loruk_Price VAT Inclusive'!G49</f>
        <v>171.49310182426208</v>
      </c>
      <c r="I149" s="1083">
        <v>152.38999999999999</v>
      </c>
      <c r="J149" s="1083">
        <v>133.58000000000001</v>
      </c>
      <c r="K149" s="1083">
        <v>121.53</v>
      </c>
      <c r="M149" s="1083">
        <f t="shared" si="14"/>
        <v>161.88999999999999</v>
      </c>
      <c r="N149" s="1083">
        <f t="shared" si="15"/>
        <v>143.08000000000001</v>
      </c>
      <c r="O149" s="1083">
        <f t="shared" si="16"/>
        <v>131.03</v>
      </c>
      <c r="Q149" s="1263">
        <v>181.36</v>
      </c>
      <c r="R149" s="1263">
        <v>164.58</v>
      </c>
      <c r="S149" s="1263">
        <v>148.53</v>
      </c>
      <c r="U149" s="1265">
        <f t="shared" si="17"/>
        <v>-10.023269156049139</v>
      </c>
      <c r="V149" s="1265">
        <f t="shared" si="18"/>
        <v>9.7119296114551332</v>
      </c>
      <c r="W149" s="1265">
        <f t="shared" si="19"/>
        <v>22.963101824262083</v>
      </c>
    </row>
    <row r="150" spans="2:23" ht="15" thickBot="1">
      <c r="B150" s="161">
        <v>145</v>
      </c>
      <c r="C150" s="530" t="s">
        <v>625</v>
      </c>
      <c r="D150" s="524">
        <f>'Kabartonjo_Price VAT Inclusive'!C49</f>
        <v>170.30871984079431</v>
      </c>
      <c r="E150" s="524">
        <f>'Kabartonjo_Price VAT Inclusive'!E49</f>
        <v>173.25391860829862</v>
      </c>
      <c r="F150" s="524">
        <f>'Kabartonjo_Price VAT Inclusive'!G49</f>
        <v>170.46509082110555</v>
      </c>
      <c r="I150" s="1083">
        <v>151.36000000000001</v>
      </c>
      <c r="J150" s="1083">
        <v>132.55000000000001</v>
      </c>
      <c r="K150" s="1083">
        <v>120.51</v>
      </c>
      <c r="M150" s="1083">
        <f t="shared" si="14"/>
        <v>160.86000000000001</v>
      </c>
      <c r="N150" s="1083">
        <f t="shared" si="15"/>
        <v>142.05000000000001</v>
      </c>
      <c r="O150" s="1083">
        <f t="shared" si="16"/>
        <v>130.01</v>
      </c>
      <c r="Q150" s="1263">
        <v>180.33</v>
      </c>
      <c r="R150" s="1263">
        <v>163.55000000000001</v>
      </c>
      <c r="S150" s="1263">
        <v>147.51</v>
      </c>
      <c r="U150" s="1265">
        <f t="shared" si="17"/>
        <v>-10.021280159205702</v>
      </c>
      <c r="V150" s="1265">
        <f t="shared" si="18"/>
        <v>9.7039186082986078</v>
      </c>
      <c r="W150" s="1265">
        <f t="shared" si="19"/>
        <v>22.955090821105557</v>
      </c>
    </row>
    <row r="151" spans="2:23" ht="15" thickBot="1">
      <c r="B151" s="161">
        <v>146</v>
      </c>
      <c r="C151" s="530" t="s">
        <v>626</v>
      </c>
      <c r="D151" s="524">
        <f>'Tindiret_Price VAT Inclusive'!C49</f>
        <v>170.3685955284916</v>
      </c>
      <c r="E151" s="524">
        <f>'Tindiret_Price VAT Inclusive'!E49</f>
        <v>173.3237942959959</v>
      </c>
      <c r="F151" s="524">
        <f>'Tindiret_Price VAT Inclusive'!G49</f>
        <v>170.52496650880283</v>
      </c>
      <c r="I151" s="1083">
        <v>151.43</v>
      </c>
      <c r="J151" s="1083">
        <v>132.61000000000001</v>
      </c>
      <c r="K151" s="1083">
        <v>120.57</v>
      </c>
      <c r="M151" s="1083">
        <f t="shared" si="14"/>
        <v>160.93</v>
      </c>
      <c r="N151" s="1083">
        <f t="shared" si="15"/>
        <v>142.11000000000001</v>
      </c>
      <c r="O151" s="1083">
        <f t="shared" si="16"/>
        <v>130.07</v>
      </c>
      <c r="Q151" s="1263">
        <v>180.39</v>
      </c>
      <c r="R151" s="1263">
        <v>163.61000000000001</v>
      </c>
      <c r="S151" s="1263">
        <v>147.57</v>
      </c>
      <c r="U151" s="1265">
        <f t="shared" si="17"/>
        <v>-10.02140447150839</v>
      </c>
      <c r="V151" s="1265">
        <f t="shared" si="18"/>
        <v>9.7137942959958821</v>
      </c>
      <c r="W151" s="1265">
        <f t="shared" si="19"/>
        <v>22.954966508802841</v>
      </c>
    </row>
    <row r="152" spans="2:23" ht="15" thickBot="1">
      <c r="B152" s="161">
        <v>147</v>
      </c>
      <c r="C152" s="530" t="s">
        <v>627</v>
      </c>
      <c r="D152" s="524">
        <f>'Olessos_Price VAT Inclusive'!C49</f>
        <v>169.54218672596642</v>
      </c>
      <c r="E152" s="524">
        <f>'Olessos_Price VAT Inclusive'!E49</f>
        <v>172.49738549347069</v>
      </c>
      <c r="F152" s="524">
        <f>'Olessos_Price VAT Inclusive'!G49</f>
        <v>169.69855770627763</v>
      </c>
      <c r="I152" s="1083">
        <v>150.59</v>
      </c>
      <c r="J152" s="1083">
        <v>131.78</v>
      </c>
      <c r="K152" s="1083">
        <v>119.74</v>
      </c>
      <c r="M152" s="1083">
        <f t="shared" si="14"/>
        <v>160.09</v>
      </c>
      <c r="N152" s="1083">
        <f t="shared" si="15"/>
        <v>141.28</v>
      </c>
      <c r="O152" s="1083">
        <f t="shared" si="16"/>
        <v>129.24</v>
      </c>
      <c r="Q152" s="1263">
        <v>179.57</v>
      </c>
      <c r="R152" s="1263">
        <v>162.78</v>
      </c>
      <c r="S152" s="1263">
        <v>146.74</v>
      </c>
      <c r="U152" s="1265">
        <f t="shared" si="17"/>
        <v>-10.027813274033576</v>
      </c>
      <c r="V152" s="1265">
        <f t="shared" si="18"/>
        <v>9.7173854934706867</v>
      </c>
      <c r="W152" s="1265">
        <f t="shared" si="19"/>
        <v>22.958557706277617</v>
      </c>
    </row>
    <row r="153" spans="2:23" ht="15" thickBot="1">
      <c r="B153" s="161">
        <v>148</v>
      </c>
      <c r="C153" s="530" t="s">
        <v>628</v>
      </c>
      <c r="D153" s="524">
        <f>'Kobujoi_Price VAT Inclusive'!C49</f>
        <v>169.94341598968956</v>
      </c>
      <c r="E153" s="524">
        <f>'Kobujoi_Price VAT Inclusive'!E49</f>
        <v>172.89861475719383</v>
      </c>
      <c r="F153" s="524">
        <f>'Kobujoi_Price VAT Inclusive'!G49</f>
        <v>170.09978697000076</v>
      </c>
      <c r="I153" s="1083">
        <v>150.99</v>
      </c>
      <c r="J153" s="1083">
        <v>132.19</v>
      </c>
      <c r="K153" s="1083">
        <v>120.14</v>
      </c>
      <c r="M153" s="1083">
        <f t="shared" si="14"/>
        <v>160.49</v>
      </c>
      <c r="N153" s="1083">
        <f t="shared" si="15"/>
        <v>141.69</v>
      </c>
      <c r="O153" s="1083">
        <f t="shared" si="16"/>
        <v>129.63999999999999</v>
      </c>
      <c r="Q153" s="1264">
        <v>179.97</v>
      </c>
      <c r="R153" s="1264">
        <v>163.19</v>
      </c>
      <c r="S153" s="1264">
        <v>147.13999999999999</v>
      </c>
      <c r="U153" s="1265">
        <f t="shared" si="17"/>
        <v>-10.026584010310444</v>
      </c>
      <c r="V153" s="1265">
        <f t="shared" si="18"/>
        <v>9.7086147571938284</v>
      </c>
      <c r="W153" s="1265">
        <f t="shared" si="19"/>
        <v>22.959786970000778</v>
      </c>
    </row>
    <row r="154" spans="2:23" ht="15" thickBot="1">
      <c r="B154" s="161">
        <v>149</v>
      </c>
      <c r="C154" s="530" t="s">
        <v>629</v>
      </c>
      <c r="D154" s="524">
        <f>'Serem_Price VAT Inclusive'!C49</f>
        <v>170.01526681492632</v>
      </c>
      <c r="E154" s="529">
        <f>'Serem_Price VAT Inclusive'!E49</f>
        <v>172.97046558243059</v>
      </c>
      <c r="F154" s="524">
        <f>'Serem_Price VAT Inclusive'!G49</f>
        <v>170.18163779523752</v>
      </c>
      <c r="I154" s="1083">
        <v>151.07</v>
      </c>
      <c r="J154" s="1083">
        <v>132.27000000000001</v>
      </c>
      <c r="K154" s="1083">
        <v>120.21</v>
      </c>
      <c r="M154" s="1083">
        <f t="shared" si="14"/>
        <v>160.57</v>
      </c>
      <c r="N154" s="1083">
        <f t="shared" si="15"/>
        <v>141.77000000000001</v>
      </c>
      <c r="O154" s="1083">
        <f t="shared" si="16"/>
        <v>129.70999999999998</v>
      </c>
      <c r="Q154" s="1263">
        <v>180.05</v>
      </c>
      <c r="R154" s="1263">
        <v>163.27000000000001</v>
      </c>
      <c r="S154" s="1263">
        <v>147.21</v>
      </c>
      <c r="U154" s="1265">
        <f t="shared" si="17"/>
        <v>-10.034733185073691</v>
      </c>
      <c r="V154" s="1265">
        <f t="shared" si="18"/>
        <v>9.7004655824305814</v>
      </c>
      <c r="W154" s="1265">
        <f t="shared" si="19"/>
        <v>22.971637795237513</v>
      </c>
    </row>
    <row r="155" spans="2:23" ht="15" thickBot="1">
      <c r="B155" s="161">
        <v>150</v>
      </c>
      <c r="C155" s="530" t="s">
        <v>630</v>
      </c>
      <c r="D155" s="524">
        <f>'Kabiyet_Price VAT Inclusive'!C49</f>
        <v>169.47231103826914</v>
      </c>
      <c r="E155" s="524">
        <f>'Kabiyet_Price VAT Inclusive'!E49</f>
        <v>172.42750980577341</v>
      </c>
      <c r="F155" s="524">
        <f>'Kabiyet_Price VAT Inclusive'!G49</f>
        <v>169.63868201858034</v>
      </c>
      <c r="I155" s="1083">
        <v>150.53</v>
      </c>
      <c r="J155" s="1083">
        <v>131.72</v>
      </c>
      <c r="K155" s="1083">
        <v>119.67</v>
      </c>
      <c r="M155" s="1083">
        <f t="shared" si="14"/>
        <v>160.03</v>
      </c>
      <c r="N155" s="1083">
        <f t="shared" si="15"/>
        <v>141.22</v>
      </c>
      <c r="O155" s="1083">
        <f t="shared" si="16"/>
        <v>129.17000000000002</v>
      </c>
      <c r="Q155" s="1264">
        <v>179.51</v>
      </c>
      <c r="R155" s="1264">
        <v>162.72</v>
      </c>
      <c r="S155" s="1264">
        <v>146.66999999999999</v>
      </c>
      <c r="U155" s="1265">
        <f t="shared" si="17"/>
        <v>-10.037688961730851</v>
      </c>
      <c r="V155" s="1265">
        <f t="shared" si="18"/>
        <v>9.7075098057734124</v>
      </c>
      <c r="W155" s="1265">
        <f t="shared" si="19"/>
        <v>22.968682018580353</v>
      </c>
    </row>
    <row r="156" spans="2:23" ht="15" thickBot="1">
      <c r="B156" s="161">
        <v>151</v>
      </c>
      <c r="C156" s="530" t="s">
        <v>631</v>
      </c>
      <c r="D156" s="524">
        <f>'Cheptulu_Price VAT Inclusive'!C49</f>
        <v>169.90749057707117</v>
      </c>
      <c r="E156" s="524">
        <f>'Cheptulu_Price VAT Inclusive'!E49</f>
        <v>172.85268934457548</v>
      </c>
      <c r="F156" s="524">
        <f>'Cheptulu_Price VAT Inclusive'!G49</f>
        <v>170.06386155738241</v>
      </c>
      <c r="I156" s="1083">
        <v>150.94999999999999</v>
      </c>
      <c r="J156" s="1083">
        <v>132.15</v>
      </c>
      <c r="K156" s="1083">
        <v>120.1</v>
      </c>
      <c r="M156" s="1083">
        <f t="shared" si="14"/>
        <v>160.44999999999999</v>
      </c>
      <c r="N156" s="1083">
        <f t="shared" si="15"/>
        <v>141.65</v>
      </c>
      <c r="O156" s="1083">
        <f t="shared" si="16"/>
        <v>129.6</v>
      </c>
      <c r="Q156" s="1263">
        <v>179.93</v>
      </c>
      <c r="R156" s="1263">
        <v>163.15</v>
      </c>
      <c r="S156" s="1263">
        <v>147.1</v>
      </c>
      <c r="U156" s="1265">
        <f t="shared" si="17"/>
        <v>-10.022509422928835</v>
      </c>
      <c r="V156" s="1265">
        <f t="shared" si="18"/>
        <v>9.7026893445754752</v>
      </c>
      <c r="W156" s="1265">
        <f t="shared" si="19"/>
        <v>22.963861557382415</v>
      </c>
    </row>
    <row r="157" spans="2:23" ht="15" thickBot="1">
      <c r="B157" s="161">
        <v>152</v>
      </c>
      <c r="C157" s="530" t="s">
        <v>632</v>
      </c>
      <c r="D157" s="524">
        <f>'Songor_Price VAT Inclusive'!C49</f>
        <v>170.45044635372835</v>
      </c>
      <c r="E157" s="524">
        <f>'Songor_Price VAT Inclusive'!E49</f>
        <v>173.39564512123263</v>
      </c>
      <c r="F157" s="524">
        <f>'Songor_Price VAT Inclusive'!G49</f>
        <v>170.60681733403959</v>
      </c>
      <c r="I157" s="1083">
        <v>151.5</v>
      </c>
      <c r="J157" s="1083">
        <v>132.69</v>
      </c>
      <c r="K157" s="1083">
        <v>120.65</v>
      </c>
      <c r="M157" s="1083">
        <f t="shared" si="14"/>
        <v>161</v>
      </c>
      <c r="N157" s="1083">
        <f t="shared" si="15"/>
        <v>142.19</v>
      </c>
      <c r="O157" s="1083">
        <f t="shared" si="16"/>
        <v>130.15</v>
      </c>
      <c r="Q157" s="1263">
        <v>180.47</v>
      </c>
      <c r="R157" s="1263">
        <v>163.69</v>
      </c>
      <c r="S157" s="1263">
        <v>147.65</v>
      </c>
      <c r="U157" s="1265">
        <f t="shared" si="17"/>
        <v>-10.019553646271646</v>
      </c>
      <c r="V157" s="1265">
        <f t="shared" si="18"/>
        <v>9.7056451212326351</v>
      </c>
      <c r="W157" s="1265">
        <f t="shared" si="19"/>
        <v>22.956817334039584</v>
      </c>
    </row>
    <row r="158" spans="2:23" ht="15" thickBot="1">
      <c r="B158" s="161">
        <v>153</v>
      </c>
      <c r="C158" s="530" t="s">
        <v>633</v>
      </c>
      <c r="D158" s="524">
        <f>'Kapcherop_Price VAT Inclusive'!C49</f>
        <v>170.08514250262354</v>
      </c>
      <c r="E158" s="524">
        <f>'Kapcherop_Price VAT Inclusive'!E49</f>
        <v>173.04034127012784</v>
      </c>
      <c r="F158" s="524">
        <f>'Kapcherop_Price VAT Inclusive'!G49</f>
        <v>170.24151348293481</v>
      </c>
      <c r="I158" s="1083">
        <v>151.13</v>
      </c>
      <c r="J158" s="1083">
        <v>132.33000000000001</v>
      </c>
      <c r="K158" s="1083">
        <v>120.28</v>
      </c>
      <c r="M158" s="1083">
        <f t="shared" si="14"/>
        <v>160.63</v>
      </c>
      <c r="N158" s="1083">
        <f t="shared" si="15"/>
        <v>141.83000000000001</v>
      </c>
      <c r="O158" s="1083">
        <f t="shared" si="16"/>
        <v>129.78</v>
      </c>
      <c r="Q158" s="1263">
        <v>180.11</v>
      </c>
      <c r="R158" s="1263">
        <v>163.33000000000001</v>
      </c>
      <c r="S158" s="1263">
        <v>147.28</v>
      </c>
      <c r="U158" s="1265">
        <f t="shared" si="17"/>
        <v>-10.024857497376473</v>
      </c>
      <c r="V158" s="1265">
        <f t="shared" si="18"/>
        <v>9.7103412701278273</v>
      </c>
      <c r="W158" s="1265">
        <f t="shared" si="19"/>
        <v>22.961513482934805</v>
      </c>
    </row>
    <row r="159" spans="2:23" ht="15" thickBot="1">
      <c r="B159" s="161">
        <v>154</v>
      </c>
      <c r="C159" s="530" t="s">
        <v>634</v>
      </c>
      <c r="D159" s="524">
        <f>'Sambalat_Price VAT Inclusive'!C49</f>
        <v>170.76982479221479</v>
      </c>
      <c r="E159" s="524">
        <f>'Sambalat_Price VAT Inclusive'!E49</f>
        <v>173.72502355971906</v>
      </c>
      <c r="F159" s="524">
        <f>'Sambalat_Price VAT Inclusive'!G49</f>
        <v>170.926195772526</v>
      </c>
      <c r="I159" s="1083">
        <v>151.82</v>
      </c>
      <c r="J159" s="1083">
        <v>133.01</v>
      </c>
      <c r="K159" s="1083">
        <v>120.97</v>
      </c>
      <c r="M159" s="1083">
        <f t="shared" si="14"/>
        <v>161.32</v>
      </c>
      <c r="N159" s="1083">
        <f t="shared" si="15"/>
        <v>142.51</v>
      </c>
      <c r="O159" s="1083">
        <f t="shared" si="16"/>
        <v>130.47</v>
      </c>
      <c r="Q159" s="1263">
        <v>180.79</v>
      </c>
      <c r="R159" s="1263">
        <v>164.01</v>
      </c>
      <c r="S159" s="1263">
        <v>147.97</v>
      </c>
      <c r="U159" s="1265">
        <f t="shared" si="17"/>
        <v>-10.020175207785201</v>
      </c>
      <c r="V159" s="1265">
        <f t="shared" si="18"/>
        <v>9.7150235597190715</v>
      </c>
      <c r="W159" s="1265">
        <f t="shared" si="19"/>
        <v>22.956195772526002</v>
      </c>
    </row>
    <row r="160" spans="2:23" ht="15" thickBot="1">
      <c r="B160" s="161">
        <v>155</v>
      </c>
      <c r="C160" s="530" t="s">
        <v>635</v>
      </c>
      <c r="D160" s="524">
        <f>'Arror_Price VAT Inclusive'!C49</f>
        <v>170.41649607864946</v>
      </c>
      <c r="E160" s="524">
        <f>'Arror_Price VAT Inclusive'!E49</f>
        <v>173.37169484615373</v>
      </c>
      <c r="F160" s="524">
        <f>'Arror_Price VAT Inclusive'!G49</f>
        <v>170.58286705896069</v>
      </c>
      <c r="I160" s="1083">
        <v>151.47</v>
      </c>
      <c r="J160" s="1083">
        <v>132.66999999999999</v>
      </c>
      <c r="K160" s="1083">
        <v>120.61</v>
      </c>
      <c r="M160" s="1083">
        <f t="shared" si="14"/>
        <v>160.97</v>
      </c>
      <c r="N160" s="1083">
        <f t="shared" si="15"/>
        <v>142.16999999999999</v>
      </c>
      <c r="O160" s="1083">
        <f t="shared" si="16"/>
        <v>130.11000000000001</v>
      </c>
      <c r="Q160" s="1263">
        <v>180.45</v>
      </c>
      <c r="R160" s="1263">
        <v>163.66999999999999</v>
      </c>
      <c r="S160" s="1263">
        <v>147.61000000000001</v>
      </c>
      <c r="U160" s="1265">
        <f t="shared" si="17"/>
        <v>-10.03350392135053</v>
      </c>
      <c r="V160" s="1265">
        <f t="shared" si="18"/>
        <v>9.7016948461537424</v>
      </c>
      <c r="W160" s="1265">
        <f t="shared" si="19"/>
        <v>22.972867058960674</v>
      </c>
    </row>
    <row r="161" spans="2:23" ht="15" thickBot="1">
      <c r="B161" s="161">
        <v>156</v>
      </c>
      <c r="C161" s="530" t="s">
        <v>636</v>
      </c>
      <c r="D161" s="524">
        <f>'Tot_Price VAT Inclusive'!C49</f>
        <v>170.62809827928072</v>
      </c>
      <c r="E161" s="524">
        <f>'Tot_Price VAT Inclusive'!E49</f>
        <v>173.58329704678505</v>
      </c>
      <c r="F161" s="524">
        <f>'Tot_Price VAT Inclusive'!G49</f>
        <v>170.78446925959199</v>
      </c>
      <c r="I161" s="1083">
        <v>151.68</v>
      </c>
      <c r="J161" s="1083">
        <v>132.87</v>
      </c>
      <c r="K161" s="1083">
        <v>120.82</v>
      </c>
      <c r="M161" s="1083">
        <f t="shared" si="14"/>
        <v>161.18</v>
      </c>
      <c r="N161" s="1083">
        <f t="shared" si="15"/>
        <v>142.37</v>
      </c>
      <c r="O161" s="1083">
        <f t="shared" si="16"/>
        <v>130.32</v>
      </c>
      <c r="Q161" s="1263">
        <v>180.65</v>
      </c>
      <c r="R161" s="1263">
        <v>163.87</v>
      </c>
      <c r="S161" s="1263">
        <v>147.82</v>
      </c>
      <c r="U161" s="1265">
        <f t="shared" si="17"/>
        <v>-10.021901720719285</v>
      </c>
      <c r="V161" s="1265">
        <f t="shared" si="18"/>
        <v>9.7132970467850441</v>
      </c>
      <c r="W161" s="1265">
        <f t="shared" si="19"/>
        <v>22.964469259591993</v>
      </c>
    </row>
    <row r="162" spans="2:23" ht="15" thickBot="1">
      <c r="B162" s="161">
        <v>157</v>
      </c>
      <c r="C162" s="530" t="s">
        <v>637</v>
      </c>
      <c r="D162" s="524">
        <f>'Kaptarakwa_Price VAT Inclusive'!C49</f>
        <v>169.67193810136098</v>
      </c>
      <c r="E162" s="524">
        <f>'Kaptarakwa_Price VAT Inclusive'!E49</f>
        <v>172.62713686886525</v>
      </c>
      <c r="F162" s="524">
        <f>'Kaptarakwa_Price VAT Inclusive'!G49</f>
        <v>169.82830908167222</v>
      </c>
      <c r="I162" s="1083">
        <v>150.72</v>
      </c>
      <c r="J162" s="1083">
        <v>131.91</v>
      </c>
      <c r="K162" s="1083">
        <v>119.87</v>
      </c>
      <c r="M162" s="1083">
        <f t="shared" si="14"/>
        <v>160.22</v>
      </c>
      <c r="N162" s="1083">
        <f t="shared" si="15"/>
        <v>141.41</v>
      </c>
      <c r="O162" s="1083">
        <f t="shared" si="16"/>
        <v>129.37</v>
      </c>
      <c r="Q162" s="1263">
        <v>179.69</v>
      </c>
      <c r="R162" s="1263">
        <v>162.91</v>
      </c>
      <c r="S162" s="1263">
        <v>146.87</v>
      </c>
      <c r="U162" s="1265">
        <f t="shared" si="17"/>
        <v>-10.018061898639019</v>
      </c>
      <c r="V162" s="1265">
        <f t="shared" si="18"/>
        <v>9.7171368688652535</v>
      </c>
      <c r="W162" s="1265">
        <f t="shared" si="19"/>
        <v>22.958309081672212</v>
      </c>
    </row>
    <row r="163" spans="2:23" ht="15" thickBot="1">
      <c r="B163" s="161">
        <v>158</v>
      </c>
      <c r="C163" s="530" t="s">
        <v>713</v>
      </c>
      <c r="D163" s="524">
        <f>'Kapese_Price VAT Inclusive'!C49</f>
        <v>172.62226946035705</v>
      </c>
      <c r="E163" s="524">
        <f>'Kapese_Price VAT Inclusive'!E49</f>
        <v>175.57746822786132</v>
      </c>
      <c r="F163" s="524">
        <f>'Kapese_Price VAT Inclusive'!G49</f>
        <v>172.77864044066828</v>
      </c>
      <c r="I163" s="1083">
        <v>153.66999999999999</v>
      </c>
      <c r="J163" s="1083">
        <v>134.86000000000001</v>
      </c>
      <c r="K163" s="1083">
        <v>122.82</v>
      </c>
      <c r="M163" s="1083">
        <f t="shared" si="14"/>
        <v>163.16999999999999</v>
      </c>
      <c r="N163" s="1083">
        <f t="shared" si="15"/>
        <v>144.36000000000001</v>
      </c>
      <c r="O163" s="1083">
        <f t="shared" si="16"/>
        <v>132.32</v>
      </c>
      <c r="Q163" s="1263">
        <v>182.65</v>
      </c>
      <c r="R163" s="1263">
        <v>165.86</v>
      </c>
      <c r="S163" s="1263">
        <v>149.82</v>
      </c>
      <c r="U163" s="1265">
        <f t="shared" si="17"/>
        <v>-10.02773053964296</v>
      </c>
      <c r="V163" s="1265">
        <f t="shared" si="18"/>
        <v>9.7174682278613034</v>
      </c>
      <c r="W163" s="1265">
        <f t="shared" si="19"/>
        <v>22.95864044066829</v>
      </c>
    </row>
    <row r="164" spans="2:23" ht="15" thickBot="1">
      <c r="B164" s="161">
        <v>159</v>
      </c>
      <c r="C164" s="530" t="s">
        <v>714</v>
      </c>
      <c r="D164" s="524">
        <f>'Kalemngorok_Price VAT Inclusive'!C49</f>
        <v>172.00943799600259</v>
      </c>
      <c r="E164" s="524">
        <f>'Kalemngorok_Price VAT Inclusive'!E49</f>
        <v>174.96463676350689</v>
      </c>
      <c r="F164" s="524">
        <f>'Kalemngorok_Price VAT Inclusive'!G49</f>
        <v>172.16580897631383</v>
      </c>
      <c r="I164" s="1083">
        <v>153.07</v>
      </c>
      <c r="J164" s="1083">
        <v>134.25</v>
      </c>
      <c r="K164" s="1083">
        <v>122.21</v>
      </c>
      <c r="M164" s="1083">
        <f t="shared" si="14"/>
        <v>162.57</v>
      </c>
      <c r="N164" s="1083">
        <f t="shared" si="15"/>
        <v>143.75</v>
      </c>
      <c r="O164" s="1083">
        <f t="shared" si="16"/>
        <v>131.70999999999998</v>
      </c>
      <c r="Q164" s="1263">
        <v>182.03</v>
      </c>
      <c r="R164" s="1263">
        <v>165.25</v>
      </c>
      <c r="S164" s="1263">
        <v>149.21</v>
      </c>
      <c r="U164" s="1265">
        <f t="shared" si="17"/>
        <v>-10.020562003997412</v>
      </c>
      <c r="V164" s="1265">
        <f t="shared" si="18"/>
        <v>9.7146367635068884</v>
      </c>
      <c r="W164" s="1265">
        <f t="shared" si="19"/>
        <v>22.955808976313818</v>
      </c>
    </row>
    <row r="165" spans="2:23" ht="15" thickBot="1">
      <c r="B165" s="161">
        <v>160</v>
      </c>
      <c r="C165" s="530" t="s">
        <v>715</v>
      </c>
      <c r="D165" s="524">
        <f>'Marich_Price VAT Inclusive'!C49</f>
        <v>170.99340213038553</v>
      </c>
      <c r="E165" s="524">
        <f>'Marich_Price VAT Inclusive'!E49</f>
        <v>173.93860089788981</v>
      </c>
      <c r="F165" s="524">
        <f>'Marich_Price VAT Inclusive'!G49</f>
        <v>171.14977311069677</v>
      </c>
      <c r="I165" s="1083">
        <v>152.04</v>
      </c>
      <c r="J165" s="1083">
        <v>133.24</v>
      </c>
      <c r="K165" s="1083">
        <v>121.19</v>
      </c>
      <c r="M165" s="1083">
        <f t="shared" si="14"/>
        <v>161.54</v>
      </c>
      <c r="N165" s="1083">
        <f t="shared" si="15"/>
        <v>142.74</v>
      </c>
      <c r="O165" s="1083">
        <f t="shared" si="16"/>
        <v>130.69</v>
      </c>
      <c r="Q165" s="1263">
        <v>181.02</v>
      </c>
      <c r="R165" s="1263">
        <v>164.24</v>
      </c>
      <c r="S165" s="1263">
        <v>148.19</v>
      </c>
      <c r="U165" s="1265">
        <f t="shared" si="17"/>
        <v>-10.026597869614477</v>
      </c>
      <c r="V165" s="1265">
        <f t="shared" si="18"/>
        <v>9.6986008978898042</v>
      </c>
      <c r="W165" s="1265">
        <f t="shared" si="19"/>
        <v>22.959773110696773</v>
      </c>
    </row>
    <row r="166" spans="2:23" ht="15" thickBot="1">
      <c r="B166" s="161">
        <v>161</v>
      </c>
      <c r="C166" s="530" t="s">
        <v>716</v>
      </c>
      <c r="D166" s="524">
        <f>'Alale_Price VAT Inclusive'!C49</f>
        <v>171.47845735688486</v>
      </c>
      <c r="E166" s="524">
        <f>'Alale_Price VAT Inclusive'!E49</f>
        <v>174.43365612438916</v>
      </c>
      <c r="F166" s="524">
        <f>'Alale_Price VAT Inclusive'!G49</f>
        <v>171.63482833719613</v>
      </c>
      <c r="I166" s="1083">
        <v>152.54</v>
      </c>
      <c r="J166" s="1083">
        <v>133.72</v>
      </c>
      <c r="K166" s="1083">
        <v>121.68</v>
      </c>
      <c r="M166" s="1083">
        <f t="shared" si="14"/>
        <v>162.04</v>
      </c>
      <c r="N166" s="1083">
        <f t="shared" si="15"/>
        <v>143.22</v>
      </c>
      <c r="O166" s="1083">
        <f t="shared" si="16"/>
        <v>131.18</v>
      </c>
      <c r="Q166" s="1263">
        <v>181.5</v>
      </c>
      <c r="R166" s="1263">
        <v>164.72</v>
      </c>
      <c r="S166" s="1263">
        <v>148.68</v>
      </c>
      <c r="U166" s="1265">
        <f t="shared" si="17"/>
        <v>-10.02154264311514</v>
      </c>
      <c r="V166" s="1265">
        <f t="shared" si="18"/>
        <v>9.7136561243891606</v>
      </c>
      <c r="W166" s="1265">
        <f t="shared" si="19"/>
        <v>22.954828337196119</v>
      </c>
    </row>
    <row r="167" spans="2:23" ht="15" thickBot="1">
      <c r="B167" s="161">
        <v>162</v>
      </c>
      <c r="C167" s="530" t="s">
        <v>717</v>
      </c>
      <c r="D167" s="524">
        <f>'Kunyao_Price VAT Inclusive'!C49</f>
        <v>171.14710378085903</v>
      </c>
      <c r="E167" s="524">
        <f>'Kunyao_Price VAT Inclusive'!E49</f>
        <v>174.1023025483633</v>
      </c>
      <c r="F167" s="524">
        <f>'Kunyao_Price VAT Inclusive'!G49</f>
        <v>171.30347476117024</v>
      </c>
      <c r="I167" s="1083">
        <v>152.19</v>
      </c>
      <c r="J167" s="1083">
        <v>133.38999999999999</v>
      </c>
      <c r="K167" s="1083">
        <v>121.34</v>
      </c>
      <c r="M167" s="1083">
        <f t="shared" si="14"/>
        <v>161.69</v>
      </c>
      <c r="N167" s="1083">
        <f t="shared" si="15"/>
        <v>142.88999999999999</v>
      </c>
      <c r="O167" s="1083">
        <f t="shared" si="16"/>
        <v>130.84</v>
      </c>
      <c r="Q167" s="1263">
        <v>181.17</v>
      </c>
      <c r="R167" s="1263">
        <v>164.39</v>
      </c>
      <c r="S167" s="1263">
        <v>148.34</v>
      </c>
      <c r="U167" s="1265">
        <f t="shared" si="17"/>
        <v>-10.022896219140961</v>
      </c>
      <c r="V167" s="1265">
        <f t="shared" si="18"/>
        <v>9.7123025483633114</v>
      </c>
      <c r="W167" s="1265">
        <f t="shared" si="19"/>
        <v>22.963474761170232</v>
      </c>
    </row>
    <row r="168" spans="2:23" ht="15" thickBot="1">
      <c r="B168" s="161">
        <v>163</v>
      </c>
      <c r="C168" s="530" t="s">
        <v>718</v>
      </c>
      <c r="D168" s="524">
        <f>'Asilong_Price VAT Inclusive'!C49</f>
        <v>170.73389937959641</v>
      </c>
      <c r="E168" s="524">
        <f>'Asilong_Price VAT Inclusive'!E49</f>
        <v>173.68909814710068</v>
      </c>
      <c r="F168" s="524">
        <f>'Asilong_Price VAT Inclusive'!G49</f>
        <v>170.89027035990762</v>
      </c>
      <c r="I168" s="1083">
        <v>151.78</v>
      </c>
      <c r="J168" s="1083">
        <v>132.97999999999999</v>
      </c>
      <c r="K168" s="1083">
        <v>120.93</v>
      </c>
      <c r="M168" s="1083">
        <f t="shared" si="14"/>
        <v>161.28</v>
      </c>
      <c r="N168" s="1083">
        <f t="shared" si="15"/>
        <v>142.47999999999999</v>
      </c>
      <c r="O168" s="1083">
        <f t="shared" si="16"/>
        <v>130.43</v>
      </c>
      <c r="Q168" s="1263">
        <v>180.76</v>
      </c>
      <c r="R168" s="1263">
        <v>163.98</v>
      </c>
      <c r="S168" s="1263">
        <v>147.93</v>
      </c>
      <c r="U168" s="1265">
        <f t="shared" si="17"/>
        <v>-10.026100620403582</v>
      </c>
      <c r="V168" s="1265">
        <f t="shared" si="18"/>
        <v>9.7090981471006899</v>
      </c>
      <c r="W168" s="1265">
        <f t="shared" si="19"/>
        <v>22.960270359907611</v>
      </c>
    </row>
    <row r="169" spans="2:23" ht="15" thickBot="1">
      <c r="B169" s="161">
        <v>164</v>
      </c>
      <c r="C169" s="530" t="s">
        <v>719</v>
      </c>
      <c r="D169" s="524">
        <f>'Orolwo_Price VAT Inclusive'!C49</f>
        <v>170.76982479221479</v>
      </c>
      <c r="E169" s="524">
        <f>'Orolwo_Price VAT Inclusive'!E49</f>
        <v>173.72502355971906</v>
      </c>
      <c r="F169" s="524">
        <f>'Orolwo_Price VAT Inclusive'!G49</f>
        <v>170.926195772526</v>
      </c>
      <c r="I169" s="1083">
        <v>151.82</v>
      </c>
      <c r="J169" s="1083">
        <v>133.01</v>
      </c>
      <c r="K169" s="1083">
        <v>120.97</v>
      </c>
      <c r="M169" s="1083">
        <f t="shared" si="14"/>
        <v>161.32</v>
      </c>
      <c r="N169" s="1083">
        <f t="shared" si="15"/>
        <v>142.51</v>
      </c>
      <c r="O169" s="1083">
        <f t="shared" si="16"/>
        <v>130.47</v>
      </c>
      <c r="Q169" s="1263">
        <v>180.79</v>
      </c>
      <c r="R169" s="1263">
        <v>164.01</v>
      </c>
      <c r="S169" s="1263">
        <v>147.97</v>
      </c>
      <c r="U169" s="1265">
        <f t="shared" si="17"/>
        <v>-10.020175207785201</v>
      </c>
      <c r="V169" s="1265">
        <f t="shared" si="18"/>
        <v>9.7150235597190715</v>
      </c>
      <c r="W169" s="1265">
        <f t="shared" si="19"/>
        <v>22.956195772526002</v>
      </c>
    </row>
    <row r="170" spans="2:23" ht="15" thickBot="1">
      <c r="B170" s="161">
        <v>165</v>
      </c>
      <c r="C170" s="530" t="s">
        <v>720</v>
      </c>
      <c r="D170" s="524">
        <f>'Serbit_Price VAT Inclusive'!C49</f>
        <v>170.72192424205693</v>
      </c>
      <c r="E170" s="524">
        <f>'Serbit_Price VAT Inclusive'!E49</f>
        <v>173.66712300956124</v>
      </c>
      <c r="F170" s="524">
        <f>'Serbit_Price VAT Inclusive'!G49</f>
        <v>170.87829522236817</v>
      </c>
      <c r="I170" s="1083">
        <v>151.77000000000001</v>
      </c>
      <c r="J170" s="1083">
        <v>132.96</v>
      </c>
      <c r="K170" s="1083">
        <v>120.92</v>
      </c>
      <c r="M170" s="1083">
        <f t="shared" si="14"/>
        <v>161.27000000000001</v>
      </c>
      <c r="N170" s="1083">
        <f t="shared" si="15"/>
        <v>142.46</v>
      </c>
      <c r="O170" s="1083">
        <f t="shared" si="16"/>
        <v>130.42000000000002</v>
      </c>
      <c r="Q170" s="1263">
        <v>180.74</v>
      </c>
      <c r="R170" s="1263">
        <v>163.96</v>
      </c>
      <c r="S170" s="1263">
        <v>147.91999999999999</v>
      </c>
      <c r="U170" s="1265">
        <f t="shared" si="17"/>
        <v>-10.01807575794308</v>
      </c>
      <c r="V170" s="1265">
        <f t="shared" si="18"/>
        <v>9.7071230095612293</v>
      </c>
      <c r="W170" s="1265">
        <f t="shared" si="19"/>
        <v>22.958295222368179</v>
      </c>
    </row>
    <row r="171" spans="2:23" ht="15" thickBot="1">
      <c r="B171" s="161">
        <v>166</v>
      </c>
      <c r="C171" s="530" t="s">
        <v>721</v>
      </c>
      <c r="D171" s="524">
        <f>'Morpus_Price VAT Inclusive'!C49</f>
        <v>170.62809827928072</v>
      </c>
      <c r="E171" s="524">
        <f>'Morpus_Price VAT Inclusive'!E49</f>
        <v>173.58329704678505</v>
      </c>
      <c r="F171" s="524">
        <f>'Morpus_Price VAT Inclusive'!G49</f>
        <v>170.78446925959199</v>
      </c>
      <c r="I171" s="1083">
        <v>151.68</v>
      </c>
      <c r="J171" s="1083">
        <v>132.87</v>
      </c>
      <c r="K171" s="1083">
        <v>120.82</v>
      </c>
      <c r="M171" s="1083">
        <f t="shared" si="14"/>
        <v>161.18</v>
      </c>
      <c r="N171" s="1083">
        <f t="shared" si="15"/>
        <v>142.37</v>
      </c>
      <c r="O171" s="1083">
        <f t="shared" si="16"/>
        <v>130.32</v>
      </c>
      <c r="Q171" s="1263">
        <v>180.65</v>
      </c>
      <c r="R171" s="1263">
        <v>163.87</v>
      </c>
      <c r="S171" s="1263">
        <v>147.82</v>
      </c>
      <c r="U171" s="1265">
        <f t="shared" si="17"/>
        <v>-10.021901720719285</v>
      </c>
      <c r="V171" s="1265">
        <f t="shared" si="18"/>
        <v>9.7132970467850441</v>
      </c>
      <c r="W171" s="1265">
        <f t="shared" si="19"/>
        <v>22.964469259591993</v>
      </c>
    </row>
    <row r="172" spans="2:23" ht="15" thickBot="1">
      <c r="B172" s="161">
        <v>167</v>
      </c>
      <c r="C172" s="530" t="s">
        <v>722</v>
      </c>
      <c r="D172" s="524">
        <f>'Chepkorniswo_Price VAT Inclusiv'!C49</f>
        <v>170.51032204142564</v>
      </c>
      <c r="E172" s="524">
        <f>'Chepkorniswo_Price VAT Inclusiv'!E49</f>
        <v>173.46552080892991</v>
      </c>
      <c r="F172" s="524">
        <f>'Chepkorniswo_Price VAT Inclusiv'!G49</f>
        <v>170.66669302173688</v>
      </c>
      <c r="I172" s="1083">
        <v>151.57</v>
      </c>
      <c r="J172" s="1083">
        <v>132.75</v>
      </c>
      <c r="K172" s="1083">
        <v>120.71</v>
      </c>
      <c r="M172" s="1083">
        <f t="shared" si="14"/>
        <v>161.07</v>
      </c>
      <c r="N172" s="1083">
        <f t="shared" si="15"/>
        <v>142.25</v>
      </c>
      <c r="O172" s="1083">
        <f t="shared" si="16"/>
        <v>130.20999999999998</v>
      </c>
      <c r="Q172" s="1263">
        <v>180.53</v>
      </c>
      <c r="R172" s="1263">
        <v>163.75</v>
      </c>
      <c r="S172" s="1263">
        <v>147.71</v>
      </c>
      <c r="U172" s="1265">
        <f t="shared" si="17"/>
        <v>-10.019677958574363</v>
      </c>
      <c r="V172" s="1265">
        <f t="shared" si="18"/>
        <v>9.7155208089299094</v>
      </c>
      <c r="W172" s="1265">
        <f t="shared" si="19"/>
        <v>22.956693021736868</v>
      </c>
    </row>
    <row r="173" spans="2:23" ht="15" thickBot="1">
      <c r="B173" s="161">
        <v>168</v>
      </c>
      <c r="C173" s="530" t="s">
        <v>723</v>
      </c>
      <c r="D173" s="524">
        <f>'Kaibishbish_Prive VAT Inclusive'!C49</f>
        <v>170.46242149126783</v>
      </c>
      <c r="E173" s="524">
        <f>'Kaibishbish_Prive VAT Inclusive'!E49</f>
        <v>173.4176202587721</v>
      </c>
      <c r="F173" s="524">
        <f>'Kaibishbish_Prive VAT Inclusive'!G49</f>
        <v>170.61879247157907</v>
      </c>
      <c r="I173" s="1083">
        <v>151.51</v>
      </c>
      <c r="J173" s="1083">
        <v>132.69999999999999</v>
      </c>
      <c r="K173" s="1083">
        <v>120.66</v>
      </c>
      <c r="M173" s="1083">
        <f t="shared" si="14"/>
        <v>161.01</v>
      </c>
      <c r="N173" s="1083">
        <f t="shared" si="15"/>
        <v>142.19999999999999</v>
      </c>
      <c r="O173" s="1083">
        <f t="shared" si="16"/>
        <v>130.16</v>
      </c>
      <c r="Q173" s="1263">
        <v>180.49</v>
      </c>
      <c r="R173" s="1263">
        <v>163.69999999999999</v>
      </c>
      <c r="S173" s="1263">
        <v>147.66</v>
      </c>
      <c r="U173" s="1265">
        <f t="shared" si="17"/>
        <v>-10.027578508732176</v>
      </c>
      <c r="V173" s="1265">
        <f t="shared" si="18"/>
        <v>9.717620258772115</v>
      </c>
      <c r="W173" s="1265">
        <f t="shared" si="19"/>
        <v>22.958792471579073</v>
      </c>
    </row>
    <row r="174" spans="2:23" ht="15" thickBot="1">
      <c r="B174" s="161">
        <v>169</v>
      </c>
      <c r="C174" s="530" t="s">
        <v>724</v>
      </c>
      <c r="D174" s="524">
        <f>'Keringet_Price VAT Inclusive'!C49</f>
        <v>170.19094360293923</v>
      </c>
      <c r="E174" s="524">
        <f>'Keringet_Price VAT Inclusive'!E49</f>
        <v>173.14614237044353</v>
      </c>
      <c r="F174" s="524">
        <f>'Keringet_Price VAT Inclusive'!G49</f>
        <v>170.34731458325047</v>
      </c>
      <c r="I174" s="1083">
        <v>151.24</v>
      </c>
      <c r="J174" s="1083">
        <v>132.43</v>
      </c>
      <c r="K174" s="1083">
        <v>120.39</v>
      </c>
      <c r="M174" s="1083">
        <f t="shared" si="14"/>
        <v>160.74</v>
      </c>
      <c r="N174" s="1083">
        <f t="shared" si="15"/>
        <v>141.93</v>
      </c>
      <c r="O174" s="1083">
        <f t="shared" si="16"/>
        <v>129.88999999999999</v>
      </c>
      <c r="Q174" s="1263">
        <v>180.21</v>
      </c>
      <c r="R174" s="1263">
        <v>163.43</v>
      </c>
      <c r="S174" s="1263">
        <v>147.38999999999999</v>
      </c>
      <c r="U174" s="1265">
        <f t="shared" si="17"/>
        <v>-10.01905639706078</v>
      </c>
      <c r="V174" s="1265">
        <f t="shared" si="18"/>
        <v>9.7161423704435208</v>
      </c>
      <c r="W174" s="1265">
        <f t="shared" si="19"/>
        <v>22.957314583250479</v>
      </c>
    </row>
    <row r="175" spans="2:23" ht="15" thickBot="1">
      <c r="B175" s="568">
        <v>170</v>
      </c>
      <c r="C175" s="568" t="s">
        <v>40</v>
      </c>
      <c r="D175" s="569">
        <f>'Kisumu_Price VAT Inclusive'!C49</f>
        <v>169.46734177700642</v>
      </c>
      <c r="E175" s="569">
        <f>'Kisumu_Price VAT Inclusive'!E49</f>
        <v>172.4225405445107</v>
      </c>
      <c r="F175" s="569">
        <f>'Kisumu_Price VAT Inclusive'!G49</f>
        <v>169.63371275731762</v>
      </c>
      <c r="I175" s="1082">
        <v>150.53</v>
      </c>
      <c r="J175" s="1082">
        <v>131.69999999999999</v>
      </c>
      <c r="K175" s="1082">
        <v>119.66</v>
      </c>
      <c r="M175" s="1082">
        <f t="shared" si="14"/>
        <v>160.03</v>
      </c>
      <c r="N175" s="1082">
        <f t="shared" si="15"/>
        <v>141.19999999999999</v>
      </c>
      <c r="O175" s="1082">
        <f t="shared" si="16"/>
        <v>129.16</v>
      </c>
      <c r="Q175" s="1262">
        <v>179.5</v>
      </c>
      <c r="R175" s="1262">
        <v>162.69999999999999</v>
      </c>
      <c r="S175" s="1262">
        <v>146.66</v>
      </c>
      <c r="U175" s="1265">
        <f t="shared" si="17"/>
        <v>-10.032658222993575</v>
      </c>
      <c r="V175" s="1265">
        <f t="shared" si="18"/>
        <v>9.7225405445107072</v>
      </c>
      <c r="W175" s="1265">
        <f t="shared" si="19"/>
        <v>22.973712757317628</v>
      </c>
    </row>
    <row r="176" spans="2:23" ht="15" thickBot="1">
      <c r="B176" s="161">
        <v>171</v>
      </c>
      <c r="C176" s="530" t="s">
        <v>211</v>
      </c>
      <c r="D176" s="524">
        <f>'Sondu_Price VAT Inclusive'!C49</f>
        <v>169.5720371110769</v>
      </c>
      <c r="E176" s="524">
        <f>'Sondu_Price VAT Inclusive'!E49</f>
        <v>172.52723587858117</v>
      </c>
      <c r="F176" s="524">
        <f>'Sondu_Price VAT Inclusive'!G49</f>
        <v>169.7284080913881</v>
      </c>
      <c r="I176" s="1083">
        <v>150.63999999999999</v>
      </c>
      <c r="J176" s="1083">
        <v>131.80000000000001</v>
      </c>
      <c r="K176" s="1083">
        <v>119.77</v>
      </c>
      <c r="M176" s="1083">
        <f t="shared" si="14"/>
        <v>160.13999999999999</v>
      </c>
      <c r="N176" s="1083">
        <f t="shared" si="15"/>
        <v>141.30000000000001</v>
      </c>
      <c r="O176" s="1083">
        <f t="shared" si="16"/>
        <v>129.26999999999998</v>
      </c>
      <c r="Q176" s="1263">
        <v>179.59</v>
      </c>
      <c r="R176" s="1263">
        <v>162.80000000000001</v>
      </c>
      <c r="S176" s="1263">
        <v>146.77000000000001</v>
      </c>
      <c r="U176" s="1265">
        <f t="shared" si="17"/>
        <v>-10.017962888923108</v>
      </c>
      <c r="V176" s="1265">
        <f t="shared" si="18"/>
        <v>9.7272358785811548</v>
      </c>
      <c r="W176" s="1265">
        <f t="shared" si="19"/>
        <v>22.958408091388094</v>
      </c>
    </row>
    <row r="177" spans="2:23" ht="15" thickBot="1">
      <c r="B177" s="161">
        <v>172</v>
      </c>
      <c r="C177" s="530" t="s">
        <v>213</v>
      </c>
      <c r="D177" s="524">
        <f>'Oyugis_Price VAT Inclusive'!C49</f>
        <v>170.0587097412986</v>
      </c>
      <c r="E177" s="524">
        <f>'Oyugis_Price VAT Inclusive'!E49</f>
        <v>173.01390850880287</v>
      </c>
      <c r="F177" s="524">
        <f>'Oyugis_Price VAT Inclusive'!G49</f>
        <v>170.21508072160981</v>
      </c>
      <c r="I177" s="1083">
        <v>151.11000000000001</v>
      </c>
      <c r="J177" s="1083">
        <v>132.29</v>
      </c>
      <c r="K177" s="1083">
        <v>120.25</v>
      </c>
      <c r="M177" s="1083">
        <f t="shared" si="14"/>
        <v>160.61000000000001</v>
      </c>
      <c r="N177" s="1083">
        <f t="shared" si="15"/>
        <v>141.79</v>
      </c>
      <c r="O177" s="1083">
        <f t="shared" si="16"/>
        <v>129.75</v>
      </c>
      <c r="Q177" s="1263">
        <v>180.08</v>
      </c>
      <c r="R177" s="1263">
        <v>163.29</v>
      </c>
      <c r="S177" s="1263">
        <v>147.25</v>
      </c>
      <c r="U177" s="1265">
        <f t="shared" si="17"/>
        <v>-10.021290258701413</v>
      </c>
      <c r="V177" s="1265">
        <f t="shared" si="18"/>
        <v>9.7239085088028787</v>
      </c>
      <c r="W177" s="1265">
        <f t="shared" si="19"/>
        <v>22.965080721609809</v>
      </c>
    </row>
    <row r="178" spans="2:23" ht="15" thickBot="1">
      <c r="B178" s="161">
        <v>173</v>
      </c>
      <c r="C178" s="530" t="s">
        <v>119</v>
      </c>
      <c r="D178" s="524">
        <f>'Kakamega_Price VAT Inclusive'!C49</f>
        <v>169.52293904716515</v>
      </c>
      <c r="E178" s="524">
        <f>'Kakamega_Price VAT Inclusive'!E49</f>
        <v>172.4781378146694</v>
      </c>
      <c r="F178" s="524">
        <f>'Kakamega_Price VAT Inclusive'!G49</f>
        <v>169.67931002747633</v>
      </c>
      <c r="I178" s="1083">
        <v>150.58000000000001</v>
      </c>
      <c r="J178" s="1083">
        <v>131.75</v>
      </c>
      <c r="K178" s="1083">
        <v>119.72</v>
      </c>
      <c r="M178" s="1083">
        <f t="shared" si="14"/>
        <v>160.08000000000001</v>
      </c>
      <c r="N178" s="1083">
        <f t="shared" si="15"/>
        <v>141.25</v>
      </c>
      <c r="O178" s="1083">
        <f t="shared" si="16"/>
        <v>129.22</v>
      </c>
      <c r="Q178" s="1263">
        <v>179.54</v>
      </c>
      <c r="R178" s="1263">
        <v>162.75</v>
      </c>
      <c r="S178" s="1263">
        <v>146.72</v>
      </c>
      <c r="U178" s="1265">
        <f t="shared" si="17"/>
        <v>-10.017060952834839</v>
      </c>
      <c r="V178" s="1265">
        <f t="shared" si="18"/>
        <v>9.7281378146693953</v>
      </c>
      <c r="W178" s="1265">
        <f t="shared" si="19"/>
        <v>22.959310027476334</v>
      </c>
    </row>
    <row r="179" spans="2:23" ht="15" thickBot="1">
      <c r="B179" s="161">
        <v>174</v>
      </c>
      <c r="C179" s="530" t="s">
        <v>639</v>
      </c>
      <c r="D179" s="524">
        <f>'Mumias_Price VAT Inclusive'!C49</f>
        <v>169.7980094767556</v>
      </c>
      <c r="E179" s="524">
        <f>'Mumias_Price VAT Inclusive'!E49</f>
        <v>172.75320824425984</v>
      </c>
      <c r="F179" s="524">
        <f>'Mumias_Price VAT Inclusive'!G49</f>
        <v>169.95438045706678</v>
      </c>
      <c r="I179" s="1083">
        <v>150.86000000000001</v>
      </c>
      <c r="J179" s="1083">
        <v>132.03</v>
      </c>
      <c r="K179" s="1083">
        <v>119.99</v>
      </c>
      <c r="M179" s="1083">
        <f t="shared" si="14"/>
        <v>160.36000000000001</v>
      </c>
      <c r="N179" s="1083">
        <f t="shared" si="15"/>
        <v>141.53</v>
      </c>
      <c r="O179" s="1083">
        <f t="shared" si="16"/>
        <v>129.49</v>
      </c>
      <c r="Q179" s="1264">
        <v>179.82</v>
      </c>
      <c r="R179" s="1264">
        <v>163.03</v>
      </c>
      <c r="S179" s="1264">
        <v>146.99</v>
      </c>
      <c r="U179" s="1265">
        <f t="shared" si="17"/>
        <v>-10.021990523244398</v>
      </c>
      <c r="V179" s="1265">
        <f t="shared" si="18"/>
        <v>9.7232082442598369</v>
      </c>
      <c r="W179" s="1265">
        <f t="shared" si="19"/>
        <v>22.964380457066767</v>
      </c>
    </row>
    <row r="180" spans="2:23" ht="15" thickBot="1">
      <c r="B180" s="161">
        <v>175</v>
      </c>
      <c r="C180" s="530" t="s">
        <v>212</v>
      </c>
      <c r="D180" s="524">
        <f>'Bondo_Price VAT Inclusive'!C49</f>
        <v>169.68262826640836</v>
      </c>
      <c r="E180" s="524">
        <f>'Bondo_Price VAT Inclusive'!E49</f>
        <v>172.6378270339126</v>
      </c>
      <c r="F180" s="524">
        <f>'Bondo_Price VAT Inclusive'!G49</f>
        <v>169.83899924671957</v>
      </c>
      <c r="I180" s="1083">
        <v>150.75</v>
      </c>
      <c r="J180" s="1083">
        <v>131.91</v>
      </c>
      <c r="K180" s="1083">
        <v>119.88</v>
      </c>
      <c r="M180" s="1083">
        <f t="shared" si="14"/>
        <v>160.25</v>
      </c>
      <c r="N180" s="1083">
        <f t="shared" si="15"/>
        <v>141.41</v>
      </c>
      <c r="O180" s="1083">
        <f t="shared" si="16"/>
        <v>129.38</v>
      </c>
      <c r="Q180" s="1263">
        <v>179.7</v>
      </c>
      <c r="R180" s="1263">
        <v>162.91</v>
      </c>
      <c r="S180" s="1263">
        <v>146.88</v>
      </c>
      <c r="U180" s="1265">
        <f t="shared" si="17"/>
        <v>-10.017371733591631</v>
      </c>
      <c r="V180" s="1265">
        <f t="shared" si="18"/>
        <v>9.7278270339126038</v>
      </c>
      <c r="W180" s="1265">
        <f t="shared" si="19"/>
        <v>22.958999246719571</v>
      </c>
    </row>
    <row r="181" spans="2:23" ht="15" thickBot="1">
      <c r="B181" s="161">
        <v>176</v>
      </c>
      <c r="C181" s="530" t="s">
        <v>125</v>
      </c>
      <c r="D181" s="524">
        <f>'Siaya_Price VAT Inclusive'!C49</f>
        <v>169.80519455927922</v>
      </c>
      <c r="E181" s="524">
        <f>'Siaya_Price VAT Inclusive'!E49</f>
        <v>172.76039332678349</v>
      </c>
      <c r="F181" s="524">
        <f>'Siaya_Price VAT Inclusive'!G49</f>
        <v>169.96156553959042</v>
      </c>
      <c r="I181" s="1083">
        <v>150.86000000000001</v>
      </c>
      <c r="J181" s="1083">
        <v>132.04</v>
      </c>
      <c r="K181" s="1083">
        <v>120</v>
      </c>
      <c r="M181" s="1083">
        <f t="shared" si="14"/>
        <v>160.36000000000001</v>
      </c>
      <c r="N181" s="1083">
        <f t="shared" si="15"/>
        <v>141.54</v>
      </c>
      <c r="O181" s="1083">
        <f t="shared" si="16"/>
        <v>129.5</v>
      </c>
      <c r="Q181" s="1263">
        <v>179.83</v>
      </c>
      <c r="R181" s="1263">
        <v>163.04</v>
      </c>
      <c r="S181" s="1263">
        <v>147</v>
      </c>
      <c r="U181" s="1265">
        <f t="shared" si="17"/>
        <v>-10.024805440720797</v>
      </c>
      <c r="V181" s="1265">
        <f t="shared" si="18"/>
        <v>9.7203933267834941</v>
      </c>
      <c r="W181" s="1265">
        <f t="shared" si="19"/>
        <v>22.961565539590424</v>
      </c>
    </row>
    <row r="182" spans="2:23" ht="15" thickBot="1">
      <c r="B182" s="161">
        <v>177</v>
      </c>
      <c r="C182" s="530" t="s">
        <v>117</v>
      </c>
      <c r="D182" s="524">
        <f>'Kericho_Price VAT Inclusive'!C49</f>
        <v>169.97805642981584</v>
      </c>
      <c r="E182" s="524">
        <f>'Kericho_Price VAT Inclusive'!E49</f>
        <v>172.93325519732011</v>
      </c>
      <c r="F182" s="524">
        <f>'Kericho_Price VAT Inclusive'!G49</f>
        <v>170.13442741012705</v>
      </c>
      <c r="I182" s="1083">
        <v>151.05000000000001</v>
      </c>
      <c r="J182" s="1083">
        <v>132.21</v>
      </c>
      <c r="K182" s="1083">
        <v>120.17</v>
      </c>
      <c r="M182" s="1083">
        <f t="shared" si="14"/>
        <v>160.55000000000001</v>
      </c>
      <c r="N182" s="1083">
        <f t="shared" si="15"/>
        <v>141.71</v>
      </c>
      <c r="O182" s="1083">
        <f t="shared" si="16"/>
        <v>129.67000000000002</v>
      </c>
      <c r="Q182" s="1263">
        <v>180</v>
      </c>
      <c r="R182" s="1263">
        <v>163.21</v>
      </c>
      <c r="S182" s="1263">
        <v>147.16999999999999</v>
      </c>
      <c r="U182" s="1265">
        <f t="shared" si="17"/>
        <v>-10.021943570184163</v>
      </c>
      <c r="V182" s="1265">
        <f t="shared" si="18"/>
        <v>9.7232551973200998</v>
      </c>
      <c r="W182" s="1265">
        <f t="shared" si="19"/>
        <v>22.964427410127058</v>
      </c>
    </row>
    <row r="183" spans="2:23" ht="15" thickBot="1">
      <c r="B183" s="161">
        <v>178</v>
      </c>
      <c r="C183" s="530" t="s">
        <v>136</v>
      </c>
      <c r="D183" s="524">
        <f>'Nyamira_Price VAT Inclusive'!C49</f>
        <v>170.04553709000524</v>
      </c>
      <c r="E183" s="524">
        <f>'Nyamira_Price VAT Inclusive'!E49</f>
        <v>172.99073585750949</v>
      </c>
      <c r="F183" s="524">
        <f>'Nyamira_Price VAT Inclusive'!G49</f>
        <v>170.20190807031645</v>
      </c>
      <c r="I183" s="1083">
        <v>151.1</v>
      </c>
      <c r="J183" s="1083">
        <v>132.28</v>
      </c>
      <c r="K183" s="1083">
        <v>120.24</v>
      </c>
      <c r="M183" s="1083">
        <f t="shared" si="14"/>
        <v>160.6</v>
      </c>
      <c r="N183" s="1083">
        <f t="shared" si="15"/>
        <v>141.78</v>
      </c>
      <c r="O183" s="1083">
        <f t="shared" si="16"/>
        <v>129.74</v>
      </c>
      <c r="Q183" s="1263">
        <v>180.07</v>
      </c>
      <c r="R183" s="1263">
        <v>163.28</v>
      </c>
      <c r="S183" s="1263">
        <v>147.24</v>
      </c>
      <c r="U183" s="1265">
        <f t="shared" si="17"/>
        <v>-10.024462909994753</v>
      </c>
      <c r="V183" s="1265">
        <f t="shared" si="18"/>
        <v>9.7107358575094906</v>
      </c>
      <c r="W183" s="1265">
        <f t="shared" si="19"/>
        <v>22.96190807031644</v>
      </c>
    </row>
    <row r="184" spans="2:23" ht="15" thickBot="1">
      <c r="B184" s="161">
        <v>179</v>
      </c>
      <c r="C184" s="530" t="s">
        <v>70</v>
      </c>
      <c r="D184" s="524">
        <f>'Kisii_Price VAT Inclusive'!C49</f>
        <v>170.3529403909522</v>
      </c>
      <c r="E184" s="524">
        <f>'Kisii_Price VAT Inclusive'!E49</f>
        <v>173.30813915845644</v>
      </c>
      <c r="F184" s="524">
        <f>'Kisii_Price VAT Inclusive'!G49</f>
        <v>170.50931137126338</v>
      </c>
      <c r="I184" s="1083">
        <v>151.41</v>
      </c>
      <c r="J184" s="1083">
        <v>132.58000000000001</v>
      </c>
      <c r="K184" s="1083">
        <v>120.55</v>
      </c>
      <c r="M184" s="1083">
        <f t="shared" si="14"/>
        <v>160.91</v>
      </c>
      <c r="N184" s="1083">
        <f t="shared" si="15"/>
        <v>142.08000000000001</v>
      </c>
      <c r="O184" s="1083">
        <f t="shared" si="16"/>
        <v>130.05000000000001</v>
      </c>
      <c r="Q184" s="1263">
        <v>180.37</v>
      </c>
      <c r="R184" s="1263">
        <v>163.58000000000001</v>
      </c>
      <c r="S184" s="1263">
        <v>147.55000000000001</v>
      </c>
      <c r="U184" s="1265">
        <f t="shared" si="17"/>
        <v>-10.017059609047806</v>
      </c>
      <c r="V184" s="1265">
        <f t="shared" si="18"/>
        <v>9.728139158456429</v>
      </c>
      <c r="W184" s="1265">
        <f t="shared" si="19"/>
        <v>22.959311371263368</v>
      </c>
    </row>
    <row r="185" spans="2:23" ht="15" thickBot="1">
      <c r="B185" s="161">
        <v>180</v>
      </c>
      <c r="C185" s="530" t="s">
        <v>118</v>
      </c>
      <c r="D185" s="524">
        <f>'Sotik_Price VAT Inclusive'!C49</f>
        <v>170.18486857543138</v>
      </c>
      <c r="E185" s="524">
        <f>'Sotik_Price VAT Inclusive'!E49</f>
        <v>173.1300673429356</v>
      </c>
      <c r="F185" s="524">
        <f>'Sotik_Price VAT Inclusive'!G49</f>
        <v>170.34123955574256</v>
      </c>
      <c r="I185" s="1083">
        <v>151.24</v>
      </c>
      <c r="J185" s="1083">
        <v>132.41999999999999</v>
      </c>
      <c r="K185" s="1083">
        <v>120.38</v>
      </c>
      <c r="M185" s="1083">
        <f t="shared" si="14"/>
        <v>160.74</v>
      </c>
      <c r="N185" s="1083">
        <f t="shared" si="15"/>
        <v>141.91999999999999</v>
      </c>
      <c r="O185" s="1083">
        <f t="shared" si="16"/>
        <v>129.88</v>
      </c>
      <c r="Q185" s="1263">
        <v>180.21</v>
      </c>
      <c r="R185" s="1263">
        <v>163.41999999999999</v>
      </c>
      <c r="S185" s="1263">
        <v>147.38</v>
      </c>
      <c r="U185" s="1265">
        <f t="shared" si="17"/>
        <v>-10.025131424568627</v>
      </c>
      <c r="V185" s="1265">
        <f t="shared" si="18"/>
        <v>9.7100673429356164</v>
      </c>
      <c r="W185" s="1265">
        <f t="shared" si="19"/>
        <v>22.961239555742566</v>
      </c>
    </row>
    <row r="186" spans="2:23" ht="15" thickBot="1">
      <c r="B186" s="161">
        <v>181</v>
      </c>
      <c r="C186" s="530" t="s">
        <v>218</v>
      </c>
      <c r="D186" s="524">
        <f>'Keroka_Price VAT Inclusive'!C49</f>
        <v>170.36491552849162</v>
      </c>
      <c r="E186" s="524">
        <f>'Keroka_Price VAT Inclusive'!E49</f>
        <v>173.32011429599589</v>
      </c>
      <c r="F186" s="524">
        <f>'Keroka_Price VAT Inclusive'!G49</f>
        <v>170.52128650880283</v>
      </c>
      <c r="I186" s="1083">
        <v>151.43</v>
      </c>
      <c r="J186" s="1083">
        <v>132.6</v>
      </c>
      <c r="K186" s="1083">
        <v>120.56</v>
      </c>
      <c r="M186" s="1083">
        <f t="shared" si="14"/>
        <v>160.93</v>
      </c>
      <c r="N186" s="1083">
        <f t="shared" si="15"/>
        <v>142.1</v>
      </c>
      <c r="O186" s="1083">
        <f t="shared" si="16"/>
        <v>130.06</v>
      </c>
      <c r="Q186" s="1263">
        <v>180.39</v>
      </c>
      <c r="R186" s="1263">
        <v>163.6</v>
      </c>
      <c r="S186" s="1263">
        <v>147.56</v>
      </c>
      <c r="U186" s="1265">
        <f t="shared" si="17"/>
        <v>-10.025084471508364</v>
      </c>
      <c r="V186" s="1265">
        <f t="shared" si="18"/>
        <v>9.7201142959958986</v>
      </c>
      <c r="W186" s="1265">
        <f t="shared" si="19"/>
        <v>22.961286508802829</v>
      </c>
    </row>
    <row r="187" spans="2:23" ht="15" thickBot="1">
      <c r="B187" s="161">
        <v>182</v>
      </c>
      <c r="C187" s="530" t="s">
        <v>116</v>
      </c>
      <c r="D187" s="524">
        <f>'Busia_Price VAT Inclusive'!C49</f>
        <v>170.34096525341272</v>
      </c>
      <c r="E187" s="524">
        <f>'Busia_Price VAT Inclusive'!E49</f>
        <v>173.29616402091699</v>
      </c>
      <c r="F187" s="524">
        <f>'Busia_Price VAT Inclusive'!G49</f>
        <v>170.49733623372393</v>
      </c>
      <c r="I187" s="1083">
        <v>151.4</v>
      </c>
      <c r="J187" s="1083">
        <v>132.57</v>
      </c>
      <c r="K187" s="1083">
        <v>120.54</v>
      </c>
      <c r="M187" s="1083">
        <f t="shared" si="14"/>
        <v>160.9</v>
      </c>
      <c r="N187" s="1083">
        <f t="shared" si="15"/>
        <v>142.07</v>
      </c>
      <c r="O187" s="1083">
        <f t="shared" si="16"/>
        <v>130.04000000000002</v>
      </c>
      <c r="Q187" s="1264">
        <v>180.36</v>
      </c>
      <c r="R187" s="1264">
        <v>163.57</v>
      </c>
      <c r="S187" s="1264">
        <v>147.54</v>
      </c>
      <c r="U187" s="1265">
        <f t="shared" si="17"/>
        <v>-10.019034746587295</v>
      </c>
      <c r="V187" s="1265">
        <f t="shared" si="18"/>
        <v>9.7261640209169968</v>
      </c>
      <c r="W187" s="1265">
        <f t="shared" si="19"/>
        <v>22.957336233723936</v>
      </c>
    </row>
    <row r="188" spans="2:23" ht="15" thickBot="1">
      <c r="B188" s="161">
        <v>183</v>
      </c>
      <c r="C188" s="530" t="s">
        <v>120</v>
      </c>
      <c r="D188" s="524">
        <f>'Homabay_Price VAT Inclusive'!C49</f>
        <v>170.28306470325492</v>
      </c>
      <c r="E188" s="524">
        <f>'Homabay_Price VAT Inclusive'!E49</f>
        <v>173.23826347075916</v>
      </c>
      <c r="F188" s="524">
        <f>'Homabay_Price VAT Inclusive'!G49</f>
        <v>170.44943568356609</v>
      </c>
      <c r="I188" s="1083">
        <v>151.35</v>
      </c>
      <c r="J188" s="1083">
        <v>132.52000000000001</v>
      </c>
      <c r="K188" s="1083">
        <v>120.48</v>
      </c>
      <c r="M188" s="1083">
        <f t="shared" si="14"/>
        <v>160.85</v>
      </c>
      <c r="N188" s="1083">
        <f t="shared" si="15"/>
        <v>142.02000000000001</v>
      </c>
      <c r="O188" s="1083">
        <f t="shared" si="16"/>
        <v>129.98000000000002</v>
      </c>
      <c r="Q188" s="1263">
        <v>180.31</v>
      </c>
      <c r="R188" s="1263">
        <v>163.52000000000001</v>
      </c>
      <c r="S188" s="1263">
        <v>147.47999999999999</v>
      </c>
      <c r="U188" s="1265">
        <f t="shared" si="17"/>
        <v>-10.02693529674508</v>
      </c>
      <c r="V188" s="1265">
        <f t="shared" si="18"/>
        <v>9.7182634707591546</v>
      </c>
      <c r="W188" s="1265">
        <f t="shared" si="19"/>
        <v>22.969435683566104</v>
      </c>
    </row>
    <row r="189" spans="2:23" ht="15" thickBot="1">
      <c r="B189" s="161">
        <v>184</v>
      </c>
      <c r="C189" s="530" t="s">
        <v>142</v>
      </c>
      <c r="D189" s="524">
        <f>'Migori_Price VAT Inclusive'!C49</f>
        <v>171.14342378085905</v>
      </c>
      <c r="E189" s="524">
        <f>'Migori_Price VAT Inclusive'!E49</f>
        <v>174.09862254836329</v>
      </c>
      <c r="F189" s="524">
        <f>'Migori_Price VAT Inclusive'!G49</f>
        <v>171.29979476117023</v>
      </c>
      <c r="I189" s="1083">
        <v>152.19999999999999</v>
      </c>
      <c r="J189" s="1083">
        <v>133.37</v>
      </c>
      <c r="K189" s="1083">
        <v>121.34</v>
      </c>
      <c r="M189" s="1083">
        <f t="shared" si="14"/>
        <v>161.69999999999999</v>
      </c>
      <c r="N189" s="1083">
        <f t="shared" si="15"/>
        <v>142.87</v>
      </c>
      <c r="O189" s="1083">
        <f t="shared" si="16"/>
        <v>130.84</v>
      </c>
      <c r="Q189" s="1264">
        <v>181.17</v>
      </c>
      <c r="R189" s="1264">
        <v>164.37</v>
      </c>
      <c r="S189" s="1264">
        <v>148.34</v>
      </c>
      <c r="U189" s="1265">
        <f t="shared" si="17"/>
        <v>-10.026576219140935</v>
      </c>
      <c r="V189" s="1265">
        <f t="shared" si="18"/>
        <v>9.7286225483632904</v>
      </c>
      <c r="W189" s="1265">
        <f t="shared" si="19"/>
        <v>22.95979476117023</v>
      </c>
    </row>
    <row r="190" spans="2:23" s="163" customFormat="1" ht="15" thickBot="1">
      <c r="B190" s="161">
        <v>185</v>
      </c>
      <c r="C190" s="528" t="s">
        <v>210</v>
      </c>
      <c r="D190" s="529">
        <f>'Isebania_Price VAT Inclusive'!C49</f>
        <v>171.42687680672708</v>
      </c>
      <c r="E190" s="529">
        <f>'Isebania_Price VAT Inclusive'!E49</f>
        <v>174.38207557423132</v>
      </c>
      <c r="F190" s="529">
        <f>'Isebania_Price VAT Inclusive'!G49</f>
        <v>171.58324778703829</v>
      </c>
      <c r="I190" s="1083">
        <v>152.47999999999999</v>
      </c>
      <c r="J190" s="1083">
        <v>133.66</v>
      </c>
      <c r="K190" s="1083">
        <v>121.62</v>
      </c>
      <c r="M190" s="1083">
        <f t="shared" si="14"/>
        <v>161.97999999999999</v>
      </c>
      <c r="N190" s="1083">
        <f t="shared" si="15"/>
        <v>143.16</v>
      </c>
      <c r="O190" s="1083">
        <f t="shared" si="16"/>
        <v>131.12</v>
      </c>
      <c r="Q190" s="1263">
        <v>181.45</v>
      </c>
      <c r="R190" s="1263">
        <v>164.66</v>
      </c>
      <c r="S190" s="1263">
        <v>148.62</v>
      </c>
      <c r="U190" s="1265">
        <f t="shared" si="17"/>
        <v>-10.023123193272909</v>
      </c>
      <c r="V190" s="1265">
        <f t="shared" si="18"/>
        <v>9.7220755742313258</v>
      </c>
      <c r="W190" s="1265">
        <f t="shared" si="19"/>
        <v>22.963247787038284</v>
      </c>
    </row>
    <row r="191" spans="2:23" ht="15" thickBot="1">
      <c r="B191" s="161">
        <v>186</v>
      </c>
      <c r="C191" s="530" t="s">
        <v>207</v>
      </c>
      <c r="D191" s="529">
        <f>'Bomet_Price VAT Inclusive'!C49</f>
        <v>170.58849286666236</v>
      </c>
      <c r="E191" s="529">
        <f>'Bomet_Price VAT Inclusive'!E49</f>
        <v>173.53369163416664</v>
      </c>
      <c r="F191" s="529">
        <f>'Bomet_Price VAT Inclusive'!G49</f>
        <v>170.7448638469736</v>
      </c>
      <c r="I191" s="1083">
        <v>151.63999999999999</v>
      </c>
      <c r="J191" s="1083">
        <v>132.82</v>
      </c>
      <c r="K191" s="1083">
        <v>120.78</v>
      </c>
      <c r="M191" s="1083">
        <f t="shared" si="14"/>
        <v>161.13999999999999</v>
      </c>
      <c r="N191" s="1083">
        <f t="shared" si="15"/>
        <v>142.32</v>
      </c>
      <c r="O191" s="1083">
        <f t="shared" si="16"/>
        <v>130.28</v>
      </c>
      <c r="Q191" s="1263">
        <v>180.61</v>
      </c>
      <c r="R191" s="1263">
        <v>163.82</v>
      </c>
      <c r="S191" s="1263">
        <v>147.78</v>
      </c>
      <c r="U191" s="1265">
        <f t="shared" si="17"/>
        <v>-10.02150713333765</v>
      </c>
      <c r="V191" s="1265">
        <f t="shared" si="18"/>
        <v>9.7136916341666506</v>
      </c>
      <c r="W191" s="1265">
        <f t="shared" si="19"/>
        <v>22.9648638469736</v>
      </c>
    </row>
    <row r="192" spans="2:23" ht="15" thickBot="1">
      <c r="B192" s="161">
        <v>187</v>
      </c>
      <c r="C192" s="389" t="s">
        <v>557</v>
      </c>
      <c r="D192" s="529">
        <f>'Muhoroni_Price VAT Inclusive'!C49</f>
        <v>169.69939345896358</v>
      </c>
      <c r="E192" s="529">
        <f>'Muhoroni_Price VAT Inclusive'!E49</f>
        <v>172.65459222646783</v>
      </c>
      <c r="F192" s="529">
        <f>'Muhoroni_Price VAT Inclusive'!G49</f>
        <v>169.85576443927479</v>
      </c>
      <c r="I192" s="1083">
        <v>150.77000000000001</v>
      </c>
      <c r="J192" s="1083">
        <v>131.93</v>
      </c>
      <c r="K192" s="1083">
        <v>119.9</v>
      </c>
      <c r="M192" s="1083">
        <f t="shared" si="14"/>
        <v>160.27000000000001</v>
      </c>
      <c r="N192" s="1083">
        <f t="shared" si="15"/>
        <v>141.43</v>
      </c>
      <c r="O192" s="1083">
        <f t="shared" si="16"/>
        <v>129.4</v>
      </c>
      <c r="Q192" s="1263">
        <v>179.72</v>
      </c>
      <c r="R192" s="1263">
        <v>162.93</v>
      </c>
      <c r="S192" s="1263">
        <v>146.9</v>
      </c>
      <c r="U192" s="1265">
        <f t="shared" si="17"/>
        <v>-10.020606541036415</v>
      </c>
      <c r="V192" s="1265">
        <f t="shared" si="18"/>
        <v>9.72459222646782</v>
      </c>
      <c r="W192" s="1265">
        <f t="shared" si="19"/>
        <v>22.955764439274787</v>
      </c>
    </row>
    <row r="193" spans="2:23" ht="15" thickBot="1">
      <c r="B193" s="161">
        <v>188</v>
      </c>
      <c r="C193" s="389" t="s">
        <v>558</v>
      </c>
      <c r="D193" s="529">
        <f>'Mbita_Price VAT Inclusive'!C49</f>
        <v>170.27108956571544</v>
      </c>
      <c r="E193" s="529">
        <f>'Mbita_Price VAT Inclusive'!E49</f>
        <v>173.22628833321971</v>
      </c>
      <c r="F193" s="529">
        <f>'Mbita_Price VAT Inclusive'!G49</f>
        <v>170.42746054602665</v>
      </c>
      <c r="I193" s="1083">
        <v>151.34</v>
      </c>
      <c r="J193" s="1083">
        <v>132.5</v>
      </c>
      <c r="K193" s="1083">
        <v>120.47</v>
      </c>
      <c r="M193" s="1083">
        <f t="shared" si="14"/>
        <v>160.84</v>
      </c>
      <c r="N193" s="1083">
        <f t="shared" si="15"/>
        <v>142</v>
      </c>
      <c r="O193" s="1083">
        <f t="shared" si="16"/>
        <v>129.97</v>
      </c>
      <c r="Q193" s="1263">
        <v>180.3</v>
      </c>
      <c r="R193" s="1263">
        <v>163.5</v>
      </c>
      <c r="S193" s="1263">
        <v>147.47</v>
      </c>
      <c r="U193" s="1265">
        <f t="shared" si="17"/>
        <v>-10.028910434284569</v>
      </c>
      <c r="V193" s="1265">
        <f t="shared" si="18"/>
        <v>9.7262883332197134</v>
      </c>
      <c r="W193" s="1265">
        <f t="shared" si="19"/>
        <v>22.957460546026653</v>
      </c>
    </row>
    <row r="194" spans="2:23" ht="15" thickBot="1">
      <c r="B194" s="161">
        <v>189</v>
      </c>
      <c r="C194" s="389" t="s">
        <v>559</v>
      </c>
      <c r="D194" s="529">
        <f>'Mbale_Price VAT Inclusive'!C49</f>
        <v>169.46734177700642</v>
      </c>
      <c r="E194" s="529">
        <f>'Mbale_Price VAT Inclusive'!E49</f>
        <v>172.4225405445107</v>
      </c>
      <c r="F194" s="529">
        <f>'Mbale_Price VAT Inclusive'!G49</f>
        <v>169.63371275731762</v>
      </c>
      <c r="I194" s="1083">
        <v>150.53</v>
      </c>
      <c r="J194" s="1083">
        <v>131.69999999999999</v>
      </c>
      <c r="K194" s="1083">
        <v>119.66</v>
      </c>
      <c r="M194" s="1083">
        <f t="shared" si="14"/>
        <v>160.03</v>
      </c>
      <c r="N194" s="1083">
        <f t="shared" si="15"/>
        <v>141.19999999999999</v>
      </c>
      <c r="O194" s="1083">
        <f t="shared" si="16"/>
        <v>129.16</v>
      </c>
      <c r="Q194" s="1263">
        <v>179.5</v>
      </c>
      <c r="R194" s="1263">
        <v>162.69999999999999</v>
      </c>
      <c r="S194" s="1263">
        <v>146.66</v>
      </c>
      <c r="U194" s="1265">
        <f t="shared" si="17"/>
        <v>-10.032658222993575</v>
      </c>
      <c r="V194" s="1265">
        <f t="shared" si="18"/>
        <v>9.7225405445107072</v>
      </c>
      <c r="W194" s="1265">
        <f t="shared" si="19"/>
        <v>22.973712757317628</v>
      </c>
    </row>
    <row r="195" spans="2:23" ht="15" thickBot="1">
      <c r="B195" s="161">
        <v>190</v>
      </c>
      <c r="C195" s="389" t="s">
        <v>560</v>
      </c>
      <c r="D195" s="529">
        <f>'Etago_Price VAT Inclusive'!C49</f>
        <v>170.91984644268828</v>
      </c>
      <c r="E195" s="529">
        <f>'Etago_Price VAT Inclusive'!E49</f>
        <v>173.87504521019252</v>
      </c>
      <c r="F195" s="529">
        <f>'Etago_Price VAT Inclusive'!G49</f>
        <v>171.07621742299946</v>
      </c>
      <c r="I195" s="1083">
        <v>151.99</v>
      </c>
      <c r="J195" s="1083">
        <v>133.15</v>
      </c>
      <c r="K195" s="1083">
        <v>121.12</v>
      </c>
      <c r="M195" s="1083">
        <f t="shared" si="14"/>
        <v>161.49</v>
      </c>
      <c r="N195" s="1083">
        <f t="shared" si="15"/>
        <v>142.65</v>
      </c>
      <c r="O195" s="1083">
        <f t="shared" si="16"/>
        <v>130.62</v>
      </c>
      <c r="Q195" s="1263">
        <v>180.94</v>
      </c>
      <c r="R195" s="1263">
        <v>164.15</v>
      </c>
      <c r="S195" s="1263">
        <v>148.12</v>
      </c>
      <c r="U195" s="1265">
        <f t="shared" si="17"/>
        <v>-10.020153557311716</v>
      </c>
      <c r="V195" s="1265">
        <f t="shared" si="18"/>
        <v>9.7250452101925191</v>
      </c>
      <c r="W195" s="1265">
        <f t="shared" si="19"/>
        <v>22.956217422999458</v>
      </c>
    </row>
    <row r="196" spans="2:23" ht="15" thickBot="1">
      <c r="B196" s="161">
        <v>191</v>
      </c>
      <c r="C196" s="389" t="s">
        <v>561</v>
      </c>
      <c r="D196" s="529">
        <f>'Magenche_Price VAT Inclusive'!C49</f>
        <v>171.02564754300388</v>
      </c>
      <c r="E196" s="529">
        <f>'Magenche_Price VAT Inclusive'!E49</f>
        <v>173.98084631050818</v>
      </c>
      <c r="F196" s="529">
        <f>'Magenche_Price VAT Inclusive'!G49</f>
        <v>171.18201852331512</v>
      </c>
      <c r="I196" s="1083">
        <v>152.08000000000001</v>
      </c>
      <c r="J196" s="1083">
        <v>133.26</v>
      </c>
      <c r="K196" s="1083">
        <v>121.22</v>
      </c>
      <c r="M196" s="1083">
        <f t="shared" si="14"/>
        <v>161.58000000000001</v>
      </c>
      <c r="N196" s="1083">
        <f t="shared" si="15"/>
        <v>142.76</v>
      </c>
      <c r="O196" s="1083">
        <f t="shared" si="16"/>
        <v>130.72</v>
      </c>
      <c r="Q196" s="1263">
        <v>181.05</v>
      </c>
      <c r="R196" s="1263">
        <v>164.26</v>
      </c>
      <c r="S196" s="1263">
        <v>148.22</v>
      </c>
      <c r="U196" s="1265">
        <f t="shared" si="17"/>
        <v>-10.024352456996127</v>
      </c>
      <c r="V196" s="1265">
        <f t="shared" si="18"/>
        <v>9.7208463105081933</v>
      </c>
      <c r="W196" s="1265">
        <f t="shared" si="19"/>
        <v>22.962018523315123</v>
      </c>
    </row>
    <row r="197" spans="2:23" ht="15" thickBot="1">
      <c r="B197" s="161">
        <v>192</v>
      </c>
      <c r="C197" s="389" t="s">
        <v>562</v>
      </c>
      <c r="D197" s="529">
        <f>'Kilgoris_Price VAT Inclusive'!C49</f>
        <v>170.859970754991</v>
      </c>
      <c r="E197" s="529">
        <f>'Kilgoris_Price VAT Inclusive'!E49</f>
        <v>173.80516952249525</v>
      </c>
      <c r="F197" s="529">
        <f>'Kilgoris_Price VAT Inclusive'!G49</f>
        <v>171.01634173530218</v>
      </c>
      <c r="I197" s="1083">
        <v>151.91999999999999</v>
      </c>
      <c r="J197" s="1083">
        <v>133.09</v>
      </c>
      <c r="K197" s="1083">
        <v>121.06</v>
      </c>
      <c r="M197" s="1083">
        <f t="shared" si="14"/>
        <v>161.41999999999999</v>
      </c>
      <c r="N197" s="1083">
        <f t="shared" si="15"/>
        <v>142.59</v>
      </c>
      <c r="O197" s="1083">
        <f t="shared" si="16"/>
        <v>130.56</v>
      </c>
      <c r="Q197" s="1263">
        <v>180.88</v>
      </c>
      <c r="R197" s="1263">
        <v>164.09</v>
      </c>
      <c r="S197" s="1263">
        <v>148.06</v>
      </c>
      <c r="U197" s="1265">
        <f t="shared" si="17"/>
        <v>-10.020029245008999</v>
      </c>
      <c r="V197" s="1265">
        <f t="shared" si="18"/>
        <v>9.7151695224952448</v>
      </c>
      <c r="W197" s="1265">
        <f t="shared" si="19"/>
        <v>22.956341735302175</v>
      </c>
    </row>
    <row r="198" spans="2:23" ht="15" thickBot="1">
      <c r="B198" s="161">
        <v>193</v>
      </c>
      <c r="C198" s="1078" t="s">
        <v>725</v>
      </c>
      <c r="D198" s="529">
        <f>'Malava_VAT Price Inclusive'!C49</f>
        <v>169.83393488937392</v>
      </c>
      <c r="E198" s="529">
        <f>'Malava_VAT Price Inclusive'!E49</f>
        <v>172.78913365687819</v>
      </c>
      <c r="F198" s="529">
        <f>'Malava_VAT Price Inclusive'!G49</f>
        <v>169.99030586968513</v>
      </c>
      <c r="I198" s="1083">
        <v>150.9</v>
      </c>
      <c r="J198" s="1083">
        <v>132.06</v>
      </c>
      <c r="K198" s="1083">
        <v>120.03</v>
      </c>
      <c r="M198" s="1083">
        <f t="shared" si="14"/>
        <v>160.4</v>
      </c>
      <c r="N198" s="1083">
        <f t="shared" si="15"/>
        <v>141.56</v>
      </c>
      <c r="O198" s="1083">
        <f t="shared" si="16"/>
        <v>129.53</v>
      </c>
      <c r="Q198" s="1263">
        <v>179.86</v>
      </c>
      <c r="R198" s="1263">
        <v>163.06</v>
      </c>
      <c r="S198" s="1263">
        <v>147.03</v>
      </c>
      <c r="U198" s="1265">
        <f t="shared" si="17"/>
        <v>-10.026065110626092</v>
      </c>
      <c r="V198" s="1265">
        <f t="shared" si="18"/>
        <v>9.7291336568781901</v>
      </c>
      <c r="W198" s="1265">
        <f t="shared" si="19"/>
        <v>22.960305869685129</v>
      </c>
    </row>
    <row r="199" spans="2:23" ht="15" thickBot="1">
      <c r="B199" s="161">
        <v>194</v>
      </c>
      <c r="C199" s="1078" t="s">
        <v>726</v>
      </c>
      <c r="D199" s="529">
        <f>'Lugari_VAT Price VAT Inclusive'!C49</f>
        <v>170.22318901555764</v>
      </c>
      <c r="E199" s="529">
        <f>'Lugari_VAT Price VAT Inclusive'!E49</f>
        <v>173.17838778306188</v>
      </c>
      <c r="F199" s="529">
        <f>'Lugari_VAT Price VAT Inclusive'!G49</f>
        <v>170.37955999586882</v>
      </c>
      <c r="I199" s="1083">
        <v>151.29</v>
      </c>
      <c r="J199" s="1083">
        <v>132.44999999999999</v>
      </c>
      <c r="K199" s="1083">
        <v>120.42</v>
      </c>
      <c r="M199" s="1083">
        <f t="shared" ref="M199:M228" si="20">I199+9.5</f>
        <v>160.79</v>
      </c>
      <c r="N199" s="1083">
        <f t="shared" ref="N199:N228" si="21">J199+9.5</f>
        <v>141.94999999999999</v>
      </c>
      <c r="O199" s="1083">
        <f t="shared" ref="O199:O228" si="22">K199+9.5</f>
        <v>129.92000000000002</v>
      </c>
      <c r="Q199" s="1263">
        <v>180.25</v>
      </c>
      <c r="R199" s="1263">
        <v>163.44999999999999</v>
      </c>
      <c r="S199" s="1263">
        <v>147.41999999999999</v>
      </c>
      <c r="U199" s="1265">
        <f t="shared" ref="U199:U228" si="23">D199-Q199</f>
        <v>-10.026810984442363</v>
      </c>
      <c r="V199" s="1265">
        <f t="shared" ref="V199:V228" si="24">E199-R199</f>
        <v>9.7283877830618906</v>
      </c>
      <c r="W199" s="1265">
        <f t="shared" ref="W199:W228" si="25">F199-S199</f>
        <v>22.95955999586883</v>
      </c>
    </row>
    <row r="200" spans="2:23" ht="15" thickBot="1">
      <c r="B200" s="161">
        <v>195</v>
      </c>
      <c r="C200" s="1078" t="s">
        <v>727</v>
      </c>
      <c r="D200" s="529">
        <f>'Rodi Kopany_Price VAT Inclusive'!C49</f>
        <v>170.3529403909522</v>
      </c>
      <c r="E200" s="529">
        <f>'Rodi Kopany_Price VAT Inclusive'!E49</f>
        <v>173.30813915845644</v>
      </c>
      <c r="F200" s="529">
        <f>'Rodi Kopany_Price VAT Inclusive'!G49</f>
        <v>170.50931137126338</v>
      </c>
      <c r="I200" s="1083">
        <v>151.41</v>
      </c>
      <c r="J200" s="1083">
        <v>132.58000000000001</v>
      </c>
      <c r="K200" s="1083">
        <v>120.55</v>
      </c>
      <c r="M200" s="1083">
        <f t="shared" si="20"/>
        <v>160.91</v>
      </c>
      <c r="N200" s="1083">
        <f t="shared" si="21"/>
        <v>142.08000000000001</v>
      </c>
      <c r="O200" s="1083">
        <f t="shared" si="22"/>
        <v>130.05000000000001</v>
      </c>
      <c r="Q200" s="1263">
        <v>180.37</v>
      </c>
      <c r="R200" s="1263">
        <v>163.58000000000001</v>
      </c>
      <c r="S200" s="1263">
        <v>147.55000000000001</v>
      </c>
      <c r="U200" s="1265">
        <f t="shared" si="23"/>
        <v>-10.017059609047806</v>
      </c>
      <c r="V200" s="1265">
        <f t="shared" si="24"/>
        <v>9.728139158456429</v>
      </c>
      <c r="W200" s="1265">
        <f t="shared" si="25"/>
        <v>22.959311371263368</v>
      </c>
    </row>
    <row r="201" spans="2:23" ht="15" thickBot="1">
      <c r="B201" s="161">
        <v>196</v>
      </c>
      <c r="C201" s="1078" t="s">
        <v>728</v>
      </c>
      <c r="D201" s="529">
        <f>'Ndhiwa_Price VAT Inclusive'!C49</f>
        <v>170.62441827928075</v>
      </c>
      <c r="E201" s="529">
        <f>'Ndhiwa_Price VAT Inclusive'!E49</f>
        <v>173.57961704678502</v>
      </c>
      <c r="F201" s="529">
        <f>'Ndhiwa_Price VAT Inclusive'!G49</f>
        <v>170.78078925959198</v>
      </c>
      <c r="I201" s="1083">
        <v>151.68</v>
      </c>
      <c r="J201" s="1083">
        <v>132.86000000000001</v>
      </c>
      <c r="K201" s="1083">
        <v>120.82</v>
      </c>
      <c r="M201" s="1083">
        <f t="shared" si="20"/>
        <v>161.18</v>
      </c>
      <c r="N201" s="1083">
        <f t="shared" si="21"/>
        <v>142.36000000000001</v>
      </c>
      <c r="O201" s="1083">
        <f t="shared" si="22"/>
        <v>130.32</v>
      </c>
      <c r="Q201" s="1263">
        <v>180.65</v>
      </c>
      <c r="R201" s="1263">
        <v>163.86</v>
      </c>
      <c r="S201" s="1263">
        <v>147.82</v>
      </c>
      <c r="U201" s="1265">
        <f t="shared" si="23"/>
        <v>-10.025581720719259</v>
      </c>
      <c r="V201" s="1265">
        <f t="shared" si="24"/>
        <v>9.7196170467850038</v>
      </c>
      <c r="W201" s="1265">
        <f t="shared" si="25"/>
        <v>22.960789259591991</v>
      </c>
    </row>
    <row r="202" spans="2:23" ht="15" thickBot="1">
      <c r="B202" s="161">
        <v>197</v>
      </c>
      <c r="C202" s="1078" t="s">
        <v>729</v>
      </c>
      <c r="D202" s="529">
        <f>'Rangwe_Price VAT Inclusive'!C49</f>
        <v>170.34096525341272</v>
      </c>
      <c r="E202" s="529">
        <f>'Rangwe_Price VAT Inclusive'!E49</f>
        <v>173.29616402091699</v>
      </c>
      <c r="F202" s="529">
        <f>'Rangwe_Price VAT Inclusive'!G49</f>
        <v>170.49733623372393</v>
      </c>
      <c r="I202" s="1083">
        <v>151.4</v>
      </c>
      <c r="J202" s="1083">
        <v>132.57</v>
      </c>
      <c r="K202" s="1083">
        <v>120.54</v>
      </c>
      <c r="M202" s="1083">
        <f t="shared" si="20"/>
        <v>160.9</v>
      </c>
      <c r="N202" s="1083">
        <f t="shared" si="21"/>
        <v>142.07</v>
      </c>
      <c r="O202" s="1083">
        <f t="shared" si="22"/>
        <v>130.04000000000002</v>
      </c>
      <c r="Q202" s="1263">
        <v>180.36</v>
      </c>
      <c r="R202" s="1263">
        <v>163.57</v>
      </c>
      <c r="S202" s="1263">
        <v>147.54</v>
      </c>
      <c r="U202" s="1265">
        <f t="shared" si="23"/>
        <v>-10.019034746587295</v>
      </c>
      <c r="V202" s="1265">
        <f t="shared" si="24"/>
        <v>9.7261640209169968</v>
      </c>
      <c r="W202" s="1265">
        <f t="shared" si="25"/>
        <v>22.957336233723936</v>
      </c>
    </row>
    <row r="203" spans="2:23" ht="15" thickBot="1">
      <c r="B203" s="161">
        <v>198</v>
      </c>
      <c r="C203" s="1078" t="s">
        <v>730</v>
      </c>
      <c r="D203" s="529">
        <f>'Sindo_Price VAT Inclusive'!C49</f>
        <v>170.3529403909522</v>
      </c>
      <c r="E203" s="529">
        <f>'Sindo_Price VAT Inclusive'!E49</f>
        <v>173.30813915845644</v>
      </c>
      <c r="F203" s="529">
        <f>'Sindo_Price VAT Inclusive'!G49</f>
        <v>170.50931137126338</v>
      </c>
      <c r="I203" s="1083">
        <v>151.41</v>
      </c>
      <c r="J203" s="1083">
        <v>132.58000000000001</v>
      </c>
      <c r="K203" s="1083">
        <v>120.55</v>
      </c>
      <c r="M203" s="1083">
        <f t="shared" si="20"/>
        <v>160.91</v>
      </c>
      <c r="N203" s="1083">
        <f t="shared" si="21"/>
        <v>142.08000000000001</v>
      </c>
      <c r="O203" s="1083">
        <f t="shared" si="22"/>
        <v>130.05000000000001</v>
      </c>
      <c r="Q203" s="1263">
        <v>180.37</v>
      </c>
      <c r="R203" s="1263">
        <v>163.58000000000001</v>
      </c>
      <c r="S203" s="1263">
        <v>147.55000000000001</v>
      </c>
      <c r="U203" s="1265">
        <f t="shared" si="23"/>
        <v>-10.017059609047806</v>
      </c>
      <c r="V203" s="1265">
        <f t="shared" si="24"/>
        <v>9.728139158456429</v>
      </c>
      <c r="W203" s="1265">
        <f t="shared" si="25"/>
        <v>22.959311371263368</v>
      </c>
    </row>
    <row r="204" spans="2:23" ht="15" thickBot="1">
      <c r="B204" s="161">
        <v>199</v>
      </c>
      <c r="C204" s="1078" t="s">
        <v>731</v>
      </c>
      <c r="D204" s="529">
        <f>'Awasi_Price VAT Inclusive'!C49</f>
        <v>169.43270562565078</v>
      </c>
      <c r="E204" s="529">
        <f>'Awasi_Price VAT Inclusive'!E49</f>
        <v>172.38790439315505</v>
      </c>
      <c r="F204" s="529">
        <f>'Awasi_Price VAT Inclusive'!G49</f>
        <v>169.58907660596199</v>
      </c>
      <c r="I204" s="1083">
        <v>150.5</v>
      </c>
      <c r="J204" s="1083">
        <v>131.66</v>
      </c>
      <c r="K204" s="1083">
        <v>119.63</v>
      </c>
      <c r="M204" s="1083">
        <f t="shared" si="20"/>
        <v>160</v>
      </c>
      <c r="N204" s="1083">
        <f t="shared" si="21"/>
        <v>141.16</v>
      </c>
      <c r="O204" s="1083">
        <f t="shared" si="22"/>
        <v>129.13</v>
      </c>
      <c r="Q204" s="1263">
        <v>179.45</v>
      </c>
      <c r="R204" s="1263">
        <v>162.66</v>
      </c>
      <c r="S204" s="1263">
        <v>146.63</v>
      </c>
      <c r="U204" s="1265">
        <f t="shared" si="23"/>
        <v>-10.017294374349206</v>
      </c>
      <c r="V204" s="1265">
        <f t="shared" si="24"/>
        <v>9.7279043931550575</v>
      </c>
      <c r="W204" s="1265">
        <f t="shared" si="25"/>
        <v>22.959076605961997</v>
      </c>
    </row>
    <row r="205" spans="2:23" ht="15" thickBot="1">
      <c r="B205" s="161">
        <v>200</v>
      </c>
      <c r="C205" s="1078" t="s">
        <v>732</v>
      </c>
      <c r="D205" s="529">
        <f>'Ahero_Price VAT Inclusive'!C49</f>
        <v>169.46734177700642</v>
      </c>
      <c r="E205" s="529">
        <f>'Ahero_Price VAT Inclusive'!E49</f>
        <v>172.4225405445107</v>
      </c>
      <c r="F205" s="529">
        <f>'Ahero_Price VAT Inclusive'!G49</f>
        <v>169.63371275731762</v>
      </c>
      <c r="I205" s="1083">
        <v>150.53</v>
      </c>
      <c r="J205" s="1083">
        <v>131.69999999999999</v>
      </c>
      <c r="K205" s="1083">
        <v>119.66</v>
      </c>
      <c r="M205" s="1083">
        <f t="shared" si="20"/>
        <v>160.03</v>
      </c>
      <c r="N205" s="1083">
        <f t="shared" si="21"/>
        <v>141.19999999999999</v>
      </c>
      <c r="O205" s="1083">
        <f t="shared" si="22"/>
        <v>129.16</v>
      </c>
      <c r="Q205" s="1263">
        <v>179.5</v>
      </c>
      <c r="R205" s="1263">
        <v>162.69999999999999</v>
      </c>
      <c r="S205" s="1263">
        <v>146.66</v>
      </c>
      <c r="U205" s="1265">
        <f t="shared" si="23"/>
        <v>-10.032658222993575</v>
      </c>
      <c r="V205" s="1265">
        <f t="shared" si="24"/>
        <v>9.7225405445107072</v>
      </c>
      <c r="W205" s="1265">
        <f t="shared" si="25"/>
        <v>22.973712757317628</v>
      </c>
    </row>
    <row r="206" spans="2:23" ht="15" thickBot="1">
      <c r="B206" s="161">
        <v>201</v>
      </c>
      <c r="C206" s="1078" t="s">
        <v>733</v>
      </c>
      <c r="D206" s="529">
        <f>'Ugunja_Price VAT Inclusive'!C49</f>
        <v>169.9038105770712</v>
      </c>
      <c r="E206" s="529">
        <f>'Ugunja_Price VAT Inclusive'!E49</f>
        <v>172.84900934457548</v>
      </c>
      <c r="F206" s="529">
        <f>'Ugunja_Price VAT Inclusive'!G49</f>
        <v>170.06018155738241</v>
      </c>
      <c r="I206" s="1083">
        <v>150.96</v>
      </c>
      <c r="J206" s="1083">
        <v>132.13</v>
      </c>
      <c r="K206" s="1083">
        <v>120.1</v>
      </c>
      <c r="M206" s="1083">
        <f t="shared" si="20"/>
        <v>160.46</v>
      </c>
      <c r="N206" s="1083">
        <f t="shared" si="21"/>
        <v>141.63</v>
      </c>
      <c r="O206" s="1083">
        <f t="shared" si="22"/>
        <v>129.6</v>
      </c>
      <c r="Q206" s="1263">
        <v>179.93</v>
      </c>
      <c r="R206" s="1263">
        <v>163.13</v>
      </c>
      <c r="S206" s="1263">
        <v>147.1</v>
      </c>
      <c r="U206" s="1265">
        <f t="shared" si="23"/>
        <v>-10.026189422928809</v>
      </c>
      <c r="V206" s="1265">
        <f t="shared" si="24"/>
        <v>9.7190093445754826</v>
      </c>
      <c r="W206" s="1265">
        <f t="shared" si="25"/>
        <v>22.960181557382413</v>
      </c>
    </row>
    <row r="207" spans="2:23" ht="15" thickBot="1">
      <c r="B207" s="161">
        <v>202</v>
      </c>
      <c r="C207" s="1078" t="s">
        <v>734</v>
      </c>
      <c r="D207" s="529">
        <f>'Asembo_Price VAT Inclusive'!C49</f>
        <v>169.55048186350587</v>
      </c>
      <c r="E207" s="529">
        <f>'Asembo_Price VAT Inclusive'!E49</f>
        <v>172.50568063101014</v>
      </c>
      <c r="F207" s="529">
        <f>'Asembo_Price VAT Inclusive'!G49</f>
        <v>169.70685284381707</v>
      </c>
      <c r="I207" s="1083">
        <v>150.62</v>
      </c>
      <c r="J207" s="1083">
        <v>131.78</v>
      </c>
      <c r="K207" s="1083">
        <v>119.75</v>
      </c>
      <c r="M207" s="1083">
        <f t="shared" si="20"/>
        <v>160.12</v>
      </c>
      <c r="N207" s="1083">
        <f t="shared" si="21"/>
        <v>141.28</v>
      </c>
      <c r="O207" s="1083">
        <f t="shared" si="22"/>
        <v>129.25</v>
      </c>
      <c r="Q207" s="1263">
        <v>179.57</v>
      </c>
      <c r="R207" s="1263">
        <v>162.78</v>
      </c>
      <c r="S207" s="1263">
        <v>146.75</v>
      </c>
      <c r="U207" s="1265">
        <f t="shared" si="23"/>
        <v>-10.019518136494128</v>
      </c>
      <c r="V207" s="1265">
        <f t="shared" si="24"/>
        <v>9.7256806310101354</v>
      </c>
      <c r="W207" s="1265">
        <f t="shared" si="25"/>
        <v>22.956852843817074</v>
      </c>
    </row>
    <row r="208" spans="2:23" ht="15" thickBot="1">
      <c r="B208" s="161">
        <v>203</v>
      </c>
      <c r="C208" s="1078" t="s">
        <v>735</v>
      </c>
      <c r="D208" s="529">
        <f>'Usenge_Price VAT Inclusive'!C49</f>
        <v>170.02356195246577</v>
      </c>
      <c r="E208" s="529">
        <f>'Usenge_Price VAT Inclusive'!E49</f>
        <v>172.97876071997004</v>
      </c>
      <c r="F208" s="529">
        <f>'Usenge_Price VAT Inclusive'!G49</f>
        <v>170.18993293277697</v>
      </c>
      <c r="I208" s="1083">
        <v>151.09</v>
      </c>
      <c r="J208" s="1083">
        <v>132.26</v>
      </c>
      <c r="K208" s="1083">
        <v>120.22</v>
      </c>
      <c r="M208" s="1083">
        <f t="shared" si="20"/>
        <v>160.59</v>
      </c>
      <c r="N208" s="1083">
        <f t="shared" si="21"/>
        <v>141.76</v>
      </c>
      <c r="O208" s="1083">
        <f t="shared" si="22"/>
        <v>129.72</v>
      </c>
      <c r="Q208" s="1263">
        <v>180.06</v>
      </c>
      <c r="R208" s="1263">
        <v>163.26</v>
      </c>
      <c r="S208" s="1263">
        <v>147.22</v>
      </c>
      <c r="U208" s="1265">
        <f t="shared" si="23"/>
        <v>-10.036438047534233</v>
      </c>
      <c r="V208" s="1265">
        <f t="shared" si="24"/>
        <v>9.7187607199700494</v>
      </c>
      <c r="W208" s="1265">
        <f t="shared" si="25"/>
        <v>22.96993293277697</v>
      </c>
    </row>
    <row r="209" spans="2:23" ht="15" thickBot="1">
      <c r="B209" s="161">
        <v>204</v>
      </c>
      <c r="C209" s="1078" t="s">
        <v>736</v>
      </c>
      <c r="D209" s="529">
        <f>'Harambee_Price VAT Inclusive'!C49</f>
        <v>169.51455645088754</v>
      </c>
      <c r="E209" s="529">
        <f>'Harambee_Price VAT Inclusive'!E49</f>
        <v>172.46975521839178</v>
      </c>
      <c r="F209" s="529">
        <f>'Harambee_Price VAT Inclusive'!G49</f>
        <v>169.67092743119872</v>
      </c>
      <c r="I209" s="1083">
        <v>150.57</v>
      </c>
      <c r="J209" s="1083">
        <v>131.75</v>
      </c>
      <c r="K209" s="1083">
        <v>119.71</v>
      </c>
      <c r="M209" s="1083">
        <f t="shared" si="20"/>
        <v>160.07</v>
      </c>
      <c r="N209" s="1083">
        <f t="shared" si="21"/>
        <v>141.25</v>
      </c>
      <c r="O209" s="1083">
        <f t="shared" si="22"/>
        <v>129.20999999999998</v>
      </c>
      <c r="Q209" s="1263">
        <v>179.54</v>
      </c>
      <c r="R209" s="1263">
        <v>162.75</v>
      </c>
      <c r="S209" s="1263">
        <v>146.71</v>
      </c>
      <c r="U209" s="1265">
        <f t="shared" si="23"/>
        <v>-10.025443549112453</v>
      </c>
      <c r="V209" s="1265">
        <f t="shared" si="24"/>
        <v>9.7197552183917821</v>
      </c>
      <c r="W209" s="1265">
        <f t="shared" si="25"/>
        <v>22.960927431198712</v>
      </c>
    </row>
    <row r="210" spans="2:23" ht="15" thickBot="1">
      <c r="B210" s="161">
        <v>205</v>
      </c>
      <c r="C210" s="1078" t="s">
        <v>737</v>
      </c>
      <c r="D210" s="529">
        <f>'Muhuru Bay_ Price VAT Inclusive'!C49</f>
        <v>171.28515029379304</v>
      </c>
      <c r="E210" s="529">
        <f>'Muhuru Bay_ Price VAT Inclusive'!E49</f>
        <v>174.24034906129731</v>
      </c>
      <c r="F210" s="529">
        <f>'Muhuru Bay_ Price VAT Inclusive'!G49</f>
        <v>171.44152127410425</v>
      </c>
      <c r="I210" s="1083">
        <v>152.34</v>
      </c>
      <c r="J210" s="1083">
        <v>133.52000000000001</v>
      </c>
      <c r="K210" s="1083">
        <v>121.48</v>
      </c>
      <c r="M210" s="1083">
        <f t="shared" si="20"/>
        <v>161.84</v>
      </c>
      <c r="N210" s="1083">
        <f t="shared" si="21"/>
        <v>143.02000000000001</v>
      </c>
      <c r="O210" s="1083">
        <f t="shared" si="22"/>
        <v>130.98000000000002</v>
      </c>
      <c r="Q210" s="1263">
        <v>181.31</v>
      </c>
      <c r="R210" s="1263">
        <v>164.52</v>
      </c>
      <c r="S210" s="1263">
        <v>148.47999999999999</v>
      </c>
      <c r="U210" s="1265">
        <f t="shared" si="23"/>
        <v>-10.024849706206965</v>
      </c>
      <c r="V210" s="1265">
        <f t="shared" si="24"/>
        <v>9.7203490612972985</v>
      </c>
      <c r="W210" s="1265">
        <f t="shared" si="25"/>
        <v>22.961521274104257</v>
      </c>
    </row>
    <row r="211" spans="2:23" ht="15" thickBot="1">
      <c r="B211" s="161">
        <v>206</v>
      </c>
      <c r="C211" s="1078" t="s">
        <v>738</v>
      </c>
      <c r="D211" s="529">
        <f>'Kehancha_Price VAT Inclusive'!C49</f>
        <v>171.51070276950327</v>
      </c>
      <c r="E211" s="529">
        <f>'Kehancha_Price VAT Inclusive'!E49</f>
        <v>174.46590153700751</v>
      </c>
      <c r="F211" s="529">
        <f>'Kehancha_Price VAT Inclusive'!G49</f>
        <v>171.67707374981447</v>
      </c>
      <c r="I211" s="1083">
        <v>152.58000000000001</v>
      </c>
      <c r="J211" s="1083">
        <v>133.75</v>
      </c>
      <c r="K211" s="1083">
        <v>121.71</v>
      </c>
      <c r="M211" s="1083">
        <f t="shared" si="20"/>
        <v>162.08000000000001</v>
      </c>
      <c r="N211" s="1083">
        <f t="shared" si="21"/>
        <v>143.25</v>
      </c>
      <c r="O211" s="1083">
        <f t="shared" si="22"/>
        <v>131.20999999999998</v>
      </c>
      <c r="Q211" s="1263">
        <v>181.54</v>
      </c>
      <c r="R211" s="1263">
        <v>164.75</v>
      </c>
      <c r="S211" s="1263">
        <v>148.71</v>
      </c>
      <c r="U211" s="1265">
        <f t="shared" si="23"/>
        <v>-10.029297230496724</v>
      </c>
      <c r="V211" s="1265">
        <f t="shared" si="24"/>
        <v>9.715901537007511</v>
      </c>
      <c r="W211" s="1265">
        <f t="shared" si="25"/>
        <v>22.96707374981446</v>
      </c>
    </row>
    <row r="212" spans="2:23" ht="15" thickBot="1">
      <c r="B212" s="161">
        <v>207</v>
      </c>
      <c r="C212" s="1078" t="s">
        <v>739</v>
      </c>
      <c r="D212" s="529">
        <f>'Ntimaru_Price VAT Inclusive'!C49</f>
        <v>171.82810607045022</v>
      </c>
      <c r="E212" s="529">
        <f>'Ntimaru_Price VAT Inclusive'!E49</f>
        <v>174.78330483795449</v>
      </c>
      <c r="F212" s="529">
        <f>'Ntimaru_Price VAT Inclusive'!G49</f>
        <v>171.98447705076146</v>
      </c>
      <c r="I212" s="1083">
        <v>152.88</v>
      </c>
      <c r="J212" s="1083">
        <v>134.06</v>
      </c>
      <c r="K212" s="1083">
        <v>122.02</v>
      </c>
      <c r="M212" s="1083">
        <f t="shared" si="20"/>
        <v>162.38</v>
      </c>
      <c r="N212" s="1083">
        <f t="shared" si="21"/>
        <v>143.56</v>
      </c>
      <c r="O212" s="1083">
        <f t="shared" si="22"/>
        <v>131.51999999999998</v>
      </c>
      <c r="Q212" s="1263">
        <v>181.85</v>
      </c>
      <c r="R212" s="1263">
        <v>165.06</v>
      </c>
      <c r="S212" s="1263">
        <v>149.02000000000001</v>
      </c>
      <c r="U212" s="1265">
        <f t="shared" si="23"/>
        <v>-10.021893929549776</v>
      </c>
      <c r="V212" s="1265">
        <f t="shared" si="24"/>
        <v>9.7233048379544869</v>
      </c>
      <c r="W212" s="1265">
        <f t="shared" si="25"/>
        <v>22.964477050761445</v>
      </c>
    </row>
    <row r="213" spans="2:23" ht="15" thickBot="1">
      <c r="B213" s="161">
        <v>208</v>
      </c>
      <c r="C213" s="1078" t="s">
        <v>740</v>
      </c>
      <c r="D213" s="529">
        <f>'Rongo_Price VAT Inclusive'!C49</f>
        <v>170.60046800420184</v>
      </c>
      <c r="E213" s="529">
        <f>'Rongo_Price VAT Inclusive'!E49</f>
        <v>173.55566677170611</v>
      </c>
      <c r="F213" s="529">
        <f>'Rongo_Price VAT Inclusive'!G49</f>
        <v>170.75683898451308</v>
      </c>
      <c r="I213" s="1083">
        <v>151.66</v>
      </c>
      <c r="J213" s="1083">
        <v>132.83000000000001</v>
      </c>
      <c r="K213" s="1083">
        <v>120.8</v>
      </c>
      <c r="M213" s="1083">
        <f t="shared" si="20"/>
        <v>161.16</v>
      </c>
      <c r="N213" s="1083">
        <f t="shared" si="21"/>
        <v>142.33000000000001</v>
      </c>
      <c r="O213" s="1083">
        <f t="shared" si="22"/>
        <v>130.30000000000001</v>
      </c>
      <c r="Q213" s="1264">
        <v>180.62</v>
      </c>
      <c r="R213" s="1264">
        <v>163.83000000000001</v>
      </c>
      <c r="S213" s="1264">
        <v>147.80000000000001</v>
      </c>
      <c r="U213" s="1265">
        <f t="shared" si="23"/>
        <v>-10.019531995798161</v>
      </c>
      <c r="V213" s="1265">
        <f t="shared" si="24"/>
        <v>9.7256667717061021</v>
      </c>
      <c r="W213" s="1265">
        <f t="shared" si="25"/>
        <v>22.95683898451307</v>
      </c>
    </row>
    <row r="214" spans="2:23" ht="15" thickBot="1">
      <c r="B214" s="161">
        <v>209</v>
      </c>
      <c r="C214" s="1078" t="s">
        <v>741</v>
      </c>
      <c r="D214" s="529">
        <f>'Kaspokwony_Price VAT Inclusive'!C49</f>
        <v>170.55454259158347</v>
      </c>
      <c r="E214" s="529">
        <f>'Kaspokwony_Price VAT Inclusive'!E49</f>
        <v>173.50974135908774</v>
      </c>
      <c r="F214" s="529">
        <f>'Kaspokwony_Price VAT Inclusive'!G49</f>
        <v>170.7209135718947</v>
      </c>
      <c r="I214" s="1083">
        <v>151.62</v>
      </c>
      <c r="J214" s="1083">
        <v>132.80000000000001</v>
      </c>
      <c r="K214" s="1083">
        <v>120.75</v>
      </c>
      <c r="M214" s="1083">
        <f t="shared" si="20"/>
        <v>161.12</v>
      </c>
      <c r="N214" s="1083">
        <f t="shared" si="21"/>
        <v>142.30000000000001</v>
      </c>
      <c r="O214" s="1083">
        <f t="shared" si="22"/>
        <v>130.25</v>
      </c>
      <c r="Q214" s="1263">
        <v>180.59</v>
      </c>
      <c r="R214" s="1263">
        <v>163.80000000000001</v>
      </c>
      <c r="S214" s="1263">
        <v>147.75</v>
      </c>
      <c r="U214" s="1265">
        <f t="shared" si="23"/>
        <v>-10.035457408416534</v>
      </c>
      <c r="V214" s="1265">
        <f t="shared" si="24"/>
        <v>9.7097413590877295</v>
      </c>
      <c r="W214" s="1265">
        <f t="shared" si="25"/>
        <v>22.970913571894698</v>
      </c>
    </row>
    <row r="215" spans="2:23" ht="15" thickBot="1">
      <c r="B215" s="161">
        <v>210</v>
      </c>
      <c r="C215" s="1078" t="s">
        <v>742</v>
      </c>
      <c r="D215" s="529">
        <f>'Chwele_Price VAT Inclusive'!C49</f>
        <v>170.50664204142566</v>
      </c>
      <c r="E215" s="529">
        <f>'Chwele_Price VAT Inclusive'!E49</f>
        <v>173.46184080892991</v>
      </c>
      <c r="F215" s="529">
        <f>'Chwele_Price VAT Inclusive'!G49</f>
        <v>170.66301302173684</v>
      </c>
      <c r="I215" s="1083">
        <v>151.57</v>
      </c>
      <c r="J215" s="1083">
        <v>132.74</v>
      </c>
      <c r="K215" s="1083">
        <v>120.7</v>
      </c>
      <c r="M215" s="1083">
        <f t="shared" si="20"/>
        <v>161.07</v>
      </c>
      <c r="N215" s="1083">
        <f t="shared" si="21"/>
        <v>142.24</v>
      </c>
      <c r="O215" s="1083">
        <f t="shared" si="22"/>
        <v>130.19999999999999</v>
      </c>
      <c r="Q215" s="1263">
        <v>180.53</v>
      </c>
      <c r="R215" s="1263">
        <v>163.74</v>
      </c>
      <c r="S215" s="1263">
        <v>147.69999999999999</v>
      </c>
      <c r="U215" s="1265">
        <f t="shared" si="23"/>
        <v>-10.023357958574337</v>
      </c>
      <c r="V215" s="1265">
        <f t="shared" si="24"/>
        <v>9.7218408089298975</v>
      </c>
      <c r="W215" s="1265">
        <f t="shared" si="25"/>
        <v>22.963013021736856</v>
      </c>
    </row>
    <row r="216" spans="2:23" ht="15" thickBot="1">
      <c r="B216" s="161">
        <v>211</v>
      </c>
      <c r="C216" s="1078" t="s">
        <v>743</v>
      </c>
      <c r="D216" s="529">
        <f>'Kimilili_Price VAT Inclusive'!C49</f>
        <v>170.42479121618891</v>
      </c>
      <c r="E216" s="529">
        <f>'Kimilili_Price VAT Inclusive'!E49</f>
        <v>173.37998998369318</v>
      </c>
      <c r="F216" s="529">
        <f>'Kimilili_Price VAT Inclusive'!G49</f>
        <v>170.59116219650014</v>
      </c>
      <c r="I216" s="1083">
        <v>151.49</v>
      </c>
      <c r="J216" s="1083">
        <v>132.66999999999999</v>
      </c>
      <c r="K216" s="1083">
        <v>120.62</v>
      </c>
      <c r="M216" s="1083">
        <f t="shared" si="20"/>
        <v>160.99</v>
      </c>
      <c r="N216" s="1083">
        <f t="shared" si="21"/>
        <v>142.16999999999999</v>
      </c>
      <c r="O216" s="1083">
        <f t="shared" si="22"/>
        <v>130.12</v>
      </c>
      <c r="Q216" s="1263">
        <v>180.46</v>
      </c>
      <c r="R216" s="1263">
        <v>163.66999999999999</v>
      </c>
      <c r="S216" s="1263">
        <v>147.62</v>
      </c>
      <c r="U216" s="1265">
        <f t="shared" si="23"/>
        <v>-10.0352087838111</v>
      </c>
      <c r="V216" s="1265">
        <f t="shared" si="24"/>
        <v>9.7099899836931911</v>
      </c>
      <c r="W216" s="1265">
        <f t="shared" si="25"/>
        <v>22.971162196500131</v>
      </c>
    </row>
    <row r="217" spans="2:23" ht="15" thickBot="1">
      <c r="B217" s="161">
        <v>212</v>
      </c>
      <c r="C217" s="1078" t="s">
        <v>744</v>
      </c>
      <c r="D217" s="529">
        <f>'Nambale_Price VAT Inclusive'!C49</f>
        <v>170.34096525341272</v>
      </c>
      <c r="E217" s="529">
        <f>'Nambale_Price VAT Inclusive'!E49</f>
        <v>173.29616402091699</v>
      </c>
      <c r="F217" s="529">
        <f>'Nambale_Price VAT Inclusive'!G49</f>
        <v>170.49733623372393</v>
      </c>
      <c r="I217" s="1083">
        <v>151.4</v>
      </c>
      <c r="J217" s="1083">
        <v>132.57</v>
      </c>
      <c r="K217" s="1083">
        <v>120.54</v>
      </c>
      <c r="M217" s="1083">
        <f t="shared" si="20"/>
        <v>160.9</v>
      </c>
      <c r="N217" s="1083">
        <f t="shared" si="21"/>
        <v>142.07</v>
      </c>
      <c r="O217" s="1083">
        <f t="shared" si="22"/>
        <v>130.04000000000002</v>
      </c>
      <c r="Q217" s="1263">
        <v>180.36</v>
      </c>
      <c r="R217" s="1263">
        <v>163.57</v>
      </c>
      <c r="S217" s="1263">
        <v>147.54</v>
      </c>
      <c r="U217" s="1265">
        <f t="shared" si="23"/>
        <v>-10.019034746587295</v>
      </c>
      <c r="V217" s="1265">
        <f t="shared" si="24"/>
        <v>9.7261640209169968</v>
      </c>
      <c r="W217" s="1265">
        <f t="shared" si="25"/>
        <v>22.957336233723936</v>
      </c>
    </row>
    <row r="218" spans="2:23" ht="15" thickBot="1">
      <c r="B218" s="161">
        <v>213</v>
      </c>
      <c r="C218" s="1078" t="s">
        <v>745</v>
      </c>
      <c r="D218" s="529">
        <f>'Sio Port_Price VAT Inclusive'!C49</f>
        <v>170.3289901158733</v>
      </c>
      <c r="E218" s="529">
        <f>'Sio Port_Price VAT Inclusive'!E49</f>
        <v>173.28418888337754</v>
      </c>
      <c r="F218" s="529">
        <f>'Sio Port_Price VAT Inclusive'!G49</f>
        <v>170.48536109618448</v>
      </c>
      <c r="I218" s="1083">
        <v>151.38999999999999</v>
      </c>
      <c r="J218" s="1083">
        <v>132.56</v>
      </c>
      <c r="K218" s="1083">
        <v>120.53</v>
      </c>
      <c r="M218" s="1083">
        <f t="shared" si="20"/>
        <v>160.88999999999999</v>
      </c>
      <c r="N218" s="1083">
        <f t="shared" si="21"/>
        <v>142.06</v>
      </c>
      <c r="O218" s="1083">
        <f t="shared" si="22"/>
        <v>130.03</v>
      </c>
      <c r="Q218" s="1263">
        <v>180.35</v>
      </c>
      <c r="R218" s="1263">
        <v>163.56</v>
      </c>
      <c r="S218" s="1263">
        <v>147.53</v>
      </c>
      <c r="U218" s="1265">
        <f t="shared" si="23"/>
        <v>-10.021009884126698</v>
      </c>
      <c r="V218" s="1265">
        <f t="shared" si="24"/>
        <v>9.7241888833775363</v>
      </c>
      <c r="W218" s="1265">
        <f t="shared" si="25"/>
        <v>22.955361096184475</v>
      </c>
    </row>
    <row r="219" spans="2:23" ht="15" thickBot="1">
      <c r="B219" s="161">
        <v>214</v>
      </c>
      <c r="C219" s="1078" t="s">
        <v>746</v>
      </c>
      <c r="D219" s="529">
        <f>'Port Bunyala_Price VAT Inclusiv'!C49</f>
        <v>170.3768906660311</v>
      </c>
      <c r="E219" s="529">
        <f>'Port Bunyala_Price VAT Inclusiv'!E49</f>
        <v>173.33208943353537</v>
      </c>
      <c r="F219" s="529">
        <f>'Port Bunyala_Price VAT Inclusiv'!G49</f>
        <v>170.53326164634231</v>
      </c>
      <c r="I219" s="1083">
        <v>151.44</v>
      </c>
      <c r="J219" s="1083">
        <v>132.61000000000001</v>
      </c>
      <c r="K219" s="1083">
        <v>120.57</v>
      </c>
      <c r="M219" s="1083">
        <f t="shared" si="20"/>
        <v>160.94</v>
      </c>
      <c r="N219" s="1083">
        <f t="shared" si="21"/>
        <v>142.11000000000001</v>
      </c>
      <c r="O219" s="1083">
        <f t="shared" si="22"/>
        <v>130.07</v>
      </c>
      <c r="Q219" s="1263">
        <v>180.4</v>
      </c>
      <c r="R219" s="1263">
        <v>163.61000000000001</v>
      </c>
      <c r="S219" s="1263">
        <v>147.57</v>
      </c>
      <c r="U219" s="1265">
        <f t="shared" si="23"/>
        <v>-10.023109333968904</v>
      </c>
      <c r="V219" s="1265">
        <f t="shared" si="24"/>
        <v>9.7220894335353591</v>
      </c>
      <c r="W219" s="1265">
        <f t="shared" si="25"/>
        <v>22.963261646342318</v>
      </c>
    </row>
    <row r="220" spans="2:23" ht="15" thickBot="1">
      <c r="B220" s="161">
        <v>215</v>
      </c>
      <c r="C220" s="1078" t="s">
        <v>747</v>
      </c>
      <c r="D220" s="529">
        <f>'Funyala_Price VAT Inclusive'!C49</f>
        <v>170.19923874047873</v>
      </c>
      <c r="E220" s="529">
        <f>'Funyala_Price VAT Inclusive'!E49</f>
        <v>173.15443750798298</v>
      </c>
      <c r="F220" s="529">
        <f>'Funyala_Price VAT Inclusive'!G49</f>
        <v>170.35560972078991</v>
      </c>
      <c r="I220" s="1083">
        <v>151.26</v>
      </c>
      <c r="J220" s="1083">
        <v>132.43</v>
      </c>
      <c r="K220" s="1083">
        <v>120.4</v>
      </c>
      <c r="M220" s="1083">
        <f t="shared" si="20"/>
        <v>160.76</v>
      </c>
      <c r="N220" s="1083">
        <f t="shared" si="21"/>
        <v>141.93</v>
      </c>
      <c r="O220" s="1083">
        <f t="shared" si="22"/>
        <v>129.9</v>
      </c>
      <c r="Q220" s="1263">
        <v>180.22</v>
      </c>
      <c r="R220" s="1263">
        <v>163.43</v>
      </c>
      <c r="S220" s="1263">
        <v>147.4</v>
      </c>
      <c r="U220" s="1265">
        <f t="shared" si="23"/>
        <v>-10.020761259521265</v>
      </c>
      <c r="V220" s="1265">
        <f t="shared" si="24"/>
        <v>9.7244375079829695</v>
      </c>
      <c r="W220" s="1265">
        <f t="shared" si="25"/>
        <v>22.955609720789909</v>
      </c>
    </row>
    <row r="221" spans="2:23" ht="15" thickBot="1">
      <c r="B221" s="161">
        <v>216</v>
      </c>
      <c r="C221" s="1078" t="s">
        <v>748</v>
      </c>
      <c r="D221" s="529">
        <f>'Ogembe_Price VAT Inclusive'!C49</f>
        <v>170.50664204142566</v>
      </c>
      <c r="E221" s="529">
        <f>'Ogembe_Price VAT Inclusive'!E49</f>
        <v>173.46184080892991</v>
      </c>
      <c r="F221" s="529">
        <f>'Ogembe_Price VAT Inclusive'!G49</f>
        <v>170.66301302173684</v>
      </c>
      <c r="I221" s="1083">
        <v>151.57</v>
      </c>
      <c r="J221" s="1083">
        <v>132.74</v>
      </c>
      <c r="K221" s="1083">
        <v>120.7</v>
      </c>
      <c r="M221" s="1083">
        <f t="shared" si="20"/>
        <v>161.07</v>
      </c>
      <c r="N221" s="1083">
        <f t="shared" si="21"/>
        <v>142.24</v>
      </c>
      <c r="O221" s="1083">
        <f t="shared" si="22"/>
        <v>130.19999999999999</v>
      </c>
      <c r="Q221" s="1264">
        <v>180.53</v>
      </c>
      <c r="R221" s="1264">
        <v>163.74</v>
      </c>
      <c r="S221" s="1264">
        <v>147.69999999999999</v>
      </c>
      <c r="U221" s="1265">
        <f t="shared" si="23"/>
        <v>-10.023357958574337</v>
      </c>
      <c r="V221" s="1265">
        <f t="shared" si="24"/>
        <v>9.7218408089298975</v>
      </c>
      <c r="W221" s="1265">
        <f t="shared" si="25"/>
        <v>22.963013021736856</v>
      </c>
    </row>
    <row r="222" spans="2:23" ht="15" thickBot="1">
      <c r="B222" s="161">
        <v>217</v>
      </c>
      <c r="C222" s="1078" t="s">
        <v>749</v>
      </c>
      <c r="D222" s="529">
        <f>'Nyagusu_Price VAT Inclusive'!C49</f>
        <v>170.76614479221482</v>
      </c>
      <c r="E222" s="529">
        <f>'Nyagusu_Price VAT Inclusive'!E49</f>
        <v>173.72134355971906</v>
      </c>
      <c r="F222" s="529">
        <f>'Nyagusu_Price VAT Inclusive'!G49</f>
        <v>170.922515772526</v>
      </c>
      <c r="I222" s="1083">
        <v>151.83000000000001</v>
      </c>
      <c r="J222" s="1083">
        <v>133</v>
      </c>
      <c r="K222" s="1083">
        <v>120.96</v>
      </c>
      <c r="M222" s="1083">
        <f t="shared" si="20"/>
        <v>161.33000000000001</v>
      </c>
      <c r="N222" s="1083">
        <f t="shared" si="21"/>
        <v>142.5</v>
      </c>
      <c r="O222" s="1083">
        <f t="shared" si="22"/>
        <v>130.45999999999998</v>
      </c>
      <c r="Q222" s="1263">
        <v>180.79</v>
      </c>
      <c r="R222" s="1263">
        <v>164</v>
      </c>
      <c r="S222" s="1263">
        <v>147.96</v>
      </c>
      <c r="U222" s="1265">
        <f t="shared" si="23"/>
        <v>-10.023855207785175</v>
      </c>
      <c r="V222" s="1265">
        <f t="shared" si="24"/>
        <v>9.7213435597190596</v>
      </c>
      <c r="W222" s="1265">
        <f t="shared" si="25"/>
        <v>22.96251577252599</v>
      </c>
    </row>
    <row r="223" spans="2:23" ht="15" thickBot="1">
      <c r="B223" s="161">
        <v>218</v>
      </c>
      <c r="C223" s="1078" t="s">
        <v>750</v>
      </c>
      <c r="D223" s="529">
        <f>'Sengera_Price VAT Inclusive'!C49</f>
        <v>170.68429396697803</v>
      </c>
      <c r="E223" s="529">
        <f>'Sengera_Price VAT Inclusive'!E49</f>
        <v>173.6394927344823</v>
      </c>
      <c r="F223" s="529">
        <f>'Sengera_Price VAT Inclusive'!G49</f>
        <v>170.85066494728926</v>
      </c>
      <c r="I223" s="1083">
        <v>151.75</v>
      </c>
      <c r="J223" s="1083">
        <v>132.91999999999999</v>
      </c>
      <c r="K223" s="1083">
        <v>120.88</v>
      </c>
      <c r="M223" s="1083">
        <f t="shared" si="20"/>
        <v>161.25</v>
      </c>
      <c r="N223" s="1083">
        <f t="shared" si="21"/>
        <v>142.41999999999999</v>
      </c>
      <c r="O223" s="1083">
        <f t="shared" si="22"/>
        <v>130.38</v>
      </c>
      <c r="Q223" s="1264">
        <v>180.72</v>
      </c>
      <c r="R223" s="1264">
        <v>163.92</v>
      </c>
      <c r="S223" s="1264">
        <v>147.88</v>
      </c>
      <c r="U223" s="1265">
        <f t="shared" si="23"/>
        <v>-10.035706033021967</v>
      </c>
      <c r="V223" s="1265">
        <f t="shared" si="24"/>
        <v>9.7194927344823157</v>
      </c>
      <c r="W223" s="1265">
        <f t="shared" si="25"/>
        <v>22.970664947289265</v>
      </c>
    </row>
    <row r="224" spans="2:23" ht="15" thickBot="1">
      <c r="B224" s="161">
        <v>219</v>
      </c>
      <c r="C224" s="1078" t="s">
        <v>751</v>
      </c>
      <c r="D224" s="529">
        <f>'Keimbu_Price VAT Inclusive'!C49</f>
        <v>170.41281607864948</v>
      </c>
      <c r="E224" s="529">
        <f>'Keimbu_Price VAT Inclusive'!E49</f>
        <v>173.36801484615373</v>
      </c>
      <c r="F224" s="529">
        <f>'Keimbu_Price VAT Inclusive'!G49</f>
        <v>170.57918705896066</v>
      </c>
      <c r="I224" s="1083">
        <v>151.47999999999999</v>
      </c>
      <c r="J224" s="1083">
        <v>132.63999999999999</v>
      </c>
      <c r="K224" s="1083">
        <v>120.61</v>
      </c>
      <c r="M224" s="1083">
        <f t="shared" si="20"/>
        <v>160.97999999999999</v>
      </c>
      <c r="N224" s="1083">
        <f t="shared" si="21"/>
        <v>142.13999999999999</v>
      </c>
      <c r="O224" s="1083">
        <f t="shared" si="22"/>
        <v>130.11000000000001</v>
      </c>
      <c r="Q224" s="1263">
        <v>180.44</v>
      </c>
      <c r="R224" s="1263">
        <v>163.63999999999999</v>
      </c>
      <c r="S224" s="1263">
        <v>147.61000000000001</v>
      </c>
      <c r="U224" s="1265">
        <f t="shared" si="23"/>
        <v>-10.027183921350513</v>
      </c>
      <c r="V224" s="1265">
        <f t="shared" si="24"/>
        <v>9.7280148461537408</v>
      </c>
      <c r="W224" s="1265">
        <f t="shared" si="25"/>
        <v>22.969187058960642</v>
      </c>
    </row>
    <row r="225" spans="2:23" ht="15" thickBot="1">
      <c r="B225" s="161">
        <v>220</v>
      </c>
      <c r="C225" s="1078" t="s">
        <v>752</v>
      </c>
      <c r="D225" s="529">
        <f>'Marani_Price NAT Inclusive'!C49</f>
        <v>170.11738791524195</v>
      </c>
      <c r="E225" s="529">
        <f>'Marani_Price NAT Inclusive'!E49</f>
        <v>173.07258668274622</v>
      </c>
      <c r="F225" s="529">
        <f>'Marani_Price NAT Inclusive'!G49</f>
        <v>170.27375889555316</v>
      </c>
      <c r="I225" s="1083">
        <v>151.18</v>
      </c>
      <c r="J225" s="1083">
        <v>132.35</v>
      </c>
      <c r="K225" s="1083">
        <v>120.31</v>
      </c>
      <c r="M225" s="1083">
        <f t="shared" si="20"/>
        <v>160.68</v>
      </c>
      <c r="N225" s="1083">
        <f t="shared" si="21"/>
        <v>141.85</v>
      </c>
      <c r="O225" s="1083">
        <f t="shared" si="22"/>
        <v>129.81</v>
      </c>
      <c r="Q225" s="1263">
        <v>180.14</v>
      </c>
      <c r="R225" s="1263">
        <v>163.35</v>
      </c>
      <c r="S225" s="1263">
        <v>147.31</v>
      </c>
      <c r="U225" s="1265">
        <f t="shared" si="23"/>
        <v>-10.022612084758038</v>
      </c>
      <c r="V225" s="1265">
        <f t="shared" si="24"/>
        <v>9.7225866827462255</v>
      </c>
      <c r="W225" s="1265">
        <f t="shared" si="25"/>
        <v>22.963758895553156</v>
      </c>
    </row>
    <row r="226" spans="2:23" ht="15" thickBot="1">
      <c r="B226" s="161">
        <v>221</v>
      </c>
      <c r="C226" s="1078" t="s">
        <v>753</v>
      </c>
      <c r="D226" s="529">
        <f>'Kerina_Price VAT Inclusive'!C49</f>
        <v>170.48269176634676</v>
      </c>
      <c r="E226" s="529">
        <f>'Kerina_Price VAT Inclusive'!E49</f>
        <v>173.437890533851</v>
      </c>
      <c r="F226" s="529">
        <f>'Kerina_Price VAT Inclusive'!G49</f>
        <v>170.63906274665794</v>
      </c>
      <c r="I226" s="1083">
        <v>151.54</v>
      </c>
      <c r="J226" s="1083">
        <v>132.71</v>
      </c>
      <c r="K226" s="1083">
        <v>120.68</v>
      </c>
      <c r="M226" s="1083">
        <f t="shared" si="20"/>
        <v>161.04</v>
      </c>
      <c r="N226" s="1083">
        <f t="shared" si="21"/>
        <v>142.21</v>
      </c>
      <c r="O226" s="1083">
        <f t="shared" si="22"/>
        <v>130.18</v>
      </c>
      <c r="Q226" s="1263">
        <v>180.5</v>
      </c>
      <c r="R226" s="1263">
        <v>163.71</v>
      </c>
      <c r="S226" s="1263">
        <v>147.68</v>
      </c>
      <c r="U226" s="1265">
        <f t="shared" si="23"/>
        <v>-10.017308233653239</v>
      </c>
      <c r="V226" s="1265">
        <f t="shared" si="24"/>
        <v>9.7278905338509958</v>
      </c>
      <c r="W226" s="1265">
        <f t="shared" si="25"/>
        <v>22.959062746657935</v>
      </c>
    </row>
    <row r="227" spans="2:23" ht="15" thickBot="1">
      <c r="B227" s="161">
        <v>222</v>
      </c>
      <c r="C227" s="1078" t="s">
        <v>754</v>
      </c>
      <c r="D227" s="529">
        <f>'Ikonge_Price VAT Inclusive'!C49</f>
        <v>169.83393488937392</v>
      </c>
      <c r="E227" s="529">
        <f>'Ikonge_Price VAT Inclusive'!E49</f>
        <v>172.78913365687819</v>
      </c>
      <c r="F227" s="529">
        <f>'Ikonge_Price VAT Inclusive'!G49</f>
        <v>169.99030586968513</v>
      </c>
      <c r="I227" s="1083">
        <v>150.9</v>
      </c>
      <c r="J227" s="1083">
        <v>132.07</v>
      </c>
      <c r="K227" s="1083">
        <v>120.03</v>
      </c>
      <c r="M227" s="1083">
        <f t="shared" si="20"/>
        <v>160.4</v>
      </c>
      <c r="N227" s="1083">
        <f t="shared" si="21"/>
        <v>141.57</v>
      </c>
      <c r="O227" s="1083">
        <f t="shared" si="22"/>
        <v>129.53</v>
      </c>
      <c r="Q227" s="1263">
        <v>179.86</v>
      </c>
      <c r="R227" s="1263">
        <v>163.07</v>
      </c>
      <c r="S227" s="1263">
        <v>147.03</v>
      </c>
      <c r="U227" s="1265">
        <f t="shared" si="23"/>
        <v>-10.026065110626092</v>
      </c>
      <c r="V227" s="1265">
        <f t="shared" si="24"/>
        <v>9.7191336568781992</v>
      </c>
      <c r="W227" s="1265">
        <f t="shared" si="25"/>
        <v>22.960305869685129</v>
      </c>
    </row>
    <row r="228" spans="2:23" ht="15" thickBot="1">
      <c r="B228" s="161">
        <v>223</v>
      </c>
      <c r="C228" s="1078" t="s">
        <v>755</v>
      </c>
      <c r="D228" s="529">
        <f>'Nyansiongo_Price VAT Inclusive'!C49</f>
        <v>170.23516415309712</v>
      </c>
      <c r="E228" s="529">
        <f>'Nyansiongo_Price VAT Inclusive'!E49</f>
        <v>173.19036292060136</v>
      </c>
      <c r="F228" s="529">
        <f>'Nyansiongo_Price VAT Inclusive'!G49</f>
        <v>170.3915351334083</v>
      </c>
      <c r="I228" s="1083">
        <v>151.30000000000001</v>
      </c>
      <c r="J228" s="1083">
        <v>132.47</v>
      </c>
      <c r="K228" s="1083">
        <v>120.43</v>
      </c>
      <c r="M228" s="1083">
        <f t="shared" si="20"/>
        <v>160.80000000000001</v>
      </c>
      <c r="N228" s="1083">
        <f t="shared" si="21"/>
        <v>141.97</v>
      </c>
      <c r="O228" s="1083">
        <f t="shared" si="22"/>
        <v>129.93</v>
      </c>
      <c r="Q228" s="1263">
        <v>180.26</v>
      </c>
      <c r="R228" s="1263">
        <v>163.47</v>
      </c>
      <c r="S228" s="1263">
        <v>147.43</v>
      </c>
      <c r="U228" s="1265">
        <f t="shared" si="23"/>
        <v>-10.024835846902874</v>
      </c>
      <c r="V228" s="1265">
        <f t="shared" si="24"/>
        <v>9.7203629206013602</v>
      </c>
      <c r="W228" s="1265">
        <f t="shared" si="25"/>
        <v>22.96153513340829</v>
      </c>
    </row>
  </sheetData>
  <mergeCells count="1">
    <mergeCell ref="D3:F3"/>
  </mergeCells>
  <pageMargins left="0.70866141732283472" right="0.70866141732283472" top="0.74803149606299213" bottom="0.74803149606299213" header="0.31496062992125984" footer="0.31496062992125984"/>
  <pageSetup scale="1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435201" r:id="rId4">
          <objectPr defaultSize="0" autoPict="0" r:id="rId5">
            <anchor moveWithCells="1" siz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127000</xdr:colOff>
                <xdr:row>0</xdr:row>
                <xdr:rowOff>0</xdr:rowOff>
              </to>
            </anchor>
          </objectPr>
        </oleObject>
      </mc:Choice>
      <mc:Fallback>
        <oleObject progId="Equation.3" shapeId="435201" r:id="rId4"/>
      </mc:Fallback>
    </mc:AlternateContent>
    <mc:AlternateContent xmlns:mc="http://schemas.openxmlformats.org/markup-compatibility/2006">
      <mc:Choice Requires="x14">
        <oleObject progId="Equation.3" shapeId="435202" r:id="rId6">
          <objectPr defaultSize="0" autoPict="0" r:id="rId7">
            <anchor moveWithCells="1" siz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190500</xdr:colOff>
                <xdr:row>0</xdr:row>
                <xdr:rowOff>0</xdr:rowOff>
              </to>
            </anchor>
          </objectPr>
        </oleObject>
      </mc:Choice>
      <mc:Fallback>
        <oleObject progId="Equation.3" shapeId="435202" r:id="rId6"/>
      </mc:Fallback>
    </mc:AlternateContent>
    <mc:AlternateContent xmlns:mc="http://schemas.openxmlformats.org/markup-compatibility/2006">
      <mc:Choice Requires="x14">
        <oleObject progId="Equation.3" shapeId="435203" r:id="rId8">
          <objectPr defaultSize="0" autoPict="0" r:id="rId9">
            <anchor moveWithCells="1" sizeWithCells="1">
              <from>
                <xdr:col>3</xdr:col>
                <xdr:colOff>152400</xdr:colOff>
                <xdr:row>0</xdr:row>
                <xdr:rowOff>0</xdr:rowOff>
              </from>
              <to>
                <xdr:col>3</xdr:col>
                <xdr:colOff>381000</xdr:colOff>
                <xdr:row>0</xdr:row>
                <xdr:rowOff>0</xdr:rowOff>
              </to>
            </anchor>
          </objectPr>
        </oleObject>
      </mc:Choice>
      <mc:Fallback>
        <oleObject progId="Equation.3" shapeId="435203" r:id="rId8"/>
      </mc:Fallback>
    </mc:AlternateContent>
  </oleObjects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1-000000000000}">
  <sheetPr codeName="Sheet462">
    <tabColor rgb="FF0070C0"/>
  </sheetPr>
  <dimension ref="B3:F17"/>
  <sheetViews>
    <sheetView topLeftCell="B1" zoomScale="120" zoomScaleNormal="120" workbookViewId="0">
      <selection activeCell="C12" sqref="C12"/>
    </sheetView>
  </sheetViews>
  <sheetFormatPr defaultColWidth="9.1796875" defaultRowHeight="14.5"/>
  <cols>
    <col min="1" max="2" width="9.1796875" style="159"/>
    <col min="3" max="3" width="34.453125" style="159" customWidth="1"/>
    <col min="4" max="4" width="28" style="159" customWidth="1"/>
    <col min="5" max="5" width="19.81640625" style="159" customWidth="1"/>
    <col min="6" max="6" width="36.26953125" style="159" customWidth="1"/>
    <col min="7" max="16384" width="9.1796875" style="159"/>
  </cols>
  <sheetData>
    <row r="3" spans="2:6">
      <c r="B3" s="552"/>
      <c r="C3" s="553" t="str">
        <f>Mombasa!C4</f>
        <v>March 15 - April 14, 2023</v>
      </c>
      <c r="D3" s="1242" t="s">
        <v>532</v>
      </c>
      <c r="E3" s="1242"/>
      <c r="F3" s="1242"/>
    </row>
    <row r="4" spans="2:6" ht="29">
      <c r="B4" s="552"/>
      <c r="C4" s="530"/>
      <c r="D4" s="556" t="s">
        <v>15</v>
      </c>
      <c r="E4" s="556" t="s">
        <v>16</v>
      </c>
      <c r="F4" s="556" t="s">
        <v>160</v>
      </c>
    </row>
    <row r="5" spans="2:6">
      <c r="B5" s="552"/>
      <c r="C5" s="559" t="s">
        <v>36</v>
      </c>
      <c r="D5" s="560" t="s">
        <v>163</v>
      </c>
      <c r="E5" s="560" t="s">
        <v>163</v>
      </c>
      <c r="F5" s="560" t="s">
        <v>163</v>
      </c>
    </row>
    <row r="6" spans="2:6" s="163" customFormat="1">
      <c r="B6" s="161">
        <v>1</v>
      </c>
      <c r="C6" s="528" t="s">
        <v>31</v>
      </c>
      <c r="D6" s="529">
        <f>'MOMBASA_PRICE VAT Inclusive'!C33</f>
        <v>157.35476139974949</v>
      </c>
      <c r="E6" s="529">
        <f>'MOMBASA_PRICE VAT Inclusive'!E33</f>
        <v>160.00515254759296</v>
      </c>
      <c r="F6" s="529">
        <f>'MOMBASA_PRICE VAT Inclusive'!G33</f>
        <v>157.19983679661823</v>
      </c>
    </row>
    <row r="7" spans="2:6">
      <c r="B7" s="552">
        <f>1+B6</f>
        <v>2</v>
      </c>
      <c r="C7" s="530" t="s">
        <v>32</v>
      </c>
      <c r="D7" s="524">
        <f>'Nairobi_Price VAT Inclusive'!C33</f>
        <v>160.14711008879789</v>
      </c>
      <c r="E7" s="524">
        <f>'Nairobi_Price VAT Inclusive'!E33</f>
        <v>162.80878564016311</v>
      </c>
      <c r="F7" s="524">
        <f>'Nairobi_Price VAT Inclusive'!G33</f>
        <v>160.00227473796545</v>
      </c>
    </row>
    <row r="8" spans="2:6">
      <c r="B8" s="552">
        <f>1+B7</f>
        <v>3</v>
      </c>
      <c r="C8" s="530" t="s">
        <v>38</v>
      </c>
      <c r="D8" s="524">
        <f>'Nakuru-Price VAT Inclusive'!C33</f>
        <v>159.3413098489936</v>
      </c>
      <c r="E8" s="524">
        <f>'Nakuru-Price VAT Inclusive'!E33</f>
        <v>162.29650861649787</v>
      </c>
      <c r="F8" s="524">
        <f>'Nakuru-Price VAT Inclusive'!G33</f>
        <v>159.5076808293048</v>
      </c>
    </row>
    <row r="9" spans="2:6">
      <c r="B9" s="552">
        <f>1+B8</f>
        <v>4</v>
      </c>
      <c r="C9" s="530" t="s">
        <v>39</v>
      </c>
      <c r="D9" s="524">
        <f>'Eldoret_Price VAT Inclusive'!C33</f>
        <v>160.05342984899357</v>
      </c>
      <c r="E9" s="524">
        <f>'Eldoret_Price VAT Inclusive'!E33</f>
        <v>162.99862861649785</v>
      </c>
      <c r="F9" s="524">
        <f>'Eldoret_Price VAT Inclusive'!G33</f>
        <v>160.20980082930481</v>
      </c>
    </row>
    <row r="10" spans="2:6">
      <c r="B10" s="552">
        <f>1+B9</f>
        <v>5</v>
      </c>
      <c r="C10" s="530" t="s">
        <v>40</v>
      </c>
      <c r="D10" s="524">
        <f>'Kisumu_Price VAT Inclusive'!C33</f>
        <v>160.0497498489936</v>
      </c>
      <c r="E10" s="524">
        <f>'Kisumu_Price VAT Inclusive'!E33</f>
        <v>162.99494861649785</v>
      </c>
      <c r="F10" s="524">
        <f>'Kisumu_Price VAT Inclusive'!G33</f>
        <v>160.20612082930481</v>
      </c>
    </row>
    <row r="11" spans="2:6">
      <c r="C11" s="218"/>
    </row>
    <row r="13" spans="2:6">
      <c r="D13" s="1062"/>
      <c r="E13" s="1062"/>
      <c r="F13" s="1062"/>
    </row>
    <row r="14" spans="2:6">
      <c r="D14" s="1062"/>
      <c r="E14" s="1062"/>
      <c r="F14" s="1062"/>
    </row>
    <row r="15" spans="2:6">
      <c r="D15" s="1062"/>
      <c r="E15" s="1062"/>
      <c r="F15" s="1062"/>
    </row>
    <row r="16" spans="2:6">
      <c r="D16" s="1062"/>
      <c r="E16" s="1062"/>
      <c r="F16" s="1062"/>
    </row>
    <row r="17" spans="4:6">
      <c r="D17" s="1062"/>
      <c r="E17" s="1062"/>
      <c r="F17" s="1062"/>
    </row>
  </sheetData>
  <mergeCells count="1">
    <mergeCell ref="D3:F3"/>
  </mergeCells>
  <pageMargins left="0.7" right="0.7" top="0.75" bottom="0.75" header="0.3" footer="0.3"/>
  <pageSetup orientation="portrait" r:id="rId1"/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1-000000000000}">
  <sheetPr codeName="Sheet463"/>
  <dimension ref="A1:AB229"/>
  <sheetViews>
    <sheetView topLeftCell="B209" zoomScale="80" zoomScaleNormal="80" workbookViewId="0">
      <selection activeCell="B230" sqref="B230"/>
    </sheetView>
  </sheetViews>
  <sheetFormatPr defaultColWidth="9.1796875" defaultRowHeight="14.5"/>
  <cols>
    <col min="1" max="1" width="13.453125" style="159" hidden="1" customWidth="1"/>
    <col min="2" max="2" width="4.7265625" style="187" customWidth="1"/>
    <col min="3" max="3" width="27.453125" style="551" bestFit="1" customWidth="1"/>
    <col min="4" max="4" width="15.453125" style="163" customWidth="1"/>
    <col min="5" max="9" width="18.453125" style="159" customWidth="1"/>
    <col min="10" max="10" width="17.54296875" style="159" bestFit="1" customWidth="1"/>
    <col min="11" max="12" width="17.54296875" style="159" customWidth="1"/>
    <col min="13" max="13" width="8.81640625" style="159" hidden="1" customWidth="1"/>
    <col min="14" max="14" width="6.81640625" style="163" hidden="1" customWidth="1"/>
    <col min="15" max="16" width="6.1796875" style="159" hidden="1" customWidth="1"/>
    <col min="17" max="17" width="5.26953125" style="159" hidden="1" customWidth="1"/>
    <col min="18" max="20" width="6.1796875" style="159" hidden="1" customWidth="1"/>
    <col min="21" max="21" width="5.26953125" style="159" hidden="1" customWidth="1"/>
    <col min="22" max="24" width="6.1796875" style="159" hidden="1" customWidth="1"/>
    <col min="25" max="25" width="5.26953125" style="159" hidden="1" customWidth="1"/>
    <col min="26" max="26" width="6.1796875" style="159" hidden="1" customWidth="1"/>
    <col min="27" max="27" width="0" style="159" hidden="1" customWidth="1"/>
    <col min="28" max="28" width="15.453125" style="320" bestFit="1" customWidth="1"/>
    <col min="29" max="16384" width="9.1796875" style="159"/>
  </cols>
  <sheetData>
    <row r="1" spans="1:28">
      <c r="C1" s="187"/>
      <c r="D1" s="550"/>
      <c r="E1" s="187"/>
      <c r="F1" s="187"/>
      <c r="G1" s="187"/>
      <c r="H1" s="187"/>
      <c r="I1" s="187"/>
      <c r="J1" s="187"/>
      <c r="K1" s="187"/>
      <c r="L1" s="187"/>
      <c r="M1" s="187"/>
      <c r="N1" s="550"/>
      <c r="O1" s="159" t="s">
        <v>63</v>
      </c>
    </row>
    <row r="2" spans="1:28" ht="8.25" customHeight="1"/>
    <row r="3" spans="1:28" ht="15.75" customHeight="1">
      <c r="B3" s="552"/>
      <c r="C3" s="553" t="str">
        <f>Mombasa!C4</f>
        <v>March 15 - April 14, 2023</v>
      </c>
      <c r="D3" s="1242" t="s">
        <v>37</v>
      </c>
      <c r="E3" s="1242"/>
      <c r="F3" s="1242"/>
      <c r="G3" s="1242"/>
      <c r="H3" s="1242"/>
      <c r="I3" s="1242"/>
      <c r="J3" s="1242"/>
      <c r="K3" s="1242"/>
      <c r="L3" s="1242"/>
      <c r="M3" s="923"/>
      <c r="N3" s="555"/>
    </row>
    <row r="4" spans="1:28" ht="15.75" customHeight="1" thickBot="1">
      <c r="B4" s="552"/>
      <c r="C4" s="553"/>
      <c r="D4" s="1246" t="s">
        <v>15</v>
      </c>
      <c r="E4" s="1246"/>
      <c r="F4" s="1246"/>
      <c r="G4" s="1247" t="s">
        <v>16</v>
      </c>
      <c r="H4" s="1247"/>
      <c r="I4" s="1247"/>
      <c r="J4" s="1248" t="s">
        <v>160</v>
      </c>
      <c r="K4" s="1248"/>
      <c r="L4" s="1248"/>
      <c r="M4" s="923"/>
      <c r="N4" s="555"/>
    </row>
    <row r="5" spans="1:28" ht="15" thickBot="1">
      <c r="B5" s="552"/>
      <c r="C5" s="530"/>
      <c r="D5" s="1079" t="s">
        <v>477</v>
      </c>
      <c r="E5" s="917" t="s">
        <v>478</v>
      </c>
      <c r="F5" s="917" t="s">
        <v>476</v>
      </c>
      <c r="G5" s="918" t="s">
        <v>477</v>
      </c>
      <c r="H5" s="918" t="s">
        <v>478</v>
      </c>
      <c r="I5" s="918" t="s">
        <v>476</v>
      </c>
      <c r="J5" s="919" t="s">
        <v>477</v>
      </c>
      <c r="K5" s="919" t="s">
        <v>478</v>
      </c>
      <c r="L5" s="919" t="s">
        <v>476</v>
      </c>
      <c r="M5" s="924"/>
      <c r="N5" s="558"/>
      <c r="O5" s="1236" t="s">
        <v>154</v>
      </c>
      <c r="P5" s="1237"/>
      <c r="Q5" s="1237"/>
      <c r="R5" s="1238"/>
      <c r="S5" s="1236" t="s">
        <v>158</v>
      </c>
      <c r="T5" s="1237"/>
      <c r="U5" s="1237"/>
      <c r="V5" s="1237"/>
      <c r="W5" s="1239" t="s">
        <v>157</v>
      </c>
      <c r="X5" s="1240"/>
      <c r="Y5" s="1240"/>
      <c r="Z5" s="1241"/>
    </row>
    <row r="6" spans="1:28">
      <c r="B6" s="552"/>
      <c r="C6" s="559" t="s">
        <v>36</v>
      </c>
      <c r="D6" s="1080" t="s">
        <v>163</v>
      </c>
      <c r="E6" s="920" t="s">
        <v>163</v>
      </c>
      <c r="F6" s="920" t="s">
        <v>163</v>
      </c>
      <c r="G6" s="921" t="s">
        <v>163</v>
      </c>
      <c r="H6" s="921" t="s">
        <v>163</v>
      </c>
      <c r="I6" s="921" t="s">
        <v>163</v>
      </c>
      <c r="J6" s="922" t="s">
        <v>163</v>
      </c>
      <c r="K6" s="922" t="s">
        <v>163</v>
      </c>
      <c r="L6" s="922" t="s">
        <v>163</v>
      </c>
      <c r="M6" s="925"/>
      <c r="N6" s="562"/>
      <c r="O6" s="563" t="s">
        <v>0</v>
      </c>
      <c r="P6" s="564" t="s">
        <v>1</v>
      </c>
      <c r="Q6" s="564" t="s">
        <v>155</v>
      </c>
      <c r="R6" s="565" t="s">
        <v>2</v>
      </c>
      <c r="S6" s="563" t="s">
        <v>0</v>
      </c>
      <c r="T6" s="564" t="s">
        <v>1</v>
      </c>
      <c r="U6" s="564" t="s">
        <v>155</v>
      </c>
      <c r="V6" s="566" t="s">
        <v>2</v>
      </c>
      <c r="W6" s="563" t="s">
        <v>0</v>
      </c>
      <c r="X6" s="564" t="s">
        <v>1</v>
      </c>
      <c r="Y6" s="564" t="s">
        <v>155</v>
      </c>
      <c r="Z6" s="565" t="s">
        <v>2</v>
      </c>
      <c r="AB6" s="159"/>
    </row>
    <row r="7" spans="1:28" s="392" customFormat="1">
      <c r="A7" s="392" t="str">
        <f>'PUMP PRICES RETAIL VAT Incl'!C6</f>
        <v>Mombasa</v>
      </c>
      <c r="B7" s="567">
        <v>1</v>
      </c>
      <c r="C7" s="568" t="str">
        <f>'PUMP PRICES RETAIL VAT Incl'!C6</f>
        <v>Mombasa</v>
      </c>
      <c r="D7" s="569">
        <f>'PUMP PRICES RETAIL VAT Incl'!D6</f>
        <v>166.77235332776232</v>
      </c>
      <c r="E7" s="569">
        <v>0</v>
      </c>
      <c r="F7" s="569">
        <f>(D7-E7)/1.08</f>
        <v>154.41884567385398</v>
      </c>
      <c r="G7" s="569">
        <f>'PUMP PRICES RETAIL VAT Incl'!E6</f>
        <v>169.4327444756058</v>
      </c>
      <c r="H7" s="569">
        <v>0</v>
      </c>
      <c r="I7" s="569">
        <f>(G7-H7)/1.08</f>
        <v>156.88217081074609</v>
      </c>
      <c r="J7" s="569">
        <f>'PUMP PRICES RETAIL VAT Incl'!F6</f>
        <v>166.62742872463107</v>
      </c>
      <c r="K7" s="569">
        <v>0</v>
      </c>
      <c r="L7" s="569">
        <f>(J7-K7)/1.08</f>
        <v>154.28465622651024</v>
      </c>
      <c r="M7" s="926"/>
      <c r="N7" s="571" t="str">
        <f>IF(C7=A7, "YES","NO")</f>
        <v>YES</v>
      </c>
      <c r="O7" s="927">
        <v>104.79</v>
      </c>
      <c r="P7" s="312">
        <v>101.12</v>
      </c>
      <c r="Q7" s="312">
        <v>87.81</v>
      </c>
      <c r="R7" s="625">
        <v>103.94</v>
      </c>
      <c r="S7" s="927"/>
      <c r="T7" s="928"/>
      <c r="U7" s="928"/>
      <c r="V7" s="929"/>
      <c r="W7" s="927">
        <v>104.79</v>
      </c>
      <c r="X7" s="928">
        <v>101.12</v>
      </c>
      <c r="Y7" s="928">
        <v>87.81</v>
      </c>
      <c r="Z7" s="930">
        <v>103.94</v>
      </c>
    </row>
    <row r="8" spans="1:28" ht="15" thickBot="1">
      <c r="A8" s="392" t="str">
        <f>'PUMP PRICES RETAIL VAT Incl'!C7</f>
        <v>Kilifi</v>
      </c>
      <c r="B8" s="552">
        <f>1+B7</f>
        <v>2</v>
      </c>
      <c r="C8" s="528" t="str">
        <f>'PUMP PRICES RETAIL VAT Incl'!C7</f>
        <v>Kilifi</v>
      </c>
      <c r="D8" s="529">
        <f>'PUMP PRICES RETAIL VAT Incl'!D7</f>
        <v>167.49227515369515</v>
      </c>
      <c r="E8" s="529">
        <v>0</v>
      </c>
      <c r="F8" s="529">
        <f t="shared" ref="F8:F71" si="0">(D8-E8)/1.08</f>
        <v>155.08543995712512</v>
      </c>
      <c r="G8" s="529">
        <f>'PUMP PRICES RETAIL VAT Incl'!E7</f>
        <v>170.14266630153861</v>
      </c>
      <c r="H8" s="529">
        <v>0</v>
      </c>
      <c r="I8" s="529">
        <f t="shared" ref="I8:I71" si="1">(G8-H8)/1.08</f>
        <v>157.53950583475796</v>
      </c>
      <c r="J8" s="529">
        <f>'PUMP PRICES RETAIL VAT Incl'!F7</f>
        <v>167.3473505505639</v>
      </c>
      <c r="K8" s="529">
        <v>0</v>
      </c>
      <c r="L8" s="529">
        <f t="shared" ref="L8:L71" si="2">(J8-K8)/1.08</f>
        <v>154.95125050978137</v>
      </c>
      <c r="M8" s="909"/>
      <c r="N8" s="571" t="str">
        <f>IF(C8=A8, "YES","NO")</f>
        <v>YES</v>
      </c>
      <c r="O8" s="579">
        <f>D7-O7</f>
        <v>61.982353327762311</v>
      </c>
      <c r="P8" s="580">
        <f>G7-P7</f>
        <v>68.312744475605797</v>
      </c>
      <c r="Q8" s="580">
        <f>J7-Q7</f>
        <v>78.817428724631071</v>
      </c>
      <c r="R8" s="581" t="e">
        <f>#REF!-R7</f>
        <v>#REF!</v>
      </c>
      <c r="S8" s="579">
        <f>O7-S7</f>
        <v>104.79</v>
      </c>
      <c r="T8" s="580">
        <f>P7-T7</f>
        <v>101.12</v>
      </c>
      <c r="U8" s="580">
        <f>Q7-U7</f>
        <v>87.81</v>
      </c>
      <c r="V8" s="582">
        <f>R7-V7</f>
        <v>103.94</v>
      </c>
      <c r="W8" s="579">
        <f>W7-D7</f>
        <v>-61.982353327762311</v>
      </c>
      <c r="X8" s="580">
        <f>X7-G7</f>
        <v>-68.312744475605797</v>
      </c>
      <c r="Y8" s="580">
        <f>Y7-J7</f>
        <v>-78.817428724631071</v>
      </c>
      <c r="Z8" s="581" t="e">
        <f>Z7-#REF!</f>
        <v>#REF!</v>
      </c>
      <c r="AB8" s="159"/>
    </row>
    <row r="9" spans="1:28">
      <c r="A9" s="392" t="str">
        <f>'PUMP PRICES RETAIL VAT Incl'!C8</f>
        <v>Likoni Mainland</v>
      </c>
      <c r="B9" s="552">
        <f t="shared" ref="B9:B25" si="3">1+B8</f>
        <v>3</v>
      </c>
      <c r="C9" s="528" t="str">
        <f>'PUMP PRICES RETAIL VAT Incl'!C8</f>
        <v>Likoni Mainland</v>
      </c>
      <c r="D9" s="529">
        <f>'PUMP PRICES RETAIL VAT Incl'!D8</f>
        <v>167.1323533277623</v>
      </c>
      <c r="E9" s="529">
        <v>0</v>
      </c>
      <c r="F9" s="529">
        <f t="shared" si="0"/>
        <v>154.75217900718729</v>
      </c>
      <c r="G9" s="529">
        <f>'PUMP PRICES RETAIL VAT Incl'!E8</f>
        <v>169.79274447560579</v>
      </c>
      <c r="H9" s="529">
        <v>0</v>
      </c>
      <c r="I9" s="529">
        <f t="shared" si="1"/>
        <v>157.21550414407943</v>
      </c>
      <c r="J9" s="529">
        <f>'PUMP PRICES RETAIL VAT Incl'!F8</f>
        <v>166.98742872463106</v>
      </c>
      <c r="K9" s="529">
        <v>0</v>
      </c>
      <c r="L9" s="529">
        <f t="shared" si="2"/>
        <v>154.61798955984355</v>
      </c>
      <c r="M9" s="909"/>
      <c r="N9" s="571" t="str">
        <f t="shared" ref="N9:N72" si="4">IF(C9=A9, "YES","NO")</f>
        <v>YES</v>
      </c>
      <c r="O9" s="584"/>
      <c r="AB9" s="159"/>
    </row>
    <row r="10" spans="1:28">
      <c r="A10" s="392" t="str">
        <f>'PUMP PRICES RETAIL VAT Incl'!C9</f>
        <v>Kwale</v>
      </c>
      <c r="B10" s="552">
        <f t="shared" si="3"/>
        <v>4</v>
      </c>
      <c r="C10" s="528" t="str">
        <f>'PUMP PRICES RETAIL VAT Incl'!C9</f>
        <v>Kwale</v>
      </c>
      <c r="D10" s="529">
        <f>'PUMP PRICES RETAIL VAT Incl'!D9</f>
        <v>167.1323533277623</v>
      </c>
      <c r="E10" s="529">
        <v>0</v>
      </c>
      <c r="F10" s="529">
        <f t="shared" si="0"/>
        <v>154.75217900718729</v>
      </c>
      <c r="G10" s="529">
        <f>'PUMP PRICES RETAIL VAT Incl'!E9</f>
        <v>169.79274447560579</v>
      </c>
      <c r="H10" s="529">
        <v>0</v>
      </c>
      <c r="I10" s="529">
        <f t="shared" si="1"/>
        <v>157.21550414407943</v>
      </c>
      <c r="J10" s="529">
        <f>'PUMP PRICES RETAIL VAT Incl'!F9</f>
        <v>166.98742872463106</v>
      </c>
      <c r="K10" s="529">
        <v>0</v>
      </c>
      <c r="L10" s="529">
        <f t="shared" si="2"/>
        <v>154.61798955984355</v>
      </c>
      <c r="M10" s="909"/>
      <c r="N10" s="571" t="str">
        <f t="shared" si="4"/>
        <v>YES</v>
      </c>
      <c r="O10" s="584"/>
      <c r="AB10" s="159"/>
    </row>
    <row r="11" spans="1:28">
      <c r="A11" s="392" t="str">
        <f>'PUMP PRICES RETAIL VAT Incl'!C10</f>
        <v>Malindi</v>
      </c>
      <c r="B11" s="552">
        <f t="shared" si="3"/>
        <v>5</v>
      </c>
      <c r="C11" s="528" t="str">
        <f>'PUMP PRICES RETAIL VAT Incl'!C10</f>
        <v>Malindi</v>
      </c>
      <c r="D11" s="529">
        <f>'PUMP PRICES RETAIL VAT Incl'!D10</f>
        <v>167.69387735432645</v>
      </c>
      <c r="E11" s="529">
        <v>0</v>
      </c>
      <c r="F11" s="529">
        <f t="shared" si="0"/>
        <v>155.27210866141337</v>
      </c>
      <c r="G11" s="529">
        <f>'PUMP PRICES RETAIL VAT Incl'!E10</f>
        <v>170.35426850216993</v>
      </c>
      <c r="H11" s="529">
        <v>0</v>
      </c>
      <c r="I11" s="529">
        <f t="shared" si="1"/>
        <v>157.73543379830548</v>
      </c>
      <c r="J11" s="529">
        <f>'PUMP PRICES RETAIL VAT Incl'!F10</f>
        <v>167.54895275119517</v>
      </c>
      <c r="K11" s="529">
        <v>0</v>
      </c>
      <c r="L11" s="529">
        <f t="shared" si="2"/>
        <v>155.1379192140696</v>
      </c>
      <c r="M11" s="909"/>
      <c r="N11" s="571" t="str">
        <f t="shared" si="4"/>
        <v>YES</v>
      </c>
      <c r="O11" s="584"/>
      <c r="AB11" s="159"/>
    </row>
    <row r="12" spans="1:28">
      <c r="A12" s="392" t="str">
        <f>'PUMP PRICES RETAIL VAT Incl'!C11</f>
        <v>Lungalunga</v>
      </c>
      <c r="B12" s="552">
        <f t="shared" si="3"/>
        <v>6</v>
      </c>
      <c r="C12" s="528" t="str">
        <f>'PUMP PRICES RETAIL VAT Incl'!C11</f>
        <v>Lungalunga</v>
      </c>
      <c r="D12" s="529">
        <f>'PUMP PRICES RETAIL VAT Incl'!D11</f>
        <v>167.84227515369514</v>
      </c>
      <c r="E12" s="529">
        <v>0</v>
      </c>
      <c r="F12" s="529">
        <f t="shared" si="0"/>
        <v>155.40951403119919</v>
      </c>
      <c r="G12" s="529">
        <f>'PUMP PRICES RETAIL VAT Incl'!E11</f>
        <v>170.5026663015386</v>
      </c>
      <c r="H12" s="529">
        <v>0</v>
      </c>
      <c r="I12" s="529">
        <f t="shared" si="1"/>
        <v>157.87283916809128</v>
      </c>
      <c r="J12" s="529">
        <f>'PUMP PRICES RETAIL VAT Incl'!F11</f>
        <v>167.69735055056387</v>
      </c>
      <c r="K12" s="529">
        <v>0</v>
      </c>
      <c r="L12" s="529">
        <f t="shared" si="2"/>
        <v>155.27532458385542</v>
      </c>
      <c r="M12" s="909"/>
      <c r="N12" s="571" t="str">
        <f t="shared" si="4"/>
        <v>YES</v>
      </c>
      <c r="O12" s="584"/>
      <c r="AB12" s="159"/>
    </row>
    <row r="13" spans="1:28">
      <c r="A13" s="392" t="str">
        <f>'PUMP PRICES RETAIL VAT Incl'!C12</f>
        <v>Voi</v>
      </c>
      <c r="B13" s="552">
        <f t="shared" si="3"/>
        <v>7</v>
      </c>
      <c r="C13" s="528" t="str">
        <f>'PUMP PRICES RETAIL VAT Incl'!C12</f>
        <v>Voi</v>
      </c>
      <c r="D13" s="529">
        <f>'PUMP PRICES RETAIL VAT Incl'!D12</f>
        <v>168.24880826852308</v>
      </c>
      <c r="E13" s="529">
        <v>0</v>
      </c>
      <c r="F13" s="529">
        <f t="shared" si="0"/>
        <v>155.78593358196579</v>
      </c>
      <c r="G13" s="529">
        <f>'PUMP PRICES RETAIL VAT Incl'!E12</f>
        <v>170.90919941636653</v>
      </c>
      <c r="H13" s="529">
        <v>0</v>
      </c>
      <c r="I13" s="529">
        <f t="shared" si="1"/>
        <v>158.2492587188579</v>
      </c>
      <c r="J13" s="529">
        <f>'PUMP PRICES RETAIL VAT Incl'!F12</f>
        <v>168.10388366539178</v>
      </c>
      <c r="K13" s="529">
        <v>0</v>
      </c>
      <c r="L13" s="529">
        <f t="shared" si="2"/>
        <v>155.65174413462199</v>
      </c>
      <c r="M13" s="909"/>
      <c r="N13" s="571" t="str">
        <f t="shared" si="4"/>
        <v>YES</v>
      </c>
      <c r="O13" s="584"/>
      <c r="AB13" s="159"/>
    </row>
    <row r="14" spans="1:28">
      <c r="A14" s="392" t="str">
        <f>'PUMP PRICES RETAIL VAT Incl'!C13</f>
        <v>Taveta</v>
      </c>
      <c r="B14" s="552">
        <f t="shared" si="3"/>
        <v>8</v>
      </c>
      <c r="C14" s="528" t="str">
        <f>'PUMP PRICES RETAIL VAT Incl'!C13</f>
        <v>Taveta</v>
      </c>
      <c r="D14" s="529">
        <f>'PUMP PRICES RETAIL VAT Incl'!D13</f>
        <v>169.66409826032384</v>
      </c>
      <c r="E14" s="529">
        <v>0</v>
      </c>
      <c r="F14" s="529">
        <f t="shared" si="0"/>
        <v>157.09638727807763</v>
      </c>
      <c r="G14" s="529">
        <f>'PUMP PRICES RETAIL VAT Incl'!E13</f>
        <v>172.3144894081673</v>
      </c>
      <c r="H14" s="529">
        <v>0</v>
      </c>
      <c r="I14" s="529">
        <f t="shared" si="1"/>
        <v>159.55045315571044</v>
      </c>
      <c r="J14" s="529">
        <f>'PUMP PRICES RETAIL VAT Incl'!F13</f>
        <v>169.5191736571926</v>
      </c>
      <c r="K14" s="529">
        <v>0</v>
      </c>
      <c r="L14" s="529">
        <f t="shared" si="2"/>
        <v>156.96219783073388</v>
      </c>
      <c r="M14" s="909"/>
      <c r="N14" s="571" t="str">
        <f t="shared" si="4"/>
        <v>YES</v>
      </c>
      <c r="O14" s="584"/>
      <c r="X14" s="159" t="s">
        <v>63</v>
      </c>
      <c r="AB14" s="159"/>
    </row>
    <row r="15" spans="1:28">
      <c r="A15" s="392" t="str">
        <f>'PUMP PRICES RETAIL VAT Incl'!C14</f>
        <v>Lamu</v>
      </c>
      <c r="B15" s="552">
        <f t="shared" si="3"/>
        <v>9</v>
      </c>
      <c r="C15" s="528" t="str">
        <f>'PUMP PRICES RETAIL VAT Incl'!C14</f>
        <v>Lamu</v>
      </c>
      <c r="D15" s="529">
        <f>'PUMP PRICES RETAIL VAT Incl'!D14</f>
        <v>170.07730266158646</v>
      </c>
      <c r="E15" s="529">
        <v>0</v>
      </c>
      <c r="F15" s="529">
        <f t="shared" si="0"/>
        <v>157.47898394591337</v>
      </c>
      <c r="G15" s="529">
        <f>'PUMP PRICES RETAIL VAT Incl'!E14</f>
        <v>172.73769380942994</v>
      </c>
      <c r="H15" s="529">
        <v>0</v>
      </c>
      <c r="I15" s="529">
        <f t="shared" si="1"/>
        <v>159.94230908280548</v>
      </c>
      <c r="J15" s="529">
        <f>'PUMP PRICES RETAIL VAT Incl'!F14</f>
        <v>169.93237805845521</v>
      </c>
      <c r="K15" s="529">
        <v>0</v>
      </c>
      <c r="L15" s="529">
        <f t="shared" si="2"/>
        <v>157.34479449856963</v>
      </c>
      <c r="M15" s="909"/>
      <c r="N15" s="571" t="str">
        <f t="shared" si="4"/>
        <v>YES</v>
      </c>
      <c r="O15" s="584"/>
      <c r="AB15" s="159"/>
    </row>
    <row r="16" spans="1:28">
      <c r="A16" s="392" t="str">
        <f>'PUMP PRICES RETAIL VAT Incl'!C15</f>
        <v>Hola</v>
      </c>
      <c r="B16" s="552">
        <f t="shared" si="3"/>
        <v>10</v>
      </c>
      <c r="C16" s="528" t="str">
        <f>'PUMP PRICES RETAIL VAT Incl'!C15</f>
        <v>Hola</v>
      </c>
      <c r="D16" s="529">
        <f>'PUMP PRICES RETAIL VAT Incl'!D15</f>
        <v>170.36075568745451</v>
      </c>
      <c r="E16" s="529">
        <v>0</v>
      </c>
      <c r="F16" s="529">
        <f t="shared" si="0"/>
        <v>157.74144045134676</v>
      </c>
      <c r="G16" s="529">
        <f>'PUMP PRICES RETAIL VAT Incl'!E15</f>
        <v>173.02114683529797</v>
      </c>
      <c r="H16" s="529">
        <v>0</v>
      </c>
      <c r="I16" s="529">
        <f t="shared" si="1"/>
        <v>160.20476558823884</v>
      </c>
      <c r="J16" s="529">
        <f>'PUMP PRICES RETAIL VAT Incl'!F15</f>
        <v>170.21583108432327</v>
      </c>
      <c r="K16" s="529">
        <v>0</v>
      </c>
      <c r="L16" s="529">
        <f t="shared" si="2"/>
        <v>157.60725100400302</v>
      </c>
      <c r="M16" s="909"/>
      <c r="N16" s="571" t="str">
        <f t="shared" si="4"/>
        <v>YES</v>
      </c>
      <c r="O16" s="584"/>
      <c r="AB16" s="159"/>
    </row>
    <row r="17" spans="1:28" s="392" customFormat="1">
      <c r="A17" s="392" t="str">
        <f>'PUMP PRICES RETAIL VAT Incl'!C25</f>
        <v>Nairobi</v>
      </c>
      <c r="B17" s="552">
        <f t="shared" si="3"/>
        <v>11</v>
      </c>
      <c r="C17" s="528" t="str">
        <f>'PUMP PRICES RETAIL VAT Incl'!C16</f>
        <v>Mpeketoni</v>
      </c>
      <c r="D17" s="529">
        <f>'PUMP PRICES RETAIL VAT Incl'!D16</f>
        <v>170.07730266158646</v>
      </c>
      <c r="E17" s="529">
        <v>0</v>
      </c>
      <c r="F17" s="529">
        <f t="shared" si="0"/>
        <v>157.47898394591337</v>
      </c>
      <c r="G17" s="529">
        <f>'PUMP PRICES RETAIL VAT Incl'!E16</f>
        <v>172.73769380942994</v>
      </c>
      <c r="H17" s="529">
        <v>0</v>
      </c>
      <c r="I17" s="529">
        <f t="shared" si="1"/>
        <v>159.94230908280548</v>
      </c>
      <c r="J17" s="529">
        <f>'PUMP PRICES RETAIL VAT Incl'!F16</f>
        <v>169.93237805845521</v>
      </c>
      <c r="K17" s="529">
        <v>0</v>
      </c>
      <c r="L17" s="529">
        <f t="shared" si="2"/>
        <v>157.34479449856963</v>
      </c>
      <c r="M17" s="926"/>
      <c r="N17" s="571" t="str">
        <f t="shared" si="4"/>
        <v>NO</v>
      </c>
      <c r="O17" s="931"/>
      <c r="AB17" s="1033"/>
    </row>
    <row r="18" spans="1:28">
      <c r="A18" s="392" t="str">
        <f>'PUMP PRICES RETAIL VAT Incl'!C26</f>
        <v>Thika</v>
      </c>
      <c r="B18" s="552">
        <f t="shared" si="3"/>
        <v>12</v>
      </c>
      <c r="C18" s="528" t="str">
        <f>'PUMP PRICES RETAIL VAT Incl'!C17</f>
        <v>Minjila</v>
      </c>
      <c r="D18" s="529">
        <f>'PUMP PRICES RETAIL VAT Incl'!D17</f>
        <v>169.03929165842993</v>
      </c>
      <c r="E18" s="529">
        <v>0</v>
      </c>
      <c r="F18" s="529">
        <f t="shared" si="0"/>
        <v>156.51786264669437</v>
      </c>
      <c r="G18" s="529">
        <f>'PUMP PRICES RETAIL VAT Incl'!E17</f>
        <v>171.69968280627339</v>
      </c>
      <c r="H18" s="529">
        <v>0</v>
      </c>
      <c r="I18" s="529">
        <f t="shared" si="1"/>
        <v>158.98118778358645</v>
      </c>
      <c r="J18" s="529">
        <f>'PUMP PRICES RETAIL VAT Incl'!F17</f>
        <v>168.89436705529863</v>
      </c>
      <c r="K18" s="529">
        <v>0</v>
      </c>
      <c r="L18" s="529">
        <f t="shared" si="2"/>
        <v>156.38367319935057</v>
      </c>
      <c r="M18" s="909"/>
      <c r="N18" s="571" t="str">
        <f t="shared" si="4"/>
        <v>NO</v>
      </c>
      <c r="O18" s="584"/>
      <c r="Q18" s="159" t="s">
        <v>63</v>
      </c>
      <c r="AB18" s="159"/>
    </row>
    <row r="19" spans="1:28">
      <c r="A19" s="392" t="str">
        <f>'PUMP PRICES RETAIL VAT Incl'!C27</f>
        <v>Machakos</v>
      </c>
      <c r="B19" s="552">
        <f t="shared" si="3"/>
        <v>13</v>
      </c>
      <c r="C19" s="528" t="str">
        <f>'PUMP PRICES RETAIL VAT Incl'!C18</f>
        <v>Garsen</v>
      </c>
      <c r="D19" s="529">
        <f>'PUMP PRICES RETAIL VAT Incl'!D18</f>
        <v>169.13311762120614</v>
      </c>
      <c r="E19" s="529">
        <v>0</v>
      </c>
      <c r="F19" s="529">
        <f t="shared" si="0"/>
        <v>156.60473853815381</v>
      </c>
      <c r="G19" s="529">
        <f>'PUMP PRICES RETAIL VAT Incl'!E18</f>
        <v>171.79350876904959</v>
      </c>
      <c r="H19" s="529">
        <v>0</v>
      </c>
      <c r="I19" s="529">
        <f t="shared" si="1"/>
        <v>159.06806367504592</v>
      </c>
      <c r="J19" s="529">
        <f>'PUMP PRICES RETAIL VAT Incl'!F18</f>
        <v>168.9881930180749</v>
      </c>
      <c r="K19" s="529">
        <v>0</v>
      </c>
      <c r="L19" s="529">
        <f t="shared" si="2"/>
        <v>156.47054909081007</v>
      </c>
      <c r="M19" s="909"/>
      <c r="N19" s="571" t="str">
        <f t="shared" si="4"/>
        <v>NO</v>
      </c>
      <c r="O19" s="584"/>
      <c r="AB19" s="159"/>
    </row>
    <row r="20" spans="1:28">
      <c r="A20" s="392" t="str">
        <f>'PUMP PRICES RETAIL VAT Incl'!C28</f>
        <v>Kajiado</v>
      </c>
      <c r="B20" s="552">
        <f t="shared" si="3"/>
        <v>14</v>
      </c>
      <c r="C20" s="528" t="str">
        <f>'PUMP PRICES RETAIL VAT Incl'!C19</f>
        <v>Samburu</v>
      </c>
      <c r="D20" s="529">
        <f>'PUMP PRICES RETAIL VAT Incl'!D19</f>
        <v>167.07907075243253</v>
      </c>
      <c r="E20" s="529">
        <v>0</v>
      </c>
      <c r="F20" s="529">
        <f t="shared" si="0"/>
        <v>154.70284328928938</v>
      </c>
      <c r="G20" s="529">
        <f>'PUMP PRICES RETAIL VAT Incl'!E19</f>
        <v>169.72946190027599</v>
      </c>
      <c r="H20" s="529">
        <v>0</v>
      </c>
      <c r="I20" s="529">
        <f t="shared" si="1"/>
        <v>157.15690916692222</v>
      </c>
      <c r="J20" s="529">
        <f>'PUMP PRICES RETAIL VAT Incl'!F19</f>
        <v>166.93414614930128</v>
      </c>
      <c r="K20" s="529">
        <v>0</v>
      </c>
      <c r="L20" s="529">
        <f t="shared" si="2"/>
        <v>154.56865384194563</v>
      </c>
      <c r="M20" s="909"/>
      <c r="N20" s="571" t="str">
        <f t="shared" si="4"/>
        <v>NO</v>
      </c>
      <c r="O20" s="584"/>
      <c r="AB20" s="159"/>
    </row>
    <row r="21" spans="1:28">
      <c r="A21" s="392" t="str">
        <f>'PUMP PRICES RETAIL VAT Incl'!C29</f>
        <v>Makuyu</v>
      </c>
      <c r="B21" s="552">
        <f t="shared" si="3"/>
        <v>15</v>
      </c>
      <c r="C21" s="528" t="str">
        <f>'PUMP PRICES RETAIL VAT Incl'!C20</f>
        <v>Taru</v>
      </c>
      <c r="D21" s="529">
        <f>'PUMP PRICES RETAIL VAT Incl'!D20</f>
        <v>167.25672267798495</v>
      </c>
      <c r="E21" s="529">
        <v>0</v>
      </c>
      <c r="F21" s="529">
        <f t="shared" si="0"/>
        <v>154.86733581294902</v>
      </c>
      <c r="G21" s="529">
        <f>'PUMP PRICES RETAIL VAT Incl'!E20</f>
        <v>169.91711382582841</v>
      </c>
      <c r="H21" s="529">
        <v>0</v>
      </c>
      <c r="I21" s="529">
        <f t="shared" si="1"/>
        <v>157.3306609498411</v>
      </c>
      <c r="J21" s="529">
        <f>'PUMP PRICES RETAIL VAT Incl'!F20</f>
        <v>167.11179807485365</v>
      </c>
      <c r="K21" s="529">
        <v>0</v>
      </c>
      <c r="L21" s="529">
        <f t="shared" si="2"/>
        <v>154.73314636560522</v>
      </c>
      <c r="M21" s="909"/>
      <c r="N21" s="571" t="str">
        <f t="shared" si="4"/>
        <v>NO</v>
      </c>
      <c r="O21" s="584"/>
      <c r="AB21" s="159"/>
    </row>
    <row r="22" spans="1:28">
      <c r="A22" s="392" t="str">
        <f>'PUMP PRICES RETAIL VAT Incl'!C30</f>
        <v>Muranga</v>
      </c>
      <c r="B22" s="552">
        <f t="shared" si="3"/>
        <v>16</v>
      </c>
      <c r="C22" s="528" t="str">
        <f>'PUMP PRICES RETAIL VAT Incl'!C21</f>
        <v>Mwatate</v>
      </c>
      <c r="D22" s="529">
        <f>'PUMP PRICES RETAIL VAT Incl'!D21</f>
        <v>168.59016184454896</v>
      </c>
      <c r="E22" s="529">
        <v>0</v>
      </c>
      <c r="F22" s="529">
        <f t="shared" si="0"/>
        <v>156.10200170791569</v>
      </c>
      <c r="G22" s="529">
        <f>'PUMP PRICES RETAIL VAT Incl'!E21</f>
        <v>171.24055299239242</v>
      </c>
      <c r="H22" s="529">
        <v>0</v>
      </c>
      <c r="I22" s="529">
        <f t="shared" si="1"/>
        <v>158.55606758554853</v>
      </c>
      <c r="J22" s="529">
        <f>'PUMP PRICES RETAIL VAT Incl'!F21</f>
        <v>168.44523724141769</v>
      </c>
      <c r="K22" s="529">
        <v>0</v>
      </c>
      <c r="L22" s="529">
        <f t="shared" si="2"/>
        <v>155.96781226057192</v>
      </c>
      <c r="M22" s="909"/>
      <c r="N22" s="571" t="str">
        <f t="shared" si="4"/>
        <v>NO</v>
      </c>
      <c r="O22" s="584"/>
      <c r="AB22" s="159"/>
    </row>
    <row r="23" spans="1:28">
      <c r="A23" s="392" t="str">
        <f>'PUMP PRICES RETAIL VAT Incl'!C31</f>
        <v>Sagana</v>
      </c>
      <c r="B23" s="552">
        <f t="shared" si="3"/>
        <v>17</v>
      </c>
      <c r="C23" s="528" t="str">
        <f>'PUMP PRICES RETAIL VAT Incl'!C22</f>
        <v>Wundanji</v>
      </c>
      <c r="D23" s="529">
        <f>'PUMP PRICES RETAIL VAT Incl'!D22</f>
        <v>168.75583863256188</v>
      </c>
      <c r="E23" s="529">
        <v>0</v>
      </c>
      <c r="F23" s="529">
        <f t="shared" si="0"/>
        <v>156.25540614126098</v>
      </c>
      <c r="G23" s="529">
        <f>'PUMP PRICES RETAIL VAT Incl'!E22</f>
        <v>171.41622978040533</v>
      </c>
      <c r="H23" s="529">
        <v>0</v>
      </c>
      <c r="I23" s="529">
        <f t="shared" si="1"/>
        <v>158.71873127815309</v>
      </c>
      <c r="J23" s="529">
        <f>'PUMP PRICES RETAIL VAT Incl'!F22</f>
        <v>168.6109140294306</v>
      </c>
      <c r="K23" s="529">
        <v>0</v>
      </c>
      <c r="L23" s="529">
        <f t="shared" si="2"/>
        <v>156.12121669391721</v>
      </c>
      <c r="M23" s="909"/>
      <c r="N23" s="571" t="str">
        <f t="shared" si="4"/>
        <v>NO</v>
      </c>
      <c r="O23" s="584"/>
      <c r="AB23" s="159"/>
    </row>
    <row r="24" spans="1:28">
      <c r="A24" s="392" t="str">
        <f>'PUMP PRICES RETAIL VAT Incl'!C32</f>
        <v>Embu</v>
      </c>
      <c r="B24" s="552">
        <f t="shared" si="3"/>
        <v>18</v>
      </c>
      <c r="C24" s="528" t="str">
        <f>'PUMP PRICES RETAIL VAT Incl'!C23</f>
        <v>Kaloleni</v>
      </c>
      <c r="D24" s="529">
        <f>'PUMP PRICES RETAIL VAT Incl'!D23</f>
        <v>166.93734423949851</v>
      </c>
      <c r="E24" s="529">
        <v>0</v>
      </c>
      <c r="F24" s="529">
        <f t="shared" si="0"/>
        <v>154.57161503657269</v>
      </c>
      <c r="G24" s="529">
        <f>'PUMP PRICES RETAIL VAT Incl'!E23</f>
        <v>169.58773538734198</v>
      </c>
      <c r="H24" s="529">
        <v>0</v>
      </c>
      <c r="I24" s="529">
        <f t="shared" si="1"/>
        <v>157.02568091420554</v>
      </c>
      <c r="J24" s="529">
        <f>'PUMP PRICES RETAIL VAT Incl'!F23</f>
        <v>166.78241963636722</v>
      </c>
      <c r="K24" s="529">
        <v>0</v>
      </c>
      <c r="L24" s="529">
        <f t="shared" si="2"/>
        <v>154.42816632996963</v>
      </c>
      <c r="M24" s="909"/>
      <c r="N24" s="571" t="str">
        <f t="shared" si="4"/>
        <v>NO</v>
      </c>
      <c r="O24" s="584"/>
      <c r="AB24" s="159"/>
    </row>
    <row r="25" spans="1:28">
      <c r="A25" s="392" t="str">
        <f>'PUMP PRICES RETAIL VAT Incl'!C33</f>
        <v>Kerugoya</v>
      </c>
      <c r="B25" s="552">
        <f t="shared" si="3"/>
        <v>19</v>
      </c>
      <c r="C25" s="528" t="str">
        <f>'PUMP PRICES RETAIL VAT Incl'!C24</f>
        <v>Marereni</v>
      </c>
      <c r="D25" s="529">
        <f>'PUMP PRICES RETAIL VAT Incl'!D24</f>
        <v>168.35460936883874</v>
      </c>
      <c r="E25" s="529">
        <v>0</v>
      </c>
      <c r="F25" s="529">
        <f t="shared" si="0"/>
        <v>155.88389756373957</v>
      </c>
      <c r="G25" s="529">
        <f>'PUMP PRICES RETAIL VAT Incl'!E24</f>
        <v>171.01500051668219</v>
      </c>
      <c r="H25" s="529">
        <v>0</v>
      </c>
      <c r="I25" s="529">
        <f t="shared" si="1"/>
        <v>158.34722270063165</v>
      </c>
      <c r="J25" s="529">
        <f>'PUMP PRICES RETAIL VAT Incl'!F24</f>
        <v>168.20968476570746</v>
      </c>
      <c r="K25" s="529">
        <v>0</v>
      </c>
      <c r="L25" s="529">
        <f t="shared" si="2"/>
        <v>155.74970811639579</v>
      </c>
      <c r="M25" s="909"/>
      <c r="N25" s="571" t="str">
        <f t="shared" si="4"/>
        <v>NO</v>
      </c>
      <c r="O25" s="584"/>
      <c r="AB25" s="159"/>
    </row>
    <row r="26" spans="1:28">
      <c r="A26" s="392" t="str">
        <f>'PUMP PRICES RETAIL VAT Incl'!C34</f>
        <v>Narok</v>
      </c>
      <c r="B26" s="567">
        <f t="shared" ref="B26:B72" si="5">1+B25</f>
        <v>20</v>
      </c>
      <c r="C26" s="568" t="str">
        <f>'PUMP PRICES RETAIL VAT Incl'!C25</f>
        <v>Nairobi</v>
      </c>
      <c r="D26" s="569">
        <f>'PUMP PRICES RETAIL VAT Incl'!D25</f>
        <v>169.5747020168107</v>
      </c>
      <c r="E26" s="569">
        <v>0</v>
      </c>
      <c r="F26" s="569">
        <f t="shared" si="0"/>
        <v>157.01361297852841</v>
      </c>
      <c r="G26" s="569">
        <f>'PUMP PRICES RETAIL VAT Incl'!E25</f>
        <v>172.23637756817593</v>
      </c>
      <c r="H26" s="569">
        <v>0</v>
      </c>
      <c r="I26" s="569">
        <f t="shared" si="1"/>
        <v>159.47812737794067</v>
      </c>
      <c r="J26" s="569">
        <f>'PUMP PRICES RETAIL VAT Incl'!F25</f>
        <v>169.4298666659783</v>
      </c>
      <c r="K26" s="569">
        <v>0</v>
      </c>
      <c r="L26" s="569">
        <f t="shared" si="2"/>
        <v>156.87950617220213</v>
      </c>
      <c r="M26" s="909"/>
      <c r="N26" s="571" t="str">
        <f t="shared" si="4"/>
        <v>NO</v>
      </c>
      <c r="O26" s="584"/>
      <c r="AB26" s="159"/>
    </row>
    <row r="27" spans="1:28">
      <c r="A27" s="392" t="str">
        <f>'PUMP PRICES RETAIL VAT Incl'!C35</f>
        <v>Nyeri</v>
      </c>
      <c r="B27" s="552">
        <f t="shared" si="5"/>
        <v>21</v>
      </c>
      <c r="C27" s="528" t="str">
        <f>'PUMP PRICES RETAIL VAT Incl'!C26</f>
        <v>Thika</v>
      </c>
      <c r="D27" s="529">
        <f>'PUMP PRICES RETAIL VAT Incl'!D26</f>
        <v>169.57599127807345</v>
      </c>
      <c r="E27" s="529">
        <v>0</v>
      </c>
      <c r="F27" s="529">
        <f t="shared" si="0"/>
        <v>157.01480673895688</v>
      </c>
      <c r="G27" s="529">
        <f>'PUMP PRICES RETAIL VAT Incl'!E26</f>
        <v>172.23766682943864</v>
      </c>
      <c r="H27" s="529">
        <v>0</v>
      </c>
      <c r="I27" s="529">
        <f t="shared" si="1"/>
        <v>159.4793211383691</v>
      </c>
      <c r="J27" s="529">
        <f>'PUMP PRICES RETAIL VAT Incl'!F26</f>
        <v>169.43115592724101</v>
      </c>
      <c r="K27" s="529">
        <v>0</v>
      </c>
      <c r="L27" s="529">
        <f t="shared" si="2"/>
        <v>156.88069993263056</v>
      </c>
      <c r="M27" s="909"/>
      <c r="N27" s="571" t="str">
        <f t="shared" si="4"/>
        <v>NO</v>
      </c>
      <c r="O27" s="584"/>
      <c r="AB27" s="159"/>
    </row>
    <row r="28" spans="1:28">
      <c r="A28" s="392" t="str">
        <f>'PUMP PRICES RETAIL VAT Incl'!C36</f>
        <v>Namanga</v>
      </c>
      <c r="B28" s="552">
        <f t="shared" si="5"/>
        <v>22</v>
      </c>
      <c r="C28" s="528" t="str">
        <f>'PUMP PRICES RETAIL VAT Incl'!C27</f>
        <v>Machakos</v>
      </c>
      <c r="D28" s="529">
        <f>'PUMP PRICES RETAIL VAT Incl'!D27</f>
        <v>169.81154375378364</v>
      </c>
      <c r="E28" s="529">
        <v>0</v>
      </c>
      <c r="F28" s="529">
        <f t="shared" si="0"/>
        <v>157.232910883133</v>
      </c>
      <c r="G28" s="529">
        <f>'PUMP PRICES RETAIL VAT Incl'!E27</f>
        <v>172.47321930514886</v>
      </c>
      <c r="H28" s="529">
        <v>0</v>
      </c>
      <c r="I28" s="529">
        <f t="shared" si="1"/>
        <v>159.69742528254523</v>
      </c>
      <c r="J28" s="529">
        <f>'PUMP PRICES RETAIL VAT Incl'!F27</f>
        <v>169.6667084029512</v>
      </c>
      <c r="K28" s="529">
        <v>0</v>
      </c>
      <c r="L28" s="529">
        <f t="shared" si="2"/>
        <v>157.09880407680666</v>
      </c>
      <c r="M28" s="909"/>
      <c r="N28" s="571" t="str">
        <f t="shared" si="4"/>
        <v>NO</v>
      </c>
      <c r="Q28" s="159" t="s">
        <v>63</v>
      </c>
      <c r="AB28" s="159"/>
    </row>
    <row r="29" spans="1:28">
      <c r="A29" s="392" t="str">
        <f>'PUMP PRICES RETAIL VAT Incl'!C37</f>
        <v>Kiganjo</v>
      </c>
      <c r="B29" s="552">
        <f t="shared" si="5"/>
        <v>23</v>
      </c>
      <c r="C29" s="528" t="str">
        <f>'PUMP PRICES RETAIL VAT Incl'!C28</f>
        <v>Kajiado</v>
      </c>
      <c r="D29" s="529">
        <f>'PUMP PRICES RETAIL VAT Incl'!D28</f>
        <v>169.98919567933606</v>
      </c>
      <c r="E29" s="529">
        <v>0</v>
      </c>
      <c r="F29" s="529">
        <f t="shared" si="0"/>
        <v>157.39740340679265</v>
      </c>
      <c r="G29" s="529">
        <f>'PUMP PRICES RETAIL VAT Incl'!E28</f>
        <v>172.65087123070126</v>
      </c>
      <c r="H29" s="529">
        <v>0</v>
      </c>
      <c r="I29" s="529">
        <f t="shared" si="1"/>
        <v>159.86191780620484</v>
      </c>
      <c r="J29" s="529">
        <f>'PUMP PRICES RETAIL VAT Incl'!F28</f>
        <v>169.84436032850363</v>
      </c>
      <c r="K29" s="529">
        <v>0</v>
      </c>
      <c r="L29" s="529">
        <f t="shared" si="2"/>
        <v>157.2632966004663</v>
      </c>
      <c r="M29" s="909"/>
      <c r="N29" s="571" t="str">
        <f t="shared" si="4"/>
        <v>NO</v>
      </c>
      <c r="AB29" s="159"/>
    </row>
    <row r="30" spans="1:28">
      <c r="A30" s="392" t="str">
        <f>'PUMP PRICES RETAIL VAT Incl'!C38</f>
        <v>Chuka</v>
      </c>
      <c r="B30" s="552">
        <f t="shared" si="5"/>
        <v>24</v>
      </c>
      <c r="C30" s="528" t="str">
        <f>'PUMP PRICES RETAIL VAT Incl'!C29</f>
        <v>Makuyu</v>
      </c>
      <c r="D30" s="529">
        <f>'PUMP PRICES RETAIL VAT Incl'!D29</f>
        <v>169.8594443039415</v>
      </c>
      <c r="E30" s="529">
        <v>0</v>
      </c>
      <c r="F30" s="529">
        <f t="shared" si="0"/>
        <v>157.27726324439027</v>
      </c>
      <c r="G30" s="529">
        <f>'PUMP PRICES RETAIL VAT Incl'!E29</f>
        <v>172.52111985530669</v>
      </c>
      <c r="H30" s="529">
        <v>0</v>
      </c>
      <c r="I30" s="529">
        <f t="shared" si="1"/>
        <v>159.74177764380249</v>
      </c>
      <c r="J30" s="529">
        <f>'PUMP PRICES RETAIL VAT Incl'!F29</f>
        <v>169.71460895310904</v>
      </c>
      <c r="K30" s="529">
        <v>0</v>
      </c>
      <c r="L30" s="529">
        <f t="shared" si="2"/>
        <v>157.1431564380639</v>
      </c>
      <c r="M30" s="909"/>
      <c r="N30" s="571" t="str">
        <f t="shared" si="4"/>
        <v>NO</v>
      </c>
      <c r="AB30" s="159"/>
    </row>
    <row r="31" spans="1:28">
      <c r="A31" s="392" t="str">
        <f>'PUMP PRICES RETAIL VAT Incl'!C39</f>
        <v>Kitui</v>
      </c>
      <c r="B31" s="552">
        <f t="shared" si="5"/>
        <v>25</v>
      </c>
      <c r="C31" s="528" t="str">
        <f>'PUMP PRICES RETAIL VAT Incl'!C30</f>
        <v>Muranga</v>
      </c>
      <c r="D31" s="529">
        <f>'PUMP PRICES RETAIL VAT Incl'!D30</f>
        <v>170.09499677965167</v>
      </c>
      <c r="E31" s="529">
        <v>0</v>
      </c>
      <c r="F31" s="529">
        <f t="shared" si="0"/>
        <v>157.49536738856634</v>
      </c>
      <c r="G31" s="529">
        <f>'PUMP PRICES RETAIL VAT Incl'!E30</f>
        <v>172.75667233101692</v>
      </c>
      <c r="H31" s="529">
        <v>0</v>
      </c>
      <c r="I31" s="529">
        <f t="shared" si="1"/>
        <v>159.95988178797862</v>
      </c>
      <c r="J31" s="529">
        <f>'PUMP PRICES RETAIL VAT Incl'!F30</f>
        <v>169.95016142881926</v>
      </c>
      <c r="K31" s="529">
        <v>0</v>
      </c>
      <c r="L31" s="529">
        <f t="shared" si="2"/>
        <v>157.36126058224005</v>
      </c>
      <c r="M31" s="909"/>
      <c r="N31" s="571" t="str">
        <f t="shared" si="4"/>
        <v>NO</v>
      </c>
      <c r="AB31" s="159"/>
    </row>
    <row r="32" spans="1:28">
      <c r="A32" s="392" t="str">
        <f>'PUMP PRICES RETAIL VAT Incl'!C40</f>
        <v>Mwingi</v>
      </c>
      <c r="B32" s="552">
        <f t="shared" si="5"/>
        <v>26</v>
      </c>
      <c r="C32" s="528" t="str">
        <f>'PUMP PRICES RETAIL VAT Incl'!C31</f>
        <v>Sagana</v>
      </c>
      <c r="D32" s="529">
        <f>'PUMP PRICES RETAIL VAT Incl'!D31</f>
        <v>170.31857411782244</v>
      </c>
      <c r="E32" s="529">
        <v>0</v>
      </c>
      <c r="F32" s="529">
        <f t="shared" si="0"/>
        <v>157.70238344242816</v>
      </c>
      <c r="G32" s="529">
        <f>'PUMP PRICES RETAIL VAT Incl'!E31</f>
        <v>172.97024966918767</v>
      </c>
      <c r="H32" s="529">
        <v>0</v>
      </c>
      <c r="I32" s="529">
        <f t="shared" si="1"/>
        <v>160.15763858258117</v>
      </c>
      <c r="J32" s="529">
        <f>'PUMP PRICES RETAIL VAT Incl'!F31</f>
        <v>170.17373876699003</v>
      </c>
      <c r="K32" s="529">
        <v>0</v>
      </c>
      <c r="L32" s="529">
        <f t="shared" si="2"/>
        <v>157.56827663610187</v>
      </c>
      <c r="M32" s="909"/>
      <c r="N32" s="571" t="str">
        <f t="shared" si="4"/>
        <v>NO</v>
      </c>
      <c r="AB32" s="159"/>
    </row>
    <row r="33" spans="1:28">
      <c r="A33" s="392" t="str">
        <f>'PUMP PRICES RETAIL VAT Incl'!C41</f>
        <v>Nanyuki</v>
      </c>
      <c r="B33" s="552">
        <f t="shared" si="5"/>
        <v>27</v>
      </c>
      <c r="C33" s="528" t="str">
        <f>'PUMP PRICES RETAIL VAT Incl'!C32</f>
        <v>Embu</v>
      </c>
      <c r="D33" s="529">
        <f>'PUMP PRICES RETAIL VAT Incl'!D32</f>
        <v>170.67387796892723</v>
      </c>
      <c r="E33" s="529">
        <v>0</v>
      </c>
      <c r="F33" s="529">
        <f t="shared" si="0"/>
        <v>158.03136848974742</v>
      </c>
      <c r="G33" s="529">
        <f>'PUMP PRICES RETAIL VAT Incl'!E32</f>
        <v>173.33555352029245</v>
      </c>
      <c r="H33" s="529">
        <v>0</v>
      </c>
      <c r="I33" s="529">
        <f t="shared" si="1"/>
        <v>160.49588288915967</v>
      </c>
      <c r="J33" s="529">
        <f>'PUMP PRICES RETAIL VAT Incl'!F32</f>
        <v>170.52904261809479</v>
      </c>
      <c r="K33" s="529">
        <v>0</v>
      </c>
      <c r="L33" s="529">
        <f t="shared" si="2"/>
        <v>157.89726168342111</v>
      </c>
      <c r="M33" s="909"/>
      <c r="N33" s="571" t="str">
        <f t="shared" si="4"/>
        <v>NO</v>
      </c>
      <c r="AB33" s="159"/>
    </row>
    <row r="34" spans="1:28">
      <c r="A34" s="392" t="str">
        <f>'PUMP PRICES RETAIL VAT Incl'!C42</f>
        <v>Nkubu</v>
      </c>
      <c r="B34" s="552">
        <f t="shared" si="5"/>
        <v>28</v>
      </c>
      <c r="C34" s="528" t="str">
        <f>'PUMP PRICES RETAIL VAT Incl'!C33</f>
        <v>Kerugoya</v>
      </c>
      <c r="D34" s="529">
        <f>'PUMP PRICES RETAIL VAT Incl'!D33</f>
        <v>170.60202714369046</v>
      </c>
      <c r="E34" s="529">
        <v>0</v>
      </c>
      <c r="F34" s="529">
        <f t="shared" si="0"/>
        <v>157.96483994786152</v>
      </c>
      <c r="G34" s="529">
        <f>'PUMP PRICES RETAIL VAT Incl'!E33</f>
        <v>173.25370269505572</v>
      </c>
      <c r="H34" s="529">
        <v>0</v>
      </c>
      <c r="I34" s="529">
        <f t="shared" si="1"/>
        <v>160.42009508801453</v>
      </c>
      <c r="J34" s="529">
        <f>'PUMP PRICES RETAIL VAT Incl'!F33</f>
        <v>170.45719179285805</v>
      </c>
      <c r="K34" s="529">
        <v>0</v>
      </c>
      <c r="L34" s="529">
        <f t="shared" si="2"/>
        <v>157.83073314153523</v>
      </c>
      <c r="M34" s="909"/>
      <c r="N34" s="571" t="str">
        <f t="shared" si="4"/>
        <v>NO</v>
      </c>
      <c r="AB34" s="159"/>
    </row>
    <row r="35" spans="1:28">
      <c r="A35" s="392" t="str">
        <f>'PUMP PRICES RETAIL VAT Incl'!C43</f>
        <v>Mtito Andei</v>
      </c>
      <c r="B35" s="552">
        <f t="shared" si="5"/>
        <v>29</v>
      </c>
      <c r="C35" s="528" t="str">
        <f>'PUMP PRICES RETAIL VAT Incl'!C34</f>
        <v>Narok</v>
      </c>
      <c r="D35" s="529">
        <f>'PUMP PRICES RETAIL VAT Incl'!D34</f>
        <v>170.95733099479529</v>
      </c>
      <c r="E35" s="529">
        <v>0</v>
      </c>
      <c r="F35" s="529">
        <f t="shared" si="0"/>
        <v>158.29382499518081</v>
      </c>
      <c r="G35" s="529">
        <f>'PUMP PRICES RETAIL VAT Incl'!E34</f>
        <v>173.61900654616051</v>
      </c>
      <c r="H35" s="529">
        <v>0</v>
      </c>
      <c r="I35" s="529">
        <f t="shared" si="1"/>
        <v>160.75833939459304</v>
      </c>
      <c r="J35" s="529">
        <f>'PUMP PRICES RETAIL VAT Incl'!F34</f>
        <v>170.81249564396285</v>
      </c>
      <c r="K35" s="529">
        <v>0</v>
      </c>
      <c r="L35" s="529">
        <f t="shared" si="2"/>
        <v>158.15971818885447</v>
      </c>
      <c r="M35" s="909"/>
      <c r="N35" s="571" t="str">
        <f t="shared" si="4"/>
        <v>NO</v>
      </c>
      <c r="AB35" s="159"/>
    </row>
    <row r="36" spans="1:28">
      <c r="A36" s="392" t="str">
        <f>'PUMP PRICES RETAIL VAT Incl'!C44</f>
        <v>Meru</v>
      </c>
      <c r="B36" s="552">
        <f t="shared" si="5"/>
        <v>30</v>
      </c>
      <c r="C36" s="528" t="str">
        <f>'PUMP PRICES RETAIL VAT Incl'!C35</f>
        <v>Nyeri</v>
      </c>
      <c r="D36" s="529">
        <f>'PUMP PRICES RETAIL VAT Incl'!D35</f>
        <v>170.94535585725581</v>
      </c>
      <c r="E36" s="529">
        <v>0</v>
      </c>
      <c r="F36" s="529">
        <f t="shared" si="0"/>
        <v>158.28273690486648</v>
      </c>
      <c r="G36" s="529">
        <f>'PUMP PRICES RETAIL VAT Incl'!E35</f>
        <v>173.60703140862103</v>
      </c>
      <c r="H36" s="529">
        <v>0</v>
      </c>
      <c r="I36" s="529">
        <f t="shared" si="1"/>
        <v>160.74725130427871</v>
      </c>
      <c r="J36" s="529">
        <f>'PUMP PRICES RETAIL VAT Incl'!F35</f>
        <v>170.8005205064234</v>
      </c>
      <c r="K36" s="529">
        <v>0</v>
      </c>
      <c r="L36" s="529">
        <f t="shared" si="2"/>
        <v>158.14863009854017</v>
      </c>
      <c r="M36" s="909"/>
      <c r="N36" s="571" t="str">
        <f t="shared" si="4"/>
        <v>NO</v>
      </c>
      <c r="AB36" s="159"/>
    </row>
    <row r="37" spans="1:28">
      <c r="A37" s="392" t="str">
        <f>'PUMP PRICES RETAIL VAT Incl'!C45</f>
        <v>Isiolo</v>
      </c>
      <c r="B37" s="552">
        <f t="shared" si="5"/>
        <v>31</v>
      </c>
      <c r="C37" s="528" t="str">
        <f>'PUMP PRICES RETAIL VAT Incl'!C36</f>
        <v>Namanga</v>
      </c>
      <c r="D37" s="529">
        <f>'PUMP PRICES RETAIL VAT Incl'!D36</f>
        <v>171.12103264526877</v>
      </c>
      <c r="E37" s="529">
        <v>0</v>
      </c>
      <c r="F37" s="529">
        <f t="shared" si="0"/>
        <v>158.44540059747106</v>
      </c>
      <c r="G37" s="529">
        <f>'PUMP PRICES RETAIL VAT Incl'!E36</f>
        <v>173.77270819663397</v>
      </c>
      <c r="H37" s="529">
        <v>0</v>
      </c>
      <c r="I37" s="529">
        <f t="shared" si="1"/>
        <v>160.90065573762405</v>
      </c>
      <c r="J37" s="529">
        <f>'PUMP PRICES RETAIL VAT Incl'!F36</f>
        <v>170.96619729443631</v>
      </c>
      <c r="K37" s="529">
        <v>0</v>
      </c>
      <c r="L37" s="529">
        <f t="shared" si="2"/>
        <v>158.30203453188545</v>
      </c>
      <c r="M37" s="909"/>
      <c r="N37" s="571" t="str">
        <f t="shared" si="4"/>
        <v>NO</v>
      </c>
      <c r="AB37" s="159"/>
    </row>
    <row r="38" spans="1:28">
      <c r="A38" s="392" t="str">
        <f>'PUMP PRICES RETAIL VAT Incl'!C46</f>
        <v>Maua</v>
      </c>
      <c r="B38" s="552">
        <f t="shared" si="5"/>
        <v>32</v>
      </c>
      <c r="C38" s="528" t="str">
        <f>'PUMP PRICES RETAIL VAT Incl'!C37</f>
        <v>Kiganjo</v>
      </c>
      <c r="D38" s="529">
        <f>'PUMP PRICES RETAIL VAT Incl'!D37</f>
        <v>170.90943044463742</v>
      </c>
      <c r="E38" s="529">
        <v>0</v>
      </c>
      <c r="F38" s="529">
        <f t="shared" si="0"/>
        <v>158.24947263392352</v>
      </c>
      <c r="G38" s="529">
        <f>'PUMP PRICES RETAIL VAT Incl'!E37</f>
        <v>173.57110599600264</v>
      </c>
      <c r="H38" s="529">
        <v>0</v>
      </c>
      <c r="I38" s="529">
        <f t="shared" si="1"/>
        <v>160.71398703333577</v>
      </c>
      <c r="J38" s="529">
        <f>'PUMP PRICES RETAIL VAT Incl'!F37</f>
        <v>170.76459509380501</v>
      </c>
      <c r="K38" s="529">
        <v>0</v>
      </c>
      <c r="L38" s="529">
        <f t="shared" si="2"/>
        <v>158.11536582759723</v>
      </c>
      <c r="M38" s="909"/>
      <c r="N38" s="571" t="str">
        <f t="shared" si="4"/>
        <v>NO</v>
      </c>
      <c r="AB38" s="159"/>
    </row>
    <row r="39" spans="1:28">
      <c r="A39" s="392" t="str">
        <f>'PUMP PRICES RETAIL VAT Incl'!C47</f>
        <v>Garissa</v>
      </c>
      <c r="B39" s="552">
        <f t="shared" si="5"/>
        <v>33</v>
      </c>
      <c r="C39" s="528" t="str">
        <f>'PUMP PRICES RETAIL VAT Incl'!C38</f>
        <v>Chuka</v>
      </c>
      <c r="D39" s="529">
        <f>'PUMP PRICES RETAIL VAT Incl'!D38</f>
        <v>171.20485860804496</v>
      </c>
      <c r="E39" s="529">
        <v>0</v>
      </c>
      <c r="F39" s="529">
        <f t="shared" si="0"/>
        <v>158.52301722967124</v>
      </c>
      <c r="G39" s="529">
        <f>'PUMP PRICES RETAIL VAT Incl'!E38</f>
        <v>173.86653415941018</v>
      </c>
      <c r="H39" s="529">
        <v>0</v>
      </c>
      <c r="I39" s="529">
        <f t="shared" si="1"/>
        <v>160.98753162908349</v>
      </c>
      <c r="J39" s="529">
        <f>'PUMP PRICES RETAIL VAT Incl'!F38</f>
        <v>171.06002325721252</v>
      </c>
      <c r="K39" s="529">
        <v>0</v>
      </c>
      <c r="L39" s="529">
        <f t="shared" si="2"/>
        <v>158.38891042334492</v>
      </c>
      <c r="M39" s="909"/>
      <c r="N39" s="571" t="str">
        <f t="shared" si="4"/>
        <v>NO</v>
      </c>
      <c r="AB39" s="159"/>
    </row>
    <row r="40" spans="1:28">
      <c r="A40" s="392" t="str">
        <f>'PUMP PRICES RETAIL VAT Incl'!C48</f>
        <v>Marsabit</v>
      </c>
      <c r="B40" s="552">
        <f t="shared" si="5"/>
        <v>34</v>
      </c>
      <c r="C40" s="528" t="str">
        <f>'PUMP PRICES RETAIL VAT Incl'!C39</f>
        <v>Kitui</v>
      </c>
      <c r="D40" s="529">
        <f>'PUMP PRICES RETAIL VAT Incl'!D39</f>
        <v>171.09905750772927</v>
      </c>
      <c r="E40" s="529">
        <v>0</v>
      </c>
      <c r="F40" s="529">
        <f t="shared" si="0"/>
        <v>158.42505324789747</v>
      </c>
      <c r="G40" s="529">
        <f>'PUMP PRICES RETAIL VAT Incl'!E39</f>
        <v>173.76073305909452</v>
      </c>
      <c r="H40" s="529">
        <v>0</v>
      </c>
      <c r="I40" s="529">
        <f t="shared" si="1"/>
        <v>160.88956764730972</v>
      </c>
      <c r="J40" s="529">
        <f>'PUMP PRICES RETAIL VAT Incl'!F39</f>
        <v>170.95422215689686</v>
      </c>
      <c r="K40" s="529">
        <v>0</v>
      </c>
      <c r="L40" s="529">
        <f t="shared" si="2"/>
        <v>158.29094644157115</v>
      </c>
      <c r="M40" s="909"/>
      <c r="N40" s="571" t="str">
        <f t="shared" si="4"/>
        <v>NO</v>
      </c>
      <c r="AB40" s="159"/>
    </row>
    <row r="41" spans="1:28">
      <c r="A41" s="392" t="str">
        <f>'PUMP PRICES RETAIL VAT Incl'!C49</f>
        <v>Liboi</v>
      </c>
      <c r="B41" s="552">
        <f t="shared" si="5"/>
        <v>35</v>
      </c>
      <c r="C41" s="528" t="str">
        <f>'PUMP PRICES RETAIL VAT Incl'!C40</f>
        <v>Mwingi</v>
      </c>
      <c r="D41" s="529">
        <f>'PUMP PRICES RETAIL VAT Incl'!D40</f>
        <v>171.48831163391299</v>
      </c>
      <c r="E41" s="529">
        <v>0</v>
      </c>
      <c r="F41" s="529">
        <f t="shared" si="0"/>
        <v>158.7854737351046</v>
      </c>
      <c r="G41" s="529">
        <f>'PUMP PRICES RETAIL VAT Incl'!E40</f>
        <v>174.14998718527821</v>
      </c>
      <c r="H41" s="529">
        <v>0</v>
      </c>
      <c r="I41" s="529">
        <f t="shared" si="1"/>
        <v>161.24998813451685</v>
      </c>
      <c r="J41" s="529">
        <f>'PUMP PRICES RETAIL VAT Incl'!F40</f>
        <v>171.34347628308055</v>
      </c>
      <c r="K41" s="529">
        <v>0</v>
      </c>
      <c r="L41" s="529">
        <f t="shared" si="2"/>
        <v>158.65136692877829</v>
      </c>
      <c r="M41" s="909"/>
      <c r="N41" s="571" t="str">
        <f t="shared" si="4"/>
        <v>NO</v>
      </c>
      <c r="AB41" s="159"/>
    </row>
    <row r="42" spans="1:28">
      <c r="A42" s="392" t="str">
        <f>'PUMP PRICES RETAIL VAT Incl'!C50</f>
        <v>Moyale</v>
      </c>
      <c r="B42" s="552">
        <f t="shared" si="5"/>
        <v>36</v>
      </c>
      <c r="C42" s="528" t="str">
        <f>'PUMP PRICES RETAIL VAT Incl'!C41</f>
        <v>Nanyuki</v>
      </c>
      <c r="D42" s="529">
        <f>'PUMP PRICES RETAIL VAT Incl'!D41</f>
        <v>171.50028677145247</v>
      </c>
      <c r="E42" s="529">
        <v>0</v>
      </c>
      <c r="F42" s="529">
        <f t="shared" si="0"/>
        <v>158.79656182541893</v>
      </c>
      <c r="G42" s="529">
        <f>'PUMP PRICES RETAIL VAT Incl'!E41</f>
        <v>174.16196232281769</v>
      </c>
      <c r="H42" s="529">
        <v>0</v>
      </c>
      <c r="I42" s="529">
        <f t="shared" si="1"/>
        <v>161.26107622483119</v>
      </c>
      <c r="J42" s="529">
        <f>'PUMP PRICES RETAIL VAT Incl'!F41</f>
        <v>171.35545142062003</v>
      </c>
      <c r="K42" s="529">
        <v>0</v>
      </c>
      <c r="L42" s="529">
        <f t="shared" si="2"/>
        <v>158.66245501909262</v>
      </c>
      <c r="M42" s="909"/>
      <c r="N42" s="571" t="str">
        <f t="shared" si="4"/>
        <v>NO</v>
      </c>
      <c r="AB42" s="159"/>
    </row>
    <row r="43" spans="1:28">
      <c r="A43" s="392" t="str">
        <f>'PUMP PRICES RETAIL VAT Incl'!C51</f>
        <v>Sololo</v>
      </c>
      <c r="B43" s="552">
        <f t="shared" si="5"/>
        <v>37</v>
      </c>
      <c r="C43" s="528" t="str">
        <f>'PUMP PRICES RETAIL VAT Incl'!C42</f>
        <v>Nkubu</v>
      </c>
      <c r="D43" s="529">
        <f>'PUMP PRICES RETAIL VAT Incl'!D42</f>
        <v>172.47842208691171</v>
      </c>
      <c r="E43" s="529">
        <v>0</v>
      </c>
      <c r="F43" s="529">
        <f t="shared" si="0"/>
        <v>159.70224267306639</v>
      </c>
      <c r="G43" s="529">
        <f>'PUMP PRICES RETAIL VAT Incl'!E42</f>
        <v>175.13009763827691</v>
      </c>
      <c r="H43" s="529">
        <v>0</v>
      </c>
      <c r="I43" s="529">
        <f t="shared" si="1"/>
        <v>162.15749781321935</v>
      </c>
      <c r="J43" s="529">
        <f>'PUMP PRICES RETAIL VAT Incl'!F42</f>
        <v>172.33358673607927</v>
      </c>
      <c r="K43" s="529">
        <v>0</v>
      </c>
      <c r="L43" s="529">
        <f t="shared" si="2"/>
        <v>159.56813586674005</v>
      </c>
      <c r="M43" s="909"/>
      <c r="N43" s="571" t="str">
        <f t="shared" si="4"/>
        <v>NO</v>
      </c>
      <c r="AB43" s="159"/>
    </row>
    <row r="44" spans="1:28">
      <c r="A44" s="392" t="str">
        <f>'PUMP PRICES RETAIL VAT Incl'!C52</f>
        <v>Habaswein</v>
      </c>
      <c r="B44" s="552">
        <f t="shared" si="5"/>
        <v>38</v>
      </c>
      <c r="C44" s="528" t="str">
        <f>'PUMP PRICES RETAIL VAT Incl'!C43</f>
        <v>Mtito Andei</v>
      </c>
      <c r="D44" s="529">
        <f>'PUMP PRICES RETAIL VAT Incl'!D43</f>
        <v>172.00731713549129</v>
      </c>
      <c r="E44" s="529">
        <v>0</v>
      </c>
      <c r="F44" s="529">
        <f t="shared" si="0"/>
        <v>159.26603438471415</v>
      </c>
      <c r="G44" s="529">
        <f>'PUMP PRICES RETAIL VAT Incl'!E43</f>
        <v>174.66899268685648</v>
      </c>
      <c r="H44" s="529">
        <v>0</v>
      </c>
      <c r="I44" s="529">
        <f t="shared" si="1"/>
        <v>161.73054878412637</v>
      </c>
      <c r="J44" s="529">
        <f>'PUMP PRICES RETAIL VAT Incl'!F43</f>
        <v>171.86248178465883</v>
      </c>
      <c r="K44" s="529">
        <v>0</v>
      </c>
      <c r="L44" s="529">
        <f t="shared" si="2"/>
        <v>159.1319275783878</v>
      </c>
      <c r="M44" s="909"/>
      <c r="N44" s="571" t="str">
        <f t="shared" si="4"/>
        <v>NO</v>
      </c>
      <c r="AB44" s="159"/>
    </row>
    <row r="45" spans="1:28">
      <c r="A45" s="392" t="str">
        <f>'PUMP PRICES RETAIL VAT Incl'!C53</f>
        <v>Dadaab</v>
      </c>
      <c r="B45" s="552">
        <f t="shared" si="5"/>
        <v>39</v>
      </c>
      <c r="C45" s="528" t="str">
        <f>'PUMP PRICES RETAIL VAT Incl'!C44</f>
        <v>Meru</v>
      </c>
      <c r="D45" s="529">
        <f>'PUMP PRICES RETAIL VAT Incl'!D44</f>
        <v>172.66804915000355</v>
      </c>
      <c r="E45" s="529">
        <v>0</v>
      </c>
      <c r="F45" s="529">
        <f t="shared" si="0"/>
        <v>159.87782328704031</v>
      </c>
      <c r="G45" s="529">
        <f>'PUMP PRICES RETAIL VAT Incl'!E44</f>
        <v>175.32972470136878</v>
      </c>
      <c r="H45" s="529">
        <v>0</v>
      </c>
      <c r="I45" s="529">
        <f t="shared" si="1"/>
        <v>162.34233768645257</v>
      </c>
      <c r="J45" s="529">
        <f>'PUMP PRICES RETAIL VAT Incl'!F44</f>
        <v>172.52321379917112</v>
      </c>
      <c r="K45" s="529">
        <v>0</v>
      </c>
      <c r="L45" s="529">
        <f t="shared" si="2"/>
        <v>159.743716480714</v>
      </c>
      <c r="M45" s="909"/>
      <c r="N45" s="571" t="str">
        <f t="shared" si="4"/>
        <v>NO</v>
      </c>
      <c r="AB45" s="159"/>
    </row>
    <row r="46" spans="1:28">
      <c r="A46" s="392" t="str">
        <f>'PUMP PRICES RETAIL VAT Incl'!C54</f>
        <v>Tarbaj</v>
      </c>
      <c r="B46" s="552">
        <f t="shared" si="5"/>
        <v>40</v>
      </c>
      <c r="C46" s="528" t="str">
        <f>'PUMP PRICES RETAIL VAT Incl'!C45</f>
        <v>Isiolo</v>
      </c>
      <c r="D46" s="529">
        <f>'PUMP PRICES RETAIL VAT Incl'!D45</f>
        <v>172.52632263706951</v>
      </c>
      <c r="E46" s="529">
        <v>0</v>
      </c>
      <c r="F46" s="529">
        <f t="shared" si="0"/>
        <v>159.7465950343236</v>
      </c>
      <c r="G46" s="529">
        <f>'PUMP PRICES RETAIL VAT Incl'!E45</f>
        <v>175.18799818843473</v>
      </c>
      <c r="H46" s="529">
        <v>0</v>
      </c>
      <c r="I46" s="529">
        <f t="shared" si="1"/>
        <v>162.21110943373586</v>
      </c>
      <c r="J46" s="529">
        <f>'PUMP PRICES RETAIL VAT Incl'!F45</f>
        <v>172.3814872862371</v>
      </c>
      <c r="K46" s="529">
        <v>0</v>
      </c>
      <c r="L46" s="529">
        <f t="shared" si="2"/>
        <v>159.61248822799732</v>
      </c>
      <c r="M46" s="909"/>
      <c r="N46" s="571" t="str">
        <f t="shared" si="4"/>
        <v>NO</v>
      </c>
      <c r="AB46" s="159"/>
    </row>
    <row r="47" spans="1:28">
      <c r="A47" s="392" t="str">
        <f>'PUMP PRICES RETAIL VAT Incl'!C55</f>
        <v>Elwak</v>
      </c>
      <c r="B47" s="552">
        <f t="shared" si="5"/>
        <v>41</v>
      </c>
      <c r="C47" s="528" t="str">
        <f>'PUMP PRICES RETAIL VAT Incl'!C46</f>
        <v>Maua</v>
      </c>
      <c r="D47" s="529">
        <f>'PUMP PRICES RETAIL VAT Incl'!D46</f>
        <v>173.1171789638845</v>
      </c>
      <c r="E47" s="529">
        <v>0</v>
      </c>
      <c r="F47" s="529">
        <f t="shared" si="0"/>
        <v>160.29368422581896</v>
      </c>
      <c r="G47" s="529">
        <f>'PUMP PRICES RETAIL VAT Incl'!E46</f>
        <v>175.77885451524975</v>
      </c>
      <c r="H47" s="529">
        <v>0</v>
      </c>
      <c r="I47" s="529">
        <f t="shared" si="1"/>
        <v>162.75819862523124</v>
      </c>
      <c r="J47" s="529">
        <f>'PUMP PRICES RETAIL VAT Incl'!F46</f>
        <v>172.97234361305209</v>
      </c>
      <c r="K47" s="529">
        <v>0</v>
      </c>
      <c r="L47" s="529">
        <f t="shared" si="2"/>
        <v>160.15957741949268</v>
      </c>
      <c r="M47" s="909"/>
      <c r="N47" s="571" t="str">
        <f t="shared" si="4"/>
        <v>NO</v>
      </c>
      <c r="AB47" s="159"/>
    </row>
    <row r="48" spans="1:28">
      <c r="A48" s="392" t="str">
        <f>'PUMP PRICES RETAIL VAT Incl'!C56</f>
        <v>Wajir</v>
      </c>
      <c r="B48" s="552">
        <f t="shared" si="5"/>
        <v>42</v>
      </c>
      <c r="C48" s="528" t="str">
        <f>'PUMP PRICES RETAIL VAT Incl'!C47</f>
        <v>Garissa</v>
      </c>
      <c r="D48" s="529">
        <f>'PUMP PRICES RETAIL VAT Incl'!D47</f>
        <v>173.74198556577846</v>
      </c>
      <c r="E48" s="529">
        <v>0</v>
      </c>
      <c r="F48" s="529">
        <f t="shared" si="0"/>
        <v>160.87220885720228</v>
      </c>
      <c r="G48" s="529">
        <f>'PUMP PRICES RETAIL VAT Incl'!E47</f>
        <v>176.40366111714366</v>
      </c>
      <c r="H48" s="529">
        <v>0</v>
      </c>
      <c r="I48" s="529">
        <f t="shared" si="1"/>
        <v>163.33672325661448</v>
      </c>
      <c r="J48" s="529">
        <f>'PUMP PRICES RETAIL VAT Incl'!F47</f>
        <v>173.597150214946</v>
      </c>
      <c r="K48" s="529">
        <v>0</v>
      </c>
      <c r="L48" s="529">
        <f t="shared" si="2"/>
        <v>160.73810205087591</v>
      </c>
      <c r="M48" s="909"/>
      <c r="N48" s="571" t="str">
        <f t="shared" si="4"/>
        <v>NO</v>
      </c>
      <c r="AB48" s="159"/>
    </row>
    <row r="49" spans="1:28">
      <c r="A49" s="392" t="str">
        <f>'PUMP PRICES RETAIL VAT Incl'!C57</f>
        <v>Modogashe</v>
      </c>
      <c r="B49" s="552">
        <f t="shared" si="5"/>
        <v>43</v>
      </c>
      <c r="C49" s="528" t="str">
        <f>'PUMP PRICES RETAIL VAT Incl'!C48</f>
        <v>Marsabit</v>
      </c>
      <c r="D49" s="529">
        <f>'PUMP PRICES RETAIL VAT Incl'!D48</f>
        <v>177.42489976452356</v>
      </c>
      <c r="E49" s="529">
        <v>0</v>
      </c>
      <c r="F49" s="529">
        <f t="shared" si="0"/>
        <v>164.28231459678105</v>
      </c>
      <c r="G49" s="529">
        <f>'PUMP PRICES RETAIL VAT Incl'!E48</f>
        <v>180.08657531588878</v>
      </c>
      <c r="H49" s="529">
        <v>0</v>
      </c>
      <c r="I49" s="529">
        <f t="shared" si="1"/>
        <v>166.7468289961933</v>
      </c>
      <c r="J49" s="529">
        <f>'PUMP PRICES RETAIL VAT Incl'!F48</f>
        <v>177.28006441369112</v>
      </c>
      <c r="K49" s="529">
        <v>0</v>
      </c>
      <c r="L49" s="529">
        <f t="shared" si="2"/>
        <v>164.14820779045473</v>
      </c>
      <c r="M49" s="909"/>
      <c r="N49" s="571" t="str">
        <f t="shared" si="4"/>
        <v>NO</v>
      </c>
      <c r="AB49" s="159"/>
    </row>
    <row r="50" spans="1:28">
      <c r="A50" s="392" t="str">
        <f>'PUMP PRICES RETAIL VAT Incl'!C58</f>
        <v>Mandera</v>
      </c>
      <c r="B50" s="552">
        <f t="shared" si="5"/>
        <v>44</v>
      </c>
      <c r="C50" s="528" t="str">
        <f>'PUMP PRICES RETAIL VAT Incl'!C49</f>
        <v>Liboi</v>
      </c>
      <c r="D50" s="529">
        <f>'PUMP PRICES RETAIL VAT Incl'!D49</f>
        <v>176.50466499922214</v>
      </c>
      <c r="E50" s="529">
        <v>0</v>
      </c>
      <c r="F50" s="529">
        <f t="shared" si="0"/>
        <v>163.43024536965012</v>
      </c>
      <c r="G50" s="529">
        <f>'PUMP PRICES RETAIL VAT Incl'!E49</f>
        <v>179.16634055058736</v>
      </c>
      <c r="H50" s="529">
        <v>0</v>
      </c>
      <c r="I50" s="529">
        <f t="shared" si="1"/>
        <v>165.89475976906238</v>
      </c>
      <c r="J50" s="529">
        <f>'PUMP PRICES RETAIL VAT Incl'!F49</f>
        <v>176.35982964838971</v>
      </c>
      <c r="K50" s="529">
        <v>0</v>
      </c>
      <c r="L50" s="529">
        <f t="shared" si="2"/>
        <v>163.29613856332378</v>
      </c>
      <c r="M50" s="909"/>
      <c r="N50" s="571" t="str">
        <f t="shared" si="4"/>
        <v>NO</v>
      </c>
      <c r="AB50" s="159"/>
    </row>
    <row r="51" spans="1:28" s="392" customFormat="1">
      <c r="A51" s="392" t="str">
        <f>'PUMP PRICES RETAIL VAT Incl'!C79</f>
        <v>Nakuru</v>
      </c>
      <c r="B51" s="552">
        <f t="shared" si="5"/>
        <v>45</v>
      </c>
      <c r="C51" s="528" t="str">
        <f>'PUMP PRICES RETAIL VAT Incl'!C50</f>
        <v>Moyale</v>
      </c>
      <c r="D51" s="529">
        <f>'PUMP PRICES RETAIL VAT Incl'!D50</f>
        <v>179.00586654433721</v>
      </c>
      <c r="E51" s="529">
        <v>0</v>
      </c>
      <c r="F51" s="529">
        <f t="shared" si="0"/>
        <v>165.74617272623814</v>
      </c>
      <c r="G51" s="529">
        <f>'PUMP PRICES RETAIL VAT Incl'!E50</f>
        <v>181.66754209570246</v>
      </c>
      <c r="H51" s="529">
        <v>0</v>
      </c>
      <c r="I51" s="529">
        <f t="shared" si="1"/>
        <v>168.21068712565042</v>
      </c>
      <c r="J51" s="529">
        <f>'PUMP PRICES RETAIL VAT Incl'!F50</f>
        <v>178.8610311935048</v>
      </c>
      <c r="K51" s="529">
        <v>0</v>
      </c>
      <c r="L51" s="529">
        <f t="shared" si="2"/>
        <v>165.61206591991183</v>
      </c>
      <c r="M51" s="926"/>
      <c r="N51" s="571" t="str">
        <f t="shared" si="4"/>
        <v>NO</v>
      </c>
      <c r="Q51" s="392" t="s">
        <v>63</v>
      </c>
    </row>
    <row r="52" spans="1:28">
      <c r="A52" s="392" t="str">
        <f>'PUMP PRICES RETAIL VAT Incl'!C80</f>
        <v>Gilgil</v>
      </c>
      <c r="B52" s="552">
        <f t="shared" si="5"/>
        <v>46</v>
      </c>
      <c r="C52" s="528" t="str">
        <f>'PUMP PRICES RETAIL VAT Incl'!C51</f>
        <v>Sololo</v>
      </c>
      <c r="D52" s="529">
        <f>'PUMP PRICES RETAIL VAT Incl'!D51</f>
        <v>178.06168150395689</v>
      </c>
      <c r="E52" s="529">
        <v>0</v>
      </c>
      <c r="F52" s="529">
        <f t="shared" si="0"/>
        <v>164.87192731847858</v>
      </c>
      <c r="G52" s="529">
        <f>'PUMP PRICES RETAIL VAT Incl'!E51</f>
        <v>180.72335705532214</v>
      </c>
      <c r="H52" s="529">
        <v>0</v>
      </c>
      <c r="I52" s="529">
        <f t="shared" si="1"/>
        <v>167.33644171789086</v>
      </c>
      <c r="J52" s="529">
        <f>'PUMP PRICES RETAIL VAT Incl'!F51</f>
        <v>177.91684615312448</v>
      </c>
      <c r="K52" s="529">
        <v>0</v>
      </c>
      <c r="L52" s="529">
        <f t="shared" si="2"/>
        <v>164.7378205121523</v>
      </c>
      <c r="M52" s="578"/>
      <c r="N52" s="571" t="str">
        <f t="shared" si="4"/>
        <v>NO</v>
      </c>
      <c r="AB52" s="159"/>
    </row>
    <row r="53" spans="1:28">
      <c r="A53" s="392" t="str">
        <f>'PUMP PRICES RETAIL VAT Incl'!C81</f>
        <v>Mogotio</v>
      </c>
      <c r="B53" s="552">
        <f t="shared" si="5"/>
        <v>47</v>
      </c>
      <c r="C53" s="528" t="str">
        <f>'PUMP PRICES RETAIL VAT Incl'!C52</f>
        <v>Habaswein</v>
      </c>
      <c r="D53" s="529">
        <f>'PUMP PRICES RETAIL VAT Incl'!D52</f>
        <v>176.43281417398538</v>
      </c>
      <c r="E53" s="529">
        <v>0</v>
      </c>
      <c r="F53" s="529">
        <f t="shared" si="0"/>
        <v>163.36371682776422</v>
      </c>
      <c r="G53" s="529">
        <f>'PUMP PRICES RETAIL VAT Incl'!E52</f>
        <v>179.09448972535063</v>
      </c>
      <c r="H53" s="529">
        <v>0</v>
      </c>
      <c r="I53" s="529">
        <f t="shared" si="1"/>
        <v>165.8282312271765</v>
      </c>
      <c r="J53" s="529">
        <f>'PUMP PRICES RETAIL VAT Incl'!F52</f>
        <v>176.28797882315297</v>
      </c>
      <c r="K53" s="529">
        <v>0</v>
      </c>
      <c r="L53" s="529">
        <f t="shared" si="2"/>
        <v>163.22961002143794</v>
      </c>
      <c r="M53" s="578"/>
      <c r="N53" s="571" t="str">
        <f t="shared" si="4"/>
        <v>NO</v>
      </c>
      <c r="AB53" s="159"/>
    </row>
    <row r="54" spans="1:28">
      <c r="A54" s="392" t="str">
        <f>'PUMP PRICES RETAIL VAT Incl'!C82</f>
        <v>Molo</v>
      </c>
      <c r="B54" s="552">
        <f t="shared" si="5"/>
        <v>48</v>
      </c>
      <c r="C54" s="528" t="str">
        <f>'PUMP PRICES RETAIL VAT Incl'!C53</f>
        <v>Dadaab</v>
      </c>
      <c r="D54" s="529">
        <f>'PUMP PRICES RETAIL VAT Incl'!D53</f>
        <v>175.1233252825003</v>
      </c>
      <c r="E54" s="529">
        <v>0</v>
      </c>
      <c r="F54" s="529">
        <f t="shared" si="0"/>
        <v>162.15122711342619</v>
      </c>
      <c r="G54" s="529">
        <f>'PUMP PRICES RETAIL VAT Incl'!E53</f>
        <v>177.7850008338655</v>
      </c>
      <c r="H54" s="529">
        <v>0</v>
      </c>
      <c r="I54" s="529">
        <f t="shared" si="1"/>
        <v>164.61574151283841</v>
      </c>
      <c r="J54" s="529">
        <f>'PUMP PRICES RETAIL VAT Incl'!F53</f>
        <v>174.97848993166787</v>
      </c>
      <c r="K54" s="529">
        <v>0</v>
      </c>
      <c r="L54" s="529">
        <f t="shared" si="2"/>
        <v>162.01712030709987</v>
      </c>
      <c r="M54" s="578"/>
      <c r="N54" s="571" t="str">
        <f t="shared" si="4"/>
        <v>NO</v>
      </c>
      <c r="AB54" s="159"/>
    </row>
    <row r="55" spans="1:28">
      <c r="A55" s="392" t="str">
        <f>'PUMP PRICES RETAIL VAT Incl'!C83</f>
        <v>Olenguruone</v>
      </c>
      <c r="B55" s="552">
        <f t="shared" si="5"/>
        <v>49</v>
      </c>
      <c r="C55" s="528" t="str">
        <f>'PUMP PRICES RETAIL VAT Incl'!C54</f>
        <v>Tarbaj</v>
      </c>
      <c r="D55" s="529">
        <f>'PUMP PRICES RETAIL VAT Incl'!D54</f>
        <v>178.68648810585086</v>
      </c>
      <c r="E55" s="529">
        <v>0</v>
      </c>
      <c r="F55" s="529">
        <f t="shared" si="0"/>
        <v>165.4504519498619</v>
      </c>
      <c r="G55" s="529">
        <f>'PUMP PRICES RETAIL VAT Incl'!E54</f>
        <v>181.33816365721606</v>
      </c>
      <c r="H55" s="529">
        <v>0</v>
      </c>
      <c r="I55" s="529">
        <f t="shared" si="1"/>
        <v>167.90570709001486</v>
      </c>
      <c r="J55" s="529">
        <f>'PUMP PRICES RETAIL VAT Incl'!F54</f>
        <v>178.5316527550184</v>
      </c>
      <c r="K55" s="529">
        <v>0</v>
      </c>
      <c r="L55" s="529">
        <f t="shared" si="2"/>
        <v>165.30708588427629</v>
      </c>
      <c r="M55" s="578"/>
      <c r="N55" s="571" t="str">
        <f t="shared" si="4"/>
        <v>NO</v>
      </c>
      <c r="AB55" s="159"/>
    </row>
    <row r="56" spans="1:28">
      <c r="A56" s="392" t="str">
        <f>'PUMP PRICES RETAIL VAT Incl'!C84</f>
        <v>Londiani</v>
      </c>
      <c r="B56" s="552">
        <f t="shared" si="5"/>
        <v>50</v>
      </c>
      <c r="C56" s="528" t="str">
        <f>'PUMP PRICES RETAIL VAT Incl'!C55</f>
        <v>Elwak</v>
      </c>
      <c r="D56" s="529">
        <f>'PUMP PRICES RETAIL VAT Incl'!D55</f>
        <v>180.28140516074345</v>
      </c>
      <c r="E56" s="529">
        <v>0</v>
      </c>
      <c r="F56" s="529">
        <f t="shared" si="0"/>
        <v>166.92722700068836</v>
      </c>
      <c r="G56" s="529">
        <f>'PUMP PRICES RETAIL VAT Incl'!E55</f>
        <v>182.94308071210867</v>
      </c>
      <c r="H56" s="529">
        <v>0</v>
      </c>
      <c r="I56" s="529">
        <f t="shared" si="1"/>
        <v>169.39174140010061</v>
      </c>
      <c r="J56" s="529">
        <f>'PUMP PRICES RETAIL VAT Incl'!F55</f>
        <v>180.13656980991101</v>
      </c>
      <c r="K56" s="529">
        <v>0</v>
      </c>
      <c r="L56" s="529">
        <f t="shared" si="2"/>
        <v>166.79312019436205</v>
      </c>
      <c r="M56" s="578"/>
      <c r="N56" s="571" t="str">
        <f t="shared" si="4"/>
        <v>NO</v>
      </c>
      <c r="AB56" s="159"/>
    </row>
    <row r="57" spans="1:28">
      <c r="A57" s="392" t="str">
        <f>'PUMP PRICES RETAIL VAT Incl'!C85</f>
        <v>Nyahururu</v>
      </c>
      <c r="B57" s="552">
        <f t="shared" si="5"/>
        <v>51</v>
      </c>
      <c r="C57" s="528" t="str">
        <f>'PUMP PRICES RETAIL VAT Incl'!C56</f>
        <v>Wajir</v>
      </c>
      <c r="D57" s="529">
        <f>'PUMP PRICES RETAIL VAT Incl'!D56</f>
        <v>178.84018975632432</v>
      </c>
      <c r="E57" s="529">
        <v>0</v>
      </c>
      <c r="F57" s="529">
        <f t="shared" si="0"/>
        <v>165.59276829289288</v>
      </c>
      <c r="G57" s="529">
        <f>'PUMP PRICES RETAIL VAT Incl'!E56</f>
        <v>181.49186530768952</v>
      </c>
      <c r="H57" s="529">
        <v>0</v>
      </c>
      <c r="I57" s="529">
        <f t="shared" si="1"/>
        <v>168.04802343304584</v>
      </c>
      <c r="J57" s="529">
        <f>'PUMP PRICES RETAIL VAT Incl'!F56</f>
        <v>178.69535440549188</v>
      </c>
      <c r="K57" s="529">
        <v>0</v>
      </c>
      <c r="L57" s="529">
        <f t="shared" si="2"/>
        <v>165.45866148656654</v>
      </c>
      <c r="M57" s="909"/>
      <c r="N57" s="571" t="str">
        <f t="shared" si="4"/>
        <v>NO</v>
      </c>
      <c r="AB57" s="159"/>
    </row>
    <row r="58" spans="1:28">
      <c r="A58" s="392" t="str">
        <f>'PUMP PRICES RETAIL VAT Incl'!C86</f>
        <v>Archers Post</v>
      </c>
      <c r="B58" s="552">
        <f t="shared" si="5"/>
        <v>52</v>
      </c>
      <c r="C58" s="528" t="str">
        <f>'PUMP PRICES RETAIL VAT Incl'!C57</f>
        <v>Modogashe</v>
      </c>
      <c r="D58" s="529">
        <f>'PUMP PRICES RETAIL VAT Incl'!D57</f>
        <v>176.57454068691945</v>
      </c>
      <c r="E58" s="529">
        <v>0</v>
      </c>
      <c r="F58" s="529">
        <f t="shared" si="0"/>
        <v>163.49494508048096</v>
      </c>
      <c r="G58" s="529">
        <f>'PUMP PRICES RETAIL VAT Incl'!E57</f>
        <v>179.23621623828464</v>
      </c>
      <c r="H58" s="529">
        <v>0</v>
      </c>
      <c r="I58" s="529">
        <f t="shared" si="1"/>
        <v>165.95945947989318</v>
      </c>
      <c r="J58" s="529">
        <f>'PUMP PRICES RETAIL VAT Incl'!F57</f>
        <v>176.42970533608698</v>
      </c>
      <c r="K58" s="529">
        <v>0</v>
      </c>
      <c r="L58" s="529">
        <f t="shared" si="2"/>
        <v>163.36083827415462</v>
      </c>
      <c r="M58" s="909"/>
      <c r="N58" s="571" t="str">
        <f t="shared" si="4"/>
        <v>NO</v>
      </c>
      <c r="AB58" s="159"/>
    </row>
    <row r="59" spans="1:28">
      <c r="A59" s="392" t="str">
        <f>'PUMP PRICES RETAIL VAT Incl'!C87</f>
        <v>Lodosoit</v>
      </c>
      <c r="B59" s="552">
        <f t="shared" si="5"/>
        <v>53</v>
      </c>
      <c r="C59" s="528" t="str">
        <f>'PUMP PRICES RETAIL VAT Incl'!C58</f>
        <v>Mandera</v>
      </c>
      <c r="D59" s="529">
        <f>'PUMP PRICES RETAIL VAT Incl'!D58</f>
        <v>182.61692991784562</v>
      </c>
      <c r="E59" s="529">
        <v>0</v>
      </c>
      <c r="F59" s="529">
        <f t="shared" si="0"/>
        <v>169.08974992393112</v>
      </c>
      <c r="G59" s="529">
        <f>'PUMP PRICES RETAIL VAT Incl'!E58</f>
        <v>185.26860546921083</v>
      </c>
      <c r="H59" s="529">
        <v>0</v>
      </c>
      <c r="I59" s="529">
        <f t="shared" si="1"/>
        <v>171.54500506408408</v>
      </c>
      <c r="J59" s="529">
        <f>'PUMP PRICES RETAIL VAT Incl'!F58</f>
        <v>182.47209456701319</v>
      </c>
      <c r="K59" s="529">
        <v>0</v>
      </c>
      <c r="L59" s="529">
        <f t="shared" si="2"/>
        <v>168.95564311760478</v>
      </c>
      <c r="M59" s="909"/>
      <c r="N59" s="571" t="str">
        <f t="shared" si="4"/>
        <v>NO</v>
      </c>
      <c r="AB59" s="159"/>
    </row>
    <row r="60" spans="1:28">
      <c r="A60" s="392" t="str">
        <f>'PUMP PRICES RETAIL VAT Incl'!C88</f>
        <v>Naivasha</v>
      </c>
      <c r="B60" s="552">
        <f t="shared" si="5"/>
        <v>54</v>
      </c>
      <c r="C60" s="528" t="str">
        <f>'PUMP PRICES RETAIL VAT Incl'!C59</f>
        <v>Matuu</v>
      </c>
      <c r="D60" s="529">
        <f>'PUMP PRICES RETAIL VAT Incl'!D59</f>
        <v>170.4722757682959</v>
      </c>
      <c r="E60" s="529">
        <v>0</v>
      </c>
      <c r="F60" s="529">
        <f t="shared" si="0"/>
        <v>157.84469978545917</v>
      </c>
      <c r="G60" s="529">
        <f>'PUMP PRICES RETAIL VAT Incl'!E59</f>
        <v>173.12395131966113</v>
      </c>
      <c r="H60" s="529">
        <v>0</v>
      </c>
      <c r="I60" s="529">
        <f t="shared" si="1"/>
        <v>160.29995492561216</v>
      </c>
      <c r="J60" s="529">
        <f>'PUMP PRICES RETAIL VAT Incl'!F59</f>
        <v>170.32744041746349</v>
      </c>
      <c r="K60" s="529">
        <v>0</v>
      </c>
      <c r="L60" s="529">
        <f t="shared" si="2"/>
        <v>157.71059297913285</v>
      </c>
      <c r="M60" s="909"/>
      <c r="N60" s="571" t="str">
        <f t="shared" si="4"/>
        <v>NO</v>
      </c>
      <c r="AB60" s="159"/>
    </row>
    <row r="61" spans="1:28">
      <c r="A61" s="392" t="str">
        <f>'PUMP PRICES RETAIL VAT Incl'!C89</f>
        <v>Marigat</v>
      </c>
      <c r="B61" s="552">
        <f t="shared" si="5"/>
        <v>55</v>
      </c>
      <c r="C61" s="528" t="str">
        <f>'PUMP PRICES RETAIL VAT Incl'!C60</f>
        <v>Merti</v>
      </c>
      <c r="D61" s="529">
        <f>'PUMP PRICES RETAIL VAT Incl'!D60</f>
        <v>174.92172308186898</v>
      </c>
      <c r="E61" s="529">
        <v>0</v>
      </c>
      <c r="F61" s="529">
        <f t="shared" si="0"/>
        <v>161.96455840913794</v>
      </c>
      <c r="G61" s="529">
        <f>'PUMP PRICES RETAIL VAT Incl'!E60</f>
        <v>177.57339863323421</v>
      </c>
      <c r="H61" s="529">
        <v>0</v>
      </c>
      <c r="I61" s="529">
        <f t="shared" si="1"/>
        <v>164.41981354929092</v>
      </c>
      <c r="J61" s="529">
        <f>'PUMP PRICES RETAIL VAT Incl'!F60</f>
        <v>174.77688773103654</v>
      </c>
      <c r="K61" s="529">
        <v>0</v>
      </c>
      <c r="L61" s="529">
        <f t="shared" si="2"/>
        <v>161.83045160281159</v>
      </c>
      <c r="M61" s="578"/>
      <c r="N61" s="571" t="str">
        <f t="shared" si="4"/>
        <v>NO</v>
      </c>
      <c r="AB61" s="159"/>
    </row>
    <row r="62" spans="1:28">
      <c r="A62" s="392" t="str">
        <f>'PUMP PRICES RETAIL VAT Incl'!C90</f>
        <v xml:space="preserve">Kabarnet </v>
      </c>
      <c r="B62" s="552">
        <f t="shared" si="5"/>
        <v>56</v>
      </c>
      <c r="C62" s="528" t="str">
        <f>'PUMP PRICES RETAIL VAT Incl'!C61</f>
        <v>Oldonyiro</v>
      </c>
      <c r="D62" s="529">
        <f>'PUMP PRICES RETAIL VAT Incl'!D61</f>
        <v>171.93546631025453</v>
      </c>
      <c r="E62" s="529">
        <v>0</v>
      </c>
      <c r="F62" s="529">
        <f t="shared" si="0"/>
        <v>159.19950584282824</v>
      </c>
      <c r="G62" s="529">
        <f>'PUMP PRICES RETAIL VAT Incl'!E61</f>
        <v>174.58714186161976</v>
      </c>
      <c r="H62" s="529">
        <v>0</v>
      </c>
      <c r="I62" s="529">
        <f t="shared" si="1"/>
        <v>161.65476098298126</v>
      </c>
      <c r="J62" s="529">
        <f>'PUMP PRICES RETAIL VAT Incl'!F61</f>
        <v>171.7806309594221</v>
      </c>
      <c r="K62" s="529">
        <v>0</v>
      </c>
      <c r="L62" s="529">
        <f t="shared" si="2"/>
        <v>159.05613977724266</v>
      </c>
      <c r="M62" s="909"/>
      <c r="N62" s="571" t="str">
        <f t="shared" si="4"/>
        <v>NO</v>
      </c>
      <c r="AB62" s="159"/>
    </row>
    <row r="63" spans="1:28">
      <c r="A63" s="392" t="str">
        <f>'PUMP PRICES RETAIL VAT Incl'!C91</f>
        <v>Maralal</v>
      </c>
      <c r="B63" s="552">
        <f t="shared" si="5"/>
        <v>57</v>
      </c>
      <c r="C63" s="528" t="str">
        <f>'PUMP PRICES RETAIL VAT Incl'!C62</f>
        <v>Eldas</v>
      </c>
      <c r="D63" s="529">
        <f>'PUMP PRICES RETAIL VAT Incl'!D62</f>
        <v>180.61078359922982</v>
      </c>
      <c r="E63" s="529">
        <v>0</v>
      </c>
      <c r="F63" s="529">
        <f t="shared" si="0"/>
        <v>167.2322070363239</v>
      </c>
      <c r="G63" s="529">
        <f>'PUMP PRICES RETAIL VAT Incl'!E62</f>
        <v>183.2724591505951</v>
      </c>
      <c r="H63" s="529">
        <v>0</v>
      </c>
      <c r="I63" s="529">
        <f t="shared" si="1"/>
        <v>169.69672143573618</v>
      </c>
      <c r="J63" s="529">
        <f>'PUMP PRICES RETAIL VAT Incl'!F62</f>
        <v>180.46594824839744</v>
      </c>
      <c r="K63" s="529">
        <v>0</v>
      </c>
      <c r="L63" s="529">
        <f t="shared" si="2"/>
        <v>167.09810022999761</v>
      </c>
      <c r="M63" s="909"/>
      <c r="N63" s="571" t="str">
        <f t="shared" si="4"/>
        <v>NO</v>
      </c>
      <c r="AB63" s="159"/>
    </row>
    <row r="64" spans="1:28" s="392" customFormat="1">
      <c r="A64" s="392" t="str">
        <f>'PUMP PRICES RETAIL VAT Incl'!C94</f>
        <v>Eldoret</v>
      </c>
      <c r="B64" s="552">
        <f t="shared" si="5"/>
        <v>58</v>
      </c>
      <c r="C64" s="528" t="str">
        <f>'PUMP PRICES RETAIL VAT Incl'!C63</f>
        <v>Bute</v>
      </c>
      <c r="D64" s="529">
        <f>'PUMP PRICES RETAIL VAT Incl'!D63</f>
        <v>177.64847710269433</v>
      </c>
      <c r="E64" s="529">
        <v>0</v>
      </c>
      <c r="F64" s="529">
        <f t="shared" si="0"/>
        <v>164.4893306506429</v>
      </c>
      <c r="G64" s="529">
        <f>'PUMP PRICES RETAIL VAT Incl'!E63</f>
        <v>180.31015265405955</v>
      </c>
      <c r="H64" s="529">
        <v>0</v>
      </c>
      <c r="I64" s="529">
        <f t="shared" si="1"/>
        <v>166.95384505005512</v>
      </c>
      <c r="J64" s="529">
        <f>'PUMP PRICES RETAIL VAT Incl'!F63</f>
        <v>177.50364175186189</v>
      </c>
      <c r="K64" s="529">
        <v>0</v>
      </c>
      <c r="L64" s="529">
        <f t="shared" si="2"/>
        <v>164.35522384431655</v>
      </c>
      <c r="M64" s="926"/>
      <c r="N64" s="571" t="str">
        <f t="shared" si="4"/>
        <v>NO</v>
      </c>
    </row>
    <row r="65" spans="1:28" s="360" customFormat="1">
      <c r="A65" s="392" t="str">
        <f>'PUMP PRICES RETAIL VAT Incl'!C95</f>
        <v>Kiplombe</v>
      </c>
      <c r="B65" s="552">
        <f t="shared" si="5"/>
        <v>59</v>
      </c>
      <c r="C65" s="528" t="str">
        <f>'PUMP PRICES RETAIL VAT Incl'!C64</f>
        <v>Hadado</v>
      </c>
      <c r="D65" s="529">
        <f>'PUMP PRICES RETAIL VAT Incl'!D64</f>
        <v>176.23318711089354</v>
      </c>
      <c r="E65" s="529">
        <v>0</v>
      </c>
      <c r="F65" s="529">
        <f t="shared" si="0"/>
        <v>163.17887695453103</v>
      </c>
      <c r="G65" s="529">
        <f>'PUMP PRICES RETAIL VAT Incl'!E64</f>
        <v>178.89486266225876</v>
      </c>
      <c r="H65" s="529">
        <v>0</v>
      </c>
      <c r="I65" s="529">
        <f t="shared" si="1"/>
        <v>165.64339135394329</v>
      </c>
      <c r="J65" s="529">
        <f>'PUMP PRICES RETAIL VAT Incl'!F64</f>
        <v>176.0883517600611</v>
      </c>
      <c r="K65" s="529">
        <v>0</v>
      </c>
      <c r="L65" s="529">
        <f t="shared" si="2"/>
        <v>163.04477014820472</v>
      </c>
      <c r="M65" s="911"/>
      <c r="N65" s="571" t="str">
        <f t="shared" si="4"/>
        <v>NO</v>
      </c>
    </row>
    <row r="66" spans="1:28" s="360" customFormat="1">
      <c r="A66" s="392" t="str">
        <f>'PUMP PRICES RETAIL VAT Incl'!C96</f>
        <v>Iten</v>
      </c>
      <c r="B66" s="552">
        <f t="shared" si="5"/>
        <v>60</v>
      </c>
      <c r="C66" s="528" t="str">
        <f>'PUMP PRICES RETAIL VAT Incl'!C65</f>
        <v>Mai Mahiu</v>
      </c>
      <c r="D66" s="529">
        <f>'PUMP PRICES RETAIL VAT Incl'!D65</f>
        <v>169.69376751592853</v>
      </c>
      <c r="E66" s="529">
        <v>0</v>
      </c>
      <c r="F66" s="529">
        <f t="shared" si="0"/>
        <v>157.12385881104493</v>
      </c>
      <c r="G66" s="529">
        <f>'PUMP PRICES RETAIL VAT Incl'!E65</f>
        <v>172.35544306729378</v>
      </c>
      <c r="H66" s="529">
        <v>0</v>
      </c>
      <c r="I66" s="529">
        <f t="shared" si="1"/>
        <v>159.58837321045718</v>
      </c>
      <c r="J66" s="529">
        <f>'PUMP PRICES RETAIL VAT Incl'!F65</f>
        <v>169.54893216509612</v>
      </c>
      <c r="K66" s="529">
        <v>0</v>
      </c>
      <c r="L66" s="529">
        <f t="shared" si="2"/>
        <v>156.98975200471861</v>
      </c>
      <c r="M66" s="911"/>
      <c r="N66" s="571" t="str">
        <f t="shared" si="4"/>
        <v>NO</v>
      </c>
    </row>
    <row r="67" spans="1:28" s="360" customFormat="1">
      <c r="A67" s="392" t="str">
        <f>'PUMP PRICES RETAIL VAT Incl'!C97</f>
        <v>Naiberi</v>
      </c>
      <c r="B67" s="552">
        <f t="shared" si="5"/>
        <v>61</v>
      </c>
      <c r="C67" s="528" t="str">
        <f>'PUMP PRICES RETAIL VAT Incl'!C66</f>
        <v>Doldo</v>
      </c>
      <c r="D67" s="529">
        <f>'PUMP PRICES RETAIL VAT Incl'!D66</f>
        <v>172.26681988628036</v>
      </c>
      <c r="E67" s="529">
        <v>0</v>
      </c>
      <c r="F67" s="529">
        <f t="shared" si="0"/>
        <v>159.50631470951885</v>
      </c>
      <c r="G67" s="529">
        <f>'PUMP PRICES RETAIL VAT Incl'!E66</f>
        <v>174.92849543764561</v>
      </c>
      <c r="H67" s="529">
        <v>0</v>
      </c>
      <c r="I67" s="529">
        <f t="shared" si="1"/>
        <v>161.9708291089311</v>
      </c>
      <c r="J67" s="529">
        <f>'PUMP PRICES RETAIL VAT Incl'!F66</f>
        <v>172.12198453544795</v>
      </c>
      <c r="K67" s="529">
        <v>0</v>
      </c>
      <c r="L67" s="529">
        <f t="shared" si="2"/>
        <v>159.37220790319253</v>
      </c>
      <c r="M67" s="911"/>
      <c r="N67" s="571" t="str">
        <f t="shared" si="4"/>
        <v>NO</v>
      </c>
    </row>
    <row r="68" spans="1:28" s="360" customFormat="1">
      <c r="A68" s="392" t="str">
        <f>'PUMP PRICES RETAIL VAT Incl'!C98</f>
        <v>Kesses</v>
      </c>
      <c r="B68" s="552">
        <f t="shared" si="5"/>
        <v>62</v>
      </c>
      <c r="C68" s="528" t="str">
        <f>'PUMP PRICES RETAIL VAT Incl'!C67</f>
        <v>Lamuria</v>
      </c>
      <c r="D68" s="529">
        <f>'PUMP PRICES RETAIL VAT Incl'!D67</f>
        <v>171.39251053359732</v>
      </c>
      <c r="E68" s="529">
        <v>0</v>
      </c>
      <c r="F68" s="529">
        <f t="shared" si="0"/>
        <v>158.6967690125901</v>
      </c>
      <c r="G68" s="529">
        <f>'PUMP PRICES RETAIL VAT Incl'!E67</f>
        <v>174.04418608496258</v>
      </c>
      <c r="H68" s="529">
        <v>0</v>
      </c>
      <c r="I68" s="529">
        <f t="shared" si="1"/>
        <v>161.15202415274311</v>
      </c>
      <c r="J68" s="529">
        <f>'PUMP PRICES RETAIL VAT Incl'!F67</f>
        <v>171.23767518276492</v>
      </c>
      <c r="K68" s="529">
        <v>0</v>
      </c>
      <c r="L68" s="529">
        <f t="shared" si="2"/>
        <v>158.55340294700454</v>
      </c>
      <c r="M68" s="911"/>
      <c r="N68" s="571" t="str">
        <f t="shared" si="4"/>
        <v>NO</v>
      </c>
    </row>
    <row r="69" spans="1:28">
      <c r="A69" s="392" t="str">
        <f>'PUMP PRICES RETAIL VAT Incl'!C99</f>
        <v>Kapsabet</v>
      </c>
      <c r="B69" s="552">
        <f t="shared" si="5"/>
        <v>63</v>
      </c>
      <c r="C69" s="528" t="e">
        <f>'PUMP PRICES RETAIL VAT Incl'!#REF!</f>
        <v>#REF!</v>
      </c>
      <c r="D69" s="529" t="e">
        <f>'PUMP PRICES RETAIL VAT Incl'!#REF!</f>
        <v>#REF!</v>
      </c>
      <c r="E69" s="529">
        <v>0</v>
      </c>
      <c r="F69" s="529" t="e">
        <f t="shared" si="0"/>
        <v>#REF!</v>
      </c>
      <c r="G69" s="529" t="e">
        <f>'PUMP PRICES RETAIL VAT Incl'!#REF!</f>
        <v>#REF!</v>
      </c>
      <c r="H69" s="529">
        <v>0</v>
      </c>
      <c r="I69" s="529" t="e">
        <f t="shared" si="1"/>
        <v>#REF!</v>
      </c>
      <c r="J69" s="529" t="e">
        <f>'PUMP PRICES RETAIL VAT Incl'!#REF!</f>
        <v>#REF!</v>
      </c>
      <c r="K69" s="529">
        <v>0</v>
      </c>
      <c r="L69" s="529" t="e">
        <f t="shared" si="2"/>
        <v>#REF!</v>
      </c>
      <c r="M69" s="909"/>
      <c r="N69" s="571" t="e">
        <f t="shared" si="4"/>
        <v>#REF!</v>
      </c>
      <c r="AB69" s="159"/>
    </row>
    <row r="70" spans="1:28">
      <c r="A70" s="392" t="str">
        <f>'PUMP PRICES RETAIL VAT Incl'!C100</f>
        <v>Webuye</v>
      </c>
      <c r="B70" s="552">
        <f t="shared" si="5"/>
        <v>64</v>
      </c>
      <c r="C70" s="528" t="str">
        <f>'PUMP PRICES RETAIL VAT Incl'!C68</f>
        <v>Sipili</v>
      </c>
      <c r="D70" s="529">
        <f>'PUMP PRICES RETAIL VAT Incl'!D68</f>
        <v>172.25484474874094</v>
      </c>
      <c r="E70" s="529">
        <v>0</v>
      </c>
      <c r="F70" s="529">
        <f t="shared" si="0"/>
        <v>159.49522661920457</v>
      </c>
      <c r="G70" s="529">
        <f>'PUMP PRICES RETAIL VAT Incl'!E68</f>
        <v>174.91652030010616</v>
      </c>
      <c r="H70" s="529">
        <v>0</v>
      </c>
      <c r="I70" s="529">
        <f t="shared" si="1"/>
        <v>161.9597410186168</v>
      </c>
      <c r="J70" s="529">
        <f>'PUMP PRICES RETAIL VAT Incl'!F68</f>
        <v>172.1100093979085</v>
      </c>
      <c r="K70" s="529">
        <v>0</v>
      </c>
      <c r="L70" s="529">
        <f t="shared" si="2"/>
        <v>159.36111981287823</v>
      </c>
      <c r="M70" s="909"/>
      <c r="N70" s="571" t="str">
        <f t="shared" si="4"/>
        <v>NO</v>
      </c>
      <c r="AB70" s="159"/>
    </row>
    <row r="71" spans="1:28">
      <c r="A71" s="392" t="str">
        <f>'PUMP PRICES RETAIL VAT Incl'!C101</f>
        <v>Kitale</v>
      </c>
      <c r="B71" s="552">
        <f t="shared" si="5"/>
        <v>65</v>
      </c>
      <c r="C71" s="528" t="str">
        <f>'PUMP PRICES RETAIL VAT Incl'!C69</f>
        <v>Marimanti</v>
      </c>
      <c r="D71" s="529">
        <f>'PUMP PRICES RETAIL VAT Incl'!D69</f>
        <v>171.8775657600967</v>
      </c>
      <c r="E71" s="529">
        <v>0</v>
      </c>
      <c r="F71" s="529">
        <f t="shared" si="0"/>
        <v>159.14589422231174</v>
      </c>
      <c r="G71" s="529">
        <f>'PUMP PRICES RETAIL VAT Incl'!E69</f>
        <v>174.53924131146192</v>
      </c>
      <c r="H71" s="529">
        <v>0</v>
      </c>
      <c r="I71" s="529">
        <f t="shared" si="1"/>
        <v>161.61040862172399</v>
      </c>
      <c r="J71" s="529">
        <f>'PUMP PRICES RETAIL VAT Incl'!F69</f>
        <v>171.73273040926426</v>
      </c>
      <c r="K71" s="529">
        <v>0</v>
      </c>
      <c r="L71" s="529">
        <f t="shared" si="2"/>
        <v>159.01178741598542</v>
      </c>
      <c r="M71" s="909"/>
      <c r="N71" s="571" t="str">
        <f t="shared" si="4"/>
        <v>NO</v>
      </c>
      <c r="AB71" s="159"/>
    </row>
    <row r="72" spans="1:28">
      <c r="A72" s="392" t="str">
        <f>'PUMP PRICES RETAIL VAT Incl'!C102</f>
        <v xml:space="preserve">Kapenguria </v>
      </c>
      <c r="B72" s="552">
        <f t="shared" si="5"/>
        <v>66</v>
      </c>
      <c r="C72" s="528" t="str">
        <f>'PUMP PRICES RETAIL VAT Incl'!C70</f>
        <v>Mutuobare</v>
      </c>
      <c r="D72" s="529">
        <f>'PUMP PRICES RETAIL VAT Incl'!D70</f>
        <v>171.21683374558444</v>
      </c>
      <c r="E72" s="529">
        <v>0</v>
      </c>
      <c r="F72" s="529">
        <f t="shared" ref="F72:F135" si="6">(D72-E72)/1.08</f>
        <v>158.53410531998557</v>
      </c>
      <c r="G72" s="529">
        <f>'PUMP PRICES RETAIL VAT Incl'!E70</f>
        <v>173.87850929694963</v>
      </c>
      <c r="H72" s="529">
        <v>0</v>
      </c>
      <c r="I72" s="529">
        <f t="shared" ref="I72:I135" si="7">(G72-H72)/1.08</f>
        <v>160.99861971939779</v>
      </c>
      <c r="J72" s="529">
        <f>'PUMP PRICES RETAIL VAT Incl'!F70</f>
        <v>171.07199839475197</v>
      </c>
      <c r="K72" s="529">
        <v>0</v>
      </c>
      <c r="L72" s="529">
        <f t="shared" ref="L72:L135" si="8">(J72-K72)/1.08</f>
        <v>158.39999851365923</v>
      </c>
      <c r="M72" s="909"/>
      <c r="N72" s="571" t="str">
        <f t="shared" si="4"/>
        <v>NO</v>
      </c>
      <c r="AB72" s="159"/>
    </row>
    <row r="73" spans="1:28">
      <c r="A73" s="392" t="str">
        <f>'PUMP PRICES RETAIL VAT Incl'!C103</f>
        <v>Bungoma</v>
      </c>
      <c r="B73" s="552">
        <f t="shared" ref="B73:B80" si="9">1+B72</f>
        <v>67</v>
      </c>
      <c r="C73" s="528" t="str">
        <f>'PUMP PRICES RETAIL VAT Incl'!C71</f>
        <v>North Horr</v>
      </c>
      <c r="D73" s="529">
        <f>'PUMP PRICES RETAIL VAT Incl'!D71</f>
        <v>178.38105994244333</v>
      </c>
      <c r="E73" s="529">
        <v>0</v>
      </c>
      <c r="F73" s="529">
        <f t="shared" si="6"/>
        <v>165.16764809485491</v>
      </c>
      <c r="G73" s="529">
        <f>'PUMP PRICES RETAIL VAT Incl'!E71</f>
        <v>181.04273549380855</v>
      </c>
      <c r="H73" s="529">
        <v>0</v>
      </c>
      <c r="I73" s="529">
        <f t="shared" si="7"/>
        <v>167.63216249426716</v>
      </c>
      <c r="J73" s="529">
        <f>'PUMP PRICES RETAIL VAT Incl'!F71</f>
        <v>178.23622459161089</v>
      </c>
      <c r="K73" s="529">
        <v>0</v>
      </c>
      <c r="L73" s="529">
        <f t="shared" si="8"/>
        <v>165.0335412885286</v>
      </c>
      <c r="M73" s="909"/>
      <c r="N73" s="571" t="str">
        <f t="shared" ref="N73:N136" si="10">IF(C73=A73, "YES","NO")</f>
        <v>NO</v>
      </c>
      <c r="P73" s="159" t="s">
        <v>63</v>
      </c>
      <c r="AB73" s="159"/>
    </row>
    <row r="74" spans="1:28">
      <c r="A74" s="392" t="str">
        <f>'PUMP PRICES RETAIL VAT Incl'!C104</f>
        <v>Moiben</v>
      </c>
      <c r="B74" s="552">
        <f t="shared" si="9"/>
        <v>68</v>
      </c>
      <c r="C74" s="528" t="str">
        <f>'PUMP PRICES RETAIL VAT Incl'!C72</f>
        <v>Maikona</v>
      </c>
      <c r="D74" s="529">
        <f>'PUMP PRICES RETAIL VAT Incl'!D72</f>
        <v>176.99972022572149</v>
      </c>
      <c r="E74" s="529">
        <v>0</v>
      </c>
      <c r="F74" s="529">
        <f t="shared" si="6"/>
        <v>163.888629838631</v>
      </c>
      <c r="G74" s="529">
        <f>'PUMP PRICES RETAIL VAT Incl'!E72</f>
        <v>179.66139577708671</v>
      </c>
      <c r="H74" s="529">
        <v>0</v>
      </c>
      <c r="I74" s="529">
        <f t="shared" si="7"/>
        <v>166.35314423804323</v>
      </c>
      <c r="J74" s="529">
        <f>'PUMP PRICES RETAIL VAT Incl'!F72</f>
        <v>176.85488487488905</v>
      </c>
      <c r="K74" s="529">
        <v>0</v>
      </c>
      <c r="L74" s="529">
        <f t="shared" si="8"/>
        <v>163.75452303230466</v>
      </c>
      <c r="M74" s="909"/>
      <c r="N74" s="571" t="str">
        <f t="shared" si="10"/>
        <v>NO</v>
      </c>
      <c r="AB74" s="159"/>
    </row>
    <row r="75" spans="1:28" s="163" customFormat="1">
      <c r="A75" s="392" t="str">
        <f>'PUMP PRICES RETAIL VAT Incl'!C105</f>
        <v>Matunda</v>
      </c>
      <c r="B75" s="552">
        <f t="shared" si="9"/>
        <v>69</v>
      </c>
      <c r="C75" s="528" t="str">
        <f>'PUMP PRICES RETAIL VAT Incl'!C73</f>
        <v>Kalacha</v>
      </c>
      <c r="D75" s="529">
        <f>'PUMP PRICES RETAIL VAT Incl'!D73</f>
        <v>177.54267600237867</v>
      </c>
      <c r="E75" s="529">
        <v>0</v>
      </c>
      <c r="F75" s="529">
        <f t="shared" si="6"/>
        <v>164.39136666886913</v>
      </c>
      <c r="G75" s="529">
        <f>'PUMP PRICES RETAIL VAT Incl'!E73</f>
        <v>180.20435155374386</v>
      </c>
      <c r="H75" s="529">
        <v>0</v>
      </c>
      <c r="I75" s="529">
        <f t="shared" si="7"/>
        <v>166.85588106828135</v>
      </c>
      <c r="J75" s="529">
        <f>'PUMP PRICES RETAIL VAT Incl'!F73</f>
        <v>177.39784065154623</v>
      </c>
      <c r="K75" s="529">
        <v>0</v>
      </c>
      <c r="L75" s="529">
        <f t="shared" si="8"/>
        <v>164.25725986254281</v>
      </c>
      <c r="M75" s="578"/>
      <c r="N75" s="571" t="str">
        <f t="shared" si="10"/>
        <v>NO</v>
      </c>
    </row>
    <row r="76" spans="1:28" s="163" customFormat="1">
      <c r="A76" s="392" t="str">
        <f>'PUMP PRICES RETAIL VAT Incl'!C106</f>
        <v>Burnt Forest</v>
      </c>
      <c r="B76" s="552">
        <f t="shared" si="9"/>
        <v>70</v>
      </c>
      <c r="C76" s="528" t="str">
        <f>'PUMP PRICES RETAIL VAT Incl'!C74</f>
        <v>Loyangalani</v>
      </c>
      <c r="D76" s="529">
        <f>'PUMP PRICES RETAIL VAT Incl'!D74</f>
        <v>177.61255169007595</v>
      </c>
      <c r="E76" s="529">
        <v>0</v>
      </c>
      <c r="F76" s="529">
        <f t="shared" si="6"/>
        <v>164.45606637969993</v>
      </c>
      <c r="G76" s="529">
        <f>'PUMP PRICES RETAIL VAT Incl'!E74</f>
        <v>180.26422724144115</v>
      </c>
      <c r="H76" s="529">
        <v>0</v>
      </c>
      <c r="I76" s="529">
        <f t="shared" si="7"/>
        <v>166.91132151985289</v>
      </c>
      <c r="J76" s="529">
        <f>'PUMP PRICES RETAIL VAT Incl'!F74</f>
        <v>177.46771633924351</v>
      </c>
      <c r="K76" s="529">
        <v>0</v>
      </c>
      <c r="L76" s="529">
        <f t="shared" si="8"/>
        <v>164.32195957337362</v>
      </c>
      <c r="M76" s="578"/>
      <c r="N76" s="571" t="str">
        <f t="shared" si="10"/>
        <v>NO</v>
      </c>
    </row>
    <row r="77" spans="1:28">
      <c r="A77" s="392" t="str">
        <f>'PUMP PRICES RETAIL VAT Incl'!C107</f>
        <v>Tambach</v>
      </c>
      <c r="B77" s="552">
        <f t="shared" si="9"/>
        <v>71</v>
      </c>
      <c r="C77" s="528" t="str">
        <f>'PUMP PRICES RETAIL VAT Incl'!C75</f>
        <v>Turbi</v>
      </c>
      <c r="D77" s="529">
        <f>'PUMP PRICES RETAIL VAT Incl'!D75</f>
        <v>177.41292462698408</v>
      </c>
      <c r="E77" s="529">
        <v>0</v>
      </c>
      <c r="F77" s="529">
        <f t="shared" si="6"/>
        <v>164.27122650646672</v>
      </c>
      <c r="G77" s="529">
        <f>'PUMP PRICES RETAIL VAT Incl'!E75</f>
        <v>180.0746001783493</v>
      </c>
      <c r="H77" s="529">
        <v>0</v>
      </c>
      <c r="I77" s="529">
        <f t="shared" si="7"/>
        <v>166.73574090587897</v>
      </c>
      <c r="J77" s="529">
        <f>'PUMP PRICES RETAIL VAT Incl'!F75</f>
        <v>177.26808927615164</v>
      </c>
      <c r="K77" s="529">
        <v>0</v>
      </c>
      <c r="L77" s="529">
        <f t="shared" si="8"/>
        <v>164.1371197001404</v>
      </c>
      <c r="M77" s="909"/>
      <c r="N77" s="571" t="str">
        <f t="shared" si="10"/>
        <v>NO</v>
      </c>
      <c r="AB77" s="159"/>
    </row>
    <row r="78" spans="1:28">
      <c r="A78" s="392" t="str">
        <f>'PUMP PRICES RETAIL VAT Incl'!C108</f>
        <v>Kapsowar</v>
      </c>
      <c r="B78" s="552">
        <f t="shared" si="9"/>
        <v>72</v>
      </c>
      <c r="C78" s="528" t="str">
        <f>'PUMP PRICES RETAIL VAT Incl'!C76</f>
        <v>Laisamis</v>
      </c>
      <c r="D78" s="529">
        <f>'PUMP PRICES RETAIL VAT Incl'!D76</f>
        <v>174.61629491846151</v>
      </c>
      <c r="E78" s="529">
        <v>0</v>
      </c>
      <c r="F78" s="529">
        <f t="shared" si="6"/>
        <v>161.681754554131</v>
      </c>
      <c r="G78" s="529">
        <f>'PUMP PRICES RETAIL VAT Incl'!E76</f>
        <v>177.2779704698267</v>
      </c>
      <c r="H78" s="529">
        <v>0</v>
      </c>
      <c r="I78" s="529">
        <f t="shared" si="7"/>
        <v>164.14626895354323</v>
      </c>
      <c r="J78" s="529">
        <f>'PUMP PRICES RETAIL VAT Incl'!F76</f>
        <v>174.47145956762904</v>
      </c>
      <c r="K78" s="529">
        <v>0</v>
      </c>
      <c r="L78" s="529">
        <f t="shared" si="8"/>
        <v>161.54764774780466</v>
      </c>
      <c r="M78" s="909"/>
      <c r="N78" s="571" t="str">
        <f t="shared" si="10"/>
        <v>NO</v>
      </c>
      <c r="AB78" s="159"/>
    </row>
    <row r="79" spans="1:28">
      <c r="A79" s="392" t="str">
        <f>'PUMP PRICES RETAIL VAT Incl'!C109</f>
        <v>Chebara</v>
      </c>
      <c r="B79" s="552">
        <f t="shared" si="9"/>
        <v>73</v>
      </c>
      <c r="C79" s="528" t="str">
        <f>'PUMP PRICES RETAIL VAT Incl'!C77</f>
        <v>Merille</v>
      </c>
      <c r="D79" s="529">
        <f>'PUMP PRICES RETAIL VAT Incl'!D77</f>
        <v>174.32086675505397</v>
      </c>
      <c r="E79" s="529">
        <v>0</v>
      </c>
      <c r="F79" s="529">
        <f t="shared" si="6"/>
        <v>161.40820995838328</v>
      </c>
      <c r="G79" s="529">
        <f>'PUMP PRICES RETAIL VAT Incl'!E77</f>
        <v>176.98254230641919</v>
      </c>
      <c r="H79" s="529">
        <v>0</v>
      </c>
      <c r="I79" s="529">
        <f t="shared" si="7"/>
        <v>163.87272435779553</v>
      </c>
      <c r="J79" s="529">
        <f>'PUMP PRICES RETAIL VAT Incl'!F77</f>
        <v>174.17603140422156</v>
      </c>
      <c r="K79" s="529">
        <v>0</v>
      </c>
      <c r="L79" s="529">
        <f t="shared" si="8"/>
        <v>161.27410315205699</v>
      </c>
      <c r="M79" s="909"/>
      <c r="N79" s="571" t="str">
        <f t="shared" si="10"/>
        <v>NO</v>
      </c>
      <c r="AB79" s="159"/>
    </row>
    <row r="80" spans="1:28">
      <c r="A80" s="392" t="str">
        <f>'PUMP PRICES RETAIL VAT Incl'!C110</f>
        <v>Kimwarer</v>
      </c>
      <c r="B80" s="552">
        <f t="shared" si="9"/>
        <v>74</v>
      </c>
      <c r="C80" s="528" t="str">
        <f>'PUMP PRICES RETAIL VAT Incl'!C78</f>
        <v>Korr</v>
      </c>
      <c r="D80" s="529">
        <f>'PUMP PRICES RETAIL VAT Incl'!D78</f>
        <v>175.56047995884182</v>
      </c>
      <c r="E80" s="529">
        <v>0</v>
      </c>
      <c r="F80" s="529">
        <f t="shared" si="6"/>
        <v>162.55599996189056</v>
      </c>
      <c r="G80" s="529">
        <f>'PUMP PRICES RETAIL VAT Incl'!E78</f>
        <v>178.22215551020702</v>
      </c>
      <c r="H80" s="529">
        <v>0</v>
      </c>
      <c r="I80" s="529">
        <f t="shared" si="7"/>
        <v>165.02051436130279</v>
      </c>
      <c r="J80" s="529">
        <f>'PUMP PRICES RETAIL VAT Incl'!F78</f>
        <v>175.41564460800939</v>
      </c>
      <c r="K80" s="529">
        <v>0</v>
      </c>
      <c r="L80" s="529">
        <f t="shared" si="8"/>
        <v>162.42189315556425</v>
      </c>
      <c r="M80" s="909"/>
      <c r="N80" s="571" t="str">
        <f t="shared" si="10"/>
        <v>NO</v>
      </c>
      <c r="AB80" s="159"/>
    </row>
    <row r="81" spans="1:28">
      <c r="A81" s="392" t="str">
        <f>'PUMP PRICES RETAIL VAT Incl'!C111</f>
        <v>Timboroa</v>
      </c>
      <c r="B81" s="567">
        <f t="shared" ref="B81:B136" si="11">1+B80</f>
        <v>75</v>
      </c>
      <c r="C81" s="568" t="str">
        <f>'PUMP PRICES RETAIL VAT Incl'!C79</f>
        <v>Nakuru</v>
      </c>
      <c r="D81" s="569">
        <f>'PUMP PRICES RETAIL VAT Incl'!D79</f>
        <v>168.76890177700642</v>
      </c>
      <c r="E81" s="569">
        <v>0</v>
      </c>
      <c r="F81" s="569">
        <f t="shared" si="6"/>
        <v>156.26750164537631</v>
      </c>
      <c r="G81" s="569">
        <f>'PUMP PRICES RETAIL VAT Incl'!E79</f>
        <v>171.72410054451069</v>
      </c>
      <c r="H81" s="569">
        <v>0</v>
      </c>
      <c r="I81" s="569">
        <f t="shared" si="7"/>
        <v>159.00379680047286</v>
      </c>
      <c r="J81" s="569">
        <f>'PUMP PRICES RETAIL VAT Incl'!F79</f>
        <v>168.92527275731763</v>
      </c>
      <c r="K81" s="569">
        <v>0</v>
      </c>
      <c r="L81" s="569">
        <f t="shared" si="8"/>
        <v>156.41228959010891</v>
      </c>
      <c r="M81" s="909"/>
      <c r="N81" s="571" t="str">
        <f t="shared" si="10"/>
        <v>NO</v>
      </c>
      <c r="AB81" s="159"/>
    </row>
    <row r="82" spans="1:28">
      <c r="A82" s="392" t="str">
        <f>'PUMP PRICES RETAIL VAT Incl'!C112</f>
        <v>Nandi Hills</v>
      </c>
      <c r="B82" s="552">
        <f t="shared" si="11"/>
        <v>76</v>
      </c>
      <c r="C82" s="528" t="str">
        <f>'PUMP PRICES RETAIL VAT Incl'!C80</f>
        <v>Gilgil</v>
      </c>
      <c r="D82" s="529">
        <f>'PUMP PRICES RETAIL VAT Incl'!D80</f>
        <v>168.73306811189681</v>
      </c>
      <c r="E82" s="529">
        <v>0</v>
      </c>
      <c r="F82" s="529">
        <f t="shared" si="6"/>
        <v>156.23432232583036</v>
      </c>
      <c r="G82" s="529">
        <f>'PUMP PRICES RETAIL VAT Incl'!E80</f>
        <v>171.68826687940108</v>
      </c>
      <c r="H82" s="529">
        <v>0</v>
      </c>
      <c r="I82" s="529">
        <f t="shared" si="7"/>
        <v>158.97061748092693</v>
      </c>
      <c r="J82" s="529">
        <f>'PUMP PRICES RETAIL VAT Incl'!F80</f>
        <v>168.88943909220802</v>
      </c>
      <c r="K82" s="529">
        <v>0</v>
      </c>
      <c r="L82" s="529">
        <f t="shared" si="8"/>
        <v>156.37911027056296</v>
      </c>
      <c r="M82" s="909"/>
      <c r="N82" s="571" t="str">
        <f t="shared" si="10"/>
        <v>NO</v>
      </c>
      <c r="AB82" s="159"/>
    </row>
    <row r="83" spans="1:28">
      <c r="A83" s="392" t="str">
        <f>'PUMP PRICES RETAIL VAT Incl'!C113</f>
        <v>Kaiboi</v>
      </c>
      <c r="B83" s="552">
        <f t="shared" si="11"/>
        <v>77</v>
      </c>
      <c r="C83" s="528" t="str">
        <f>'PUMP PRICES RETAIL VAT Incl'!C81</f>
        <v>Mogotio</v>
      </c>
      <c r="D83" s="529">
        <f>'PUMP PRICES RETAIL VAT Incl'!D81</f>
        <v>168.7222904881113</v>
      </c>
      <c r="E83" s="529">
        <v>0</v>
      </c>
      <c r="F83" s="529">
        <f t="shared" si="6"/>
        <v>156.22434304454748</v>
      </c>
      <c r="G83" s="529">
        <f>'PUMP PRICES RETAIL VAT Incl'!E81</f>
        <v>171.67748925561557</v>
      </c>
      <c r="H83" s="529">
        <v>0</v>
      </c>
      <c r="I83" s="529">
        <f t="shared" si="7"/>
        <v>158.96063819964402</v>
      </c>
      <c r="J83" s="529">
        <f>'PUMP PRICES RETAIL VAT Incl'!F81</f>
        <v>168.87866146842251</v>
      </c>
      <c r="K83" s="529">
        <v>0</v>
      </c>
      <c r="L83" s="529">
        <f t="shared" si="8"/>
        <v>156.36913098928008</v>
      </c>
      <c r="M83" s="909"/>
      <c r="N83" s="571" t="str">
        <f t="shared" si="10"/>
        <v>NO</v>
      </c>
      <c r="AB83" s="159"/>
    </row>
    <row r="84" spans="1:28">
      <c r="A84" s="392" t="str">
        <f>'PUMP PRICES RETAIL VAT Incl'!C114</f>
        <v>Kiminini</v>
      </c>
      <c r="B84" s="552">
        <f t="shared" si="11"/>
        <v>78</v>
      </c>
      <c r="C84" s="528" t="str">
        <f>'PUMP PRICES RETAIL VAT Incl'!C82</f>
        <v>Molo</v>
      </c>
      <c r="D84" s="529">
        <f>'PUMP PRICES RETAIL VAT Incl'!D82</f>
        <v>168.80372142337961</v>
      </c>
      <c r="E84" s="529">
        <v>0</v>
      </c>
      <c r="F84" s="529">
        <f t="shared" si="6"/>
        <v>156.29974205868481</v>
      </c>
      <c r="G84" s="529">
        <f>'PUMP PRICES RETAIL VAT Incl'!E82</f>
        <v>171.75892019088388</v>
      </c>
      <c r="H84" s="529">
        <v>0</v>
      </c>
      <c r="I84" s="529">
        <f t="shared" si="7"/>
        <v>159.03603721378136</v>
      </c>
      <c r="J84" s="529">
        <f>'PUMP PRICES RETAIL VAT Incl'!F82</f>
        <v>168.97009240369084</v>
      </c>
      <c r="K84" s="529">
        <v>0</v>
      </c>
      <c r="L84" s="529">
        <f t="shared" si="8"/>
        <v>156.45378926267671</v>
      </c>
      <c r="M84" s="909"/>
      <c r="N84" s="571" t="str">
        <f t="shared" si="10"/>
        <v>NO</v>
      </c>
      <c r="AB84" s="159"/>
    </row>
    <row r="85" spans="1:28">
      <c r="A85" s="392" t="str">
        <f>'PUMP PRICES RETAIL VAT Incl'!C115</f>
        <v>Endebes</v>
      </c>
      <c r="B85" s="552">
        <f t="shared" si="11"/>
        <v>79</v>
      </c>
      <c r="C85" s="528" t="str">
        <f>'PUMP PRICES RETAIL VAT Incl'!C83</f>
        <v>Olenguruone</v>
      </c>
      <c r="D85" s="529">
        <f>'PUMP PRICES RETAIL VAT Incl'!D83</f>
        <v>169.51277387801815</v>
      </c>
      <c r="E85" s="529">
        <v>0</v>
      </c>
      <c r="F85" s="529">
        <f t="shared" si="6"/>
        <v>156.95627210927606</v>
      </c>
      <c r="G85" s="529">
        <f>'PUMP PRICES RETAIL VAT Incl'!E83</f>
        <v>172.46797264552242</v>
      </c>
      <c r="H85" s="529">
        <v>0</v>
      </c>
      <c r="I85" s="529">
        <f t="shared" si="7"/>
        <v>159.6925672643726</v>
      </c>
      <c r="J85" s="529">
        <f>'PUMP PRICES RETAIL VAT Incl'!F83</f>
        <v>169.66914485832936</v>
      </c>
      <c r="K85" s="529">
        <v>0</v>
      </c>
      <c r="L85" s="529">
        <f t="shared" si="8"/>
        <v>157.10106005400866</v>
      </c>
      <c r="M85" s="909"/>
      <c r="N85" s="571" t="str">
        <f t="shared" si="10"/>
        <v>NO</v>
      </c>
      <c r="AB85" s="159"/>
    </row>
    <row r="86" spans="1:28">
      <c r="A86" s="392" t="str">
        <f>'PUMP PRICES RETAIL VAT Incl'!C116</f>
        <v>Saboti</v>
      </c>
      <c r="B86" s="552">
        <f t="shared" si="11"/>
        <v>80</v>
      </c>
      <c r="C86" s="528" t="str">
        <f>'PUMP PRICES RETAIL VAT Incl'!C84</f>
        <v>Londiani</v>
      </c>
      <c r="D86" s="529">
        <f>'PUMP PRICES RETAIL VAT Incl'!D84</f>
        <v>169.02849627530432</v>
      </c>
      <c r="E86" s="529">
        <v>0</v>
      </c>
      <c r="F86" s="529">
        <f t="shared" si="6"/>
        <v>156.50786692157806</v>
      </c>
      <c r="G86" s="529">
        <f>'PUMP PRICES RETAIL VAT Incl'!E84</f>
        <v>171.98369504280859</v>
      </c>
      <c r="H86" s="529">
        <v>0</v>
      </c>
      <c r="I86" s="529">
        <f t="shared" si="7"/>
        <v>159.2441620766746</v>
      </c>
      <c r="J86" s="529">
        <f>'PUMP PRICES RETAIL VAT Incl'!F84</f>
        <v>169.18486725561553</v>
      </c>
      <c r="K86" s="529">
        <v>0</v>
      </c>
      <c r="L86" s="529">
        <f t="shared" si="8"/>
        <v>156.65265486631066</v>
      </c>
      <c r="M86" s="909"/>
      <c r="N86" s="571" t="str">
        <f t="shared" si="10"/>
        <v>NO</v>
      </c>
      <c r="AB86" s="159"/>
    </row>
    <row r="87" spans="1:28">
      <c r="A87" s="392" t="str">
        <f>'PUMP PRICES RETAIL VAT Incl'!C117</f>
        <v>Chepareria</v>
      </c>
      <c r="B87" s="552">
        <f t="shared" si="11"/>
        <v>81</v>
      </c>
      <c r="C87" s="528" t="str">
        <f>'PUMP PRICES RETAIL VAT Incl'!C85</f>
        <v>Nyahururu</v>
      </c>
      <c r="D87" s="529">
        <f>'PUMP PRICES RETAIL VAT Incl'!D85</f>
        <v>169.01771865151881</v>
      </c>
      <c r="E87" s="529">
        <v>0</v>
      </c>
      <c r="F87" s="529">
        <f t="shared" si="6"/>
        <v>156.49788764029518</v>
      </c>
      <c r="G87" s="529">
        <f>'PUMP PRICES RETAIL VAT Incl'!E85</f>
        <v>171.97291741902308</v>
      </c>
      <c r="H87" s="529">
        <v>0</v>
      </c>
      <c r="I87" s="529">
        <f t="shared" si="7"/>
        <v>159.23418279539172</v>
      </c>
      <c r="J87" s="529">
        <f>'PUMP PRICES RETAIL VAT Incl'!F85</f>
        <v>169.17408963183001</v>
      </c>
      <c r="K87" s="529">
        <v>0</v>
      </c>
      <c r="L87" s="529">
        <f t="shared" si="8"/>
        <v>156.64267558502777</v>
      </c>
      <c r="M87" s="909"/>
      <c r="N87" s="571" t="str">
        <f t="shared" si="10"/>
        <v>NO</v>
      </c>
      <c r="AB87" s="159"/>
    </row>
    <row r="88" spans="1:28">
      <c r="A88" s="392" t="str">
        <f>'PUMP PRICES RETAIL VAT Incl'!C118</f>
        <v>Lomut</v>
      </c>
      <c r="B88" s="552">
        <f t="shared" si="11"/>
        <v>82</v>
      </c>
      <c r="C88" s="528" t="str">
        <f>'PUMP PRICES RETAIL VAT Incl'!C86</f>
        <v>Archers Post</v>
      </c>
      <c r="D88" s="529">
        <f>'PUMP PRICES RETAIL VAT Incl'!D86</f>
        <v>172.00397542313328</v>
      </c>
      <c r="E88" s="529">
        <v>0</v>
      </c>
      <c r="F88" s="529">
        <f t="shared" si="6"/>
        <v>159.2629402066049</v>
      </c>
      <c r="G88" s="529">
        <f>'PUMP PRICES RETAIL VAT Incl'!E86</f>
        <v>174.95917419063755</v>
      </c>
      <c r="H88" s="529">
        <v>0</v>
      </c>
      <c r="I88" s="529">
        <f t="shared" si="7"/>
        <v>161.99923536170144</v>
      </c>
      <c r="J88" s="529">
        <f>'PUMP PRICES RETAIL VAT Incl'!F86</f>
        <v>172.16034640344449</v>
      </c>
      <c r="K88" s="529">
        <v>0</v>
      </c>
      <c r="L88" s="529">
        <f t="shared" si="8"/>
        <v>159.40772815133749</v>
      </c>
      <c r="M88" s="909"/>
      <c r="N88" s="571" t="str">
        <f t="shared" si="10"/>
        <v>NO</v>
      </c>
      <c r="AB88" s="159"/>
    </row>
    <row r="89" spans="1:28">
      <c r="A89" s="392" t="str">
        <f>'PUMP PRICES RETAIL VAT Incl'!C119</f>
        <v>Burgich</v>
      </c>
      <c r="B89" s="552">
        <f t="shared" si="11"/>
        <v>83</v>
      </c>
      <c r="C89" s="528" t="str">
        <f>'PUMP PRICES RETAIL VAT Incl'!C87</f>
        <v>Lodosoit</v>
      </c>
      <c r="D89" s="529">
        <f>'PUMP PRICES RETAIL VAT Incl'!D87</f>
        <v>173.10186211398707</v>
      </c>
      <c r="E89" s="529">
        <v>0</v>
      </c>
      <c r="F89" s="529">
        <f t="shared" si="6"/>
        <v>160.27950195739541</v>
      </c>
      <c r="G89" s="529">
        <f>'PUMP PRICES RETAIL VAT Incl'!E87</f>
        <v>176.05706088149134</v>
      </c>
      <c r="H89" s="529">
        <v>0</v>
      </c>
      <c r="I89" s="529">
        <f t="shared" si="7"/>
        <v>163.01579711249198</v>
      </c>
      <c r="J89" s="529">
        <f>'PUMP PRICES RETAIL VAT Incl'!F87</f>
        <v>173.2582330942983</v>
      </c>
      <c r="K89" s="529">
        <v>0</v>
      </c>
      <c r="L89" s="529">
        <f t="shared" si="8"/>
        <v>160.42428990212804</v>
      </c>
      <c r="M89" s="909"/>
      <c r="N89" s="571" t="str">
        <f t="shared" si="10"/>
        <v>NO</v>
      </c>
      <c r="AB89" s="159"/>
    </row>
    <row r="90" spans="1:28">
      <c r="A90" s="392" t="str">
        <f>'PUMP PRICES RETAIL VAT Incl'!C120</f>
        <v>Sigor</v>
      </c>
      <c r="B90" s="552">
        <f t="shared" si="11"/>
        <v>84</v>
      </c>
      <c r="C90" s="528" t="str">
        <f>'PUMP PRICES RETAIL VAT Incl'!C88</f>
        <v>Naivasha</v>
      </c>
      <c r="D90" s="529">
        <f>'PUMP PRICES RETAIL VAT Incl'!D88</f>
        <v>169.09956947675556</v>
      </c>
      <c r="E90" s="529">
        <v>0</v>
      </c>
      <c r="F90" s="529">
        <f t="shared" si="6"/>
        <v>156.57367544144032</v>
      </c>
      <c r="G90" s="529">
        <f>'PUMP PRICES RETAIL VAT Incl'!E88</f>
        <v>172.04476824425984</v>
      </c>
      <c r="H90" s="529">
        <v>0</v>
      </c>
      <c r="I90" s="529">
        <f t="shared" si="7"/>
        <v>159.30071133727762</v>
      </c>
      <c r="J90" s="529">
        <f>'PUMP PRICES RETAIL VAT Incl'!F88</f>
        <v>169.25594045706677</v>
      </c>
      <c r="K90" s="529">
        <v>0</v>
      </c>
      <c r="L90" s="529">
        <f t="shared" si="8"/>
        <v>156.71846338617291</v>
      </c>
      <c r="M90" s="909"/>
      <c r="N90" s="571" t="str">
        <f t="shared" si="10"/>
        <v>NO</v>
      </c>
      <c r="AB90" s="159"/>
    </row>
    <row r="91" spans="1:28">
      <c r="A91" s="392" t="str">
        <f>'PUMP PRICES RETAIL VAT Incl'!C121</f>
        <v>Lodwar</v>
      </c>
      <c r="B91" s="552">
        <f t="shared" si="11"/>
        <v>85</v>
      </c>
      <c r="C91" s="528" t="str">
        <f>'PUMP PRICES RETAIL VAT Incl'!C89</f>
        <v>Marigat</v>
      </c>
      <c r="D91" s="529">
        <f>'PUMP PRICES RETAIL VAT Incl'!D89</f>
        <v>169.5007987404787</v>
      </c>
      <c r="E91" s="529">
        <v>0</v>
      </c>
      <c r="F91" s="529">
        <f t="shared" si="6"/>
        <v>156.94518401896175</v>
      </c>
      <c r="G91" s="529">
        <f>'PUMP PRICES RETAIL VAT Incl'!E89</f>
        <v>172.44599750798298</v>
      </c>
      <c r="H91" s="529">
        <v>0</v>
      </c>
      <c r="I91" s="529">
        <f t="shared" si="7"/>
        <v>159.67221991479906</v>
      </c>
      <c r="J91" s="529">
        <f>'PUMP PRICES RETAIL VAT Incl'!F89</f>
        <v>169.65716972078991</v>
      </c>
      <c r="K91" s="529">
        <v>0</v>
      </c>
      <c r="L91" s="529">
        <f t="shared" si="8"/>
        <v>157.08997196369435</v>
      </c>
      <c r="M91" s="909"/>
      <c r="N91" s="571" t="str">
        <f t="shared" si="10"/>
        <v>NO</v>
      </c>
      <c r="AB91" s="159"/>
    </row>
    <row r="92" spans="1:28">
      <c r="A92" s="392" t="str">
        <f>'PUMP PRICES RETAIL VAT Incl'!C122</f>
        <v>Kakuma</v>
      </c>
      <c r="B92" s="552">
        <f t="shared" si="11"/>
        <v>86</v>
      </c>
      <c r="C92" s="528" t="str">
        <f>'PUMP PRICES RETAIL VAT Incl'!C90</f>
        <v xml:space="preserve">Kabarnet </v>
      </c>
      <c r="D92" s="529">
        <f>'PUMP PRICES RETAIL VAT Incl'!D90</f>
        <v>169.98585396697806</v>
      </c>
      <c r="E92" s="529">
        <v>0</v>
      </c>
      <c r="F92" s="529">
        <f t="shared" si="6"/>
        <v>157.39430922868337</v>
      </c>
      <c r="G92" s="529">
        <f>'PUMP PRICES RETAIL VAT Incl'!E90</f>
        <v>172.94105273448233</v>
      </c>
      <c r="H92" s="529">
        <v>0</v>
      </c>
      <c r="I92" s="529">
        <f t="shared" si="7"/>
        <v>160.13060438377991</v>
      </c>
      <c r="J92" s="529">
        <f>'PUMP PRICES RETAIL VAT Incl'!F90</f>
        <v>170.14222494728926</v>
      </c>
      <c r="K92" s="529">
        <v>0</v>
      </c>
      <c r="L92" s="529">
        <f t="shared" si="8"/>
        <v>157.53909717341597</v>
      </c>
      <c r="M92" s="909"/>
      <c r="N92" s="571" t="str">
        <f t="shared" si="10"/>
        <v>NO</v>
      </c>
      <c r="AB92" s="159"/>
    </row>
    <row r="93" spans="1:28">
      <c r="A93" s="392" t="str">
        <f>'PUMP PRICES RETAIL VAT Incl'!C123</f>
        <v>Lokichar</v>
      </c>
      <c r="B93" s="552">
        <f t="shared" si="11"/>
        <v>87</v>
      </c>
      <c r="C93" s="528" t="str">
        <f>'PUMP PRICES RETAIL VAT Incl'!C91</f>
        <v>Maralal</v>
      </c>
      <c r="D93" s="529">
        <f>'PUMP PRICES RETAIL VAT Incl'!D91</f>
        <v>171.07176552029239</v>
      </c>
      <c r="E93" s="529">
        <v>0</v>
      </c>
      <c r="F93" s="529">
        <f t="shared" si="6"/>
        <v>158.39978288915961</v>
      </c>
      <c r="G93" s="529">
        <f>'PUMP PRICES RETAIL VAT Incl'!E91</f>
        <v>174.02696428779666</v>
      </c>
      <c r="H93" s="529">
        <v>0</v>
      </c>
      <c r="I93" s="529">
        <f t="shared" si="7"/>
        <v>161.13607804425615</v>
      </c>
      <c r="J93" s="529">
        <f>'PUMP PRICES RETAIL VAT Incl'!F91</f>
        <v>171.22813650060363</v>
      </c>
      <c r="K93" s="529">
        <v>0</v>
      </c>
      <c r="L93" s="529">
        <f t="shared" si="8"/>
        <v>158.54457083389224</v>
      </c>
      <c r="M93" s="909"/>
      <c r="N93" s="571" t="str">
        <f t="shared" si="10"/>
        <v>NO</v>
      </c>
      <c r="AB93" s="159"/>
    </row>
    <row r="94" spans="1:28">
      <c r="A94" s="392" t="str">
        <f>'PUMP PRICES RETAIL VAT Incl'!C124</f>
        <v>Kalokol</v>
      </c>
      <c r="B94" s="552">
        <f t="shared" si="11"/>
        <v>88</v>
      </c>
      <c r="C94" s="528" t="str">
        <f>'PUMP PRICES RETAIL VAT Incl'!C92</f>
        <v>Wamba</v>
      </c>
      <c r="D94" s="529">
        <f>'PUMP PRICES RETAIL VAT Incl'!D92</f>
        <v>171.91014946035705</v>
      </c>
      <c r="E94" s="529">
        <v>0</v>
      </c>
      <c r="F94" s="529">
        <f t="shared" si="6"/>
        <v>159.1760643151454</v>
      </c>
      <c r="G94" s="529">
        <f>'PUMP PRICES RETAIL VAT Incl'!E92</f>
        <v>174.86534822786132</v>
      </c>
      <c r="H94" s="529">
        <v>0</v>
      </c>
      <c r="I94" s="529">
        <f t="shared" si="7"/>
        <v>161.91235947024194</v>
      </c>
      <c r="J94" s="529">
        <f>'PUMP PRICES RETAIL VAT Incl'!F92</f>
        <v>172.07652044066828</v>
      </c>
      <c r="K94" s="529">
        <v>0</v>
      </c>
      <c r="L94" s="529">
        <f t="shared" si="8"/>
        <v>159.33011151913729</v>
      </c>
      <c r="M94" s="909"/>
      <c r="N94" s="571" t="str">
        <f t="shared" si="10"/>
        <v>NO</v>
      </c>
      <c r="AB94" s="159"/>
    </row>
    <row r="95" spans="1:28" s="163" customFormat="1">
      <c r="A95" s="392" t="str">
        <f>'PUMP PRICES RETAIL VAT Incl'!C125</f>
        <v>Lokori</v>
      </c>
      <c r="B95" s="567">
        <f t="shared" si="11"/>
        <v>89</v>
      </c>
      <c r="C95" s="568" t="str">
        <f>'PUMP PRICES RETAIL VAT Incl'!C94</f>
        <v>Eldoret</v>
      </c>
      <c r="D95" s="569">
        <f>'PUMP PRICES RETAIL VAT Incl'!D94</f>
        <v>169.4710217770064</v>
      </c>
      <c r="E95" s="569">
        <v>0</v>
      </c>
      <c r="F95" s="569">
        <f t="shared" si="6"/>
        <v>156.91761275648739</v>
      </c>
      <c r="G95" s="569">
        <f>'PUMP PRICES RETAIL VAT Incl'!E94</f>
        <v>172.4262205445107</v>
      </c>
      <c r="H95" s="569">
        <v>0</v>
      </c>
      <c r="I95" s="569">
        <f t="shared" si="7"/>
        <v>159.65390791158396</v>
      </c>
      <c r="J95" s="569">
        <f>'PUMP PRICES RETAIL VAT Incl'!F94</f>
        <v>169.63739275731763</v>
      </c>
      <c r="K95" s="569">
        <v>0</v>
      </c>
      <c r="L95" s="569">
        <f t="shared" si="8"/>
        <v>157.07165996047928</v>
      </c>
      <c r="M95" s="578"/>
      <c r="N95" s="571" t="str">
        <f t="shared" si="10"/>
        <v>NO</v>
      </c>
    </row>
    <row r="96" spans="1:28">
      <c r="A96" s="392" t="str">
        <f>'PUMP PRICES RETAIL VAT Incl'!C126</f>
        <v>Lokitaung</v>
      </c>
      <c r="B96" s="552">
        <f t="shared" si="11"/>
        <v>90</v>
      </c>
      <c r="C96" s="528" t="str">
        <f>'PUMP PRICES RETAIL VAT Incl'!C95</f>
        <v>Kiplombe</v>
      </c>
      <c r="D96" s="529">
        <f>'PUMP PRICES RETAIL VAT Incl'!D95</f>
        <v>169.4710217770064</v>
      </c>
      <c r="E96" s="529">
        <v>0</v>
      </c>
      <c r="F96" s="529">
        <f t="shared" si="6"/>
        <v>156.91761275648739</v>
      </c>
      <c r="G96" s="529">
        <f>'PUMP PRICES RETAIL VAT Incl'!E95</f>
        <v>172.4262205445107</v>
      </c>
      <c r="H96" s="529">
        <v>0</v>
      </c>
      <c r="I96" s="529">
        <f t="shared" si="7"/>
        <v>159.65390791158396</v>
      </c>
      <c r="J96" s="529">
        <f>'PUMP PRICES RETAIL VAT Incl'!F95</f>
        <v>169.63739275731763</v>
      </c>
      <c r="K96" s="529">
        <v>0</v>
      </c>
      <c r="L96" s="529">
        <f t="shared" si="8"/>
        <v>157.07165996047928</v>
      </c>
      <c r="M96" s="909"/>
      <c r="N96" s="571" t="str">
        <f t="shared" si="10"/>
        <v>NO</v>
      </c>
      <c r="AB96" s="159"/>
    </row>
    <row r="97" spans="1:28">
      <c r="A97" s="392" t="str">
        <f>'PUMP PRICES RETAIL VAT Incl'!C127</f>
        <v>Kapedo</v>
      </c>
      <c r="B97" s="552">
        <f t="shared" si="11"/>
        <v>91</v>
      </c>
      <c r="C97" s="528" t="str">
        <f>'PUMP PRICES RETAIL VAT Incl'!C96</f>
        <v>Iten</v>
      </c>
      <c r="D97" s="529">
        <f>'PUMP PRICES RETAIL VAT Incl'!D96</f>
        <v>169.4710217770064</v>
      </c>
      <c r="E97" s="529">
        <v>0</v>
      </c>
      <c r="F97" s="529">
        <f t="shared" si="6"/>
        <v>156.91761275648739</v>
      </c>
      <c r="G97" s="529">
        <f>'PUMP PRICES RETAIL VAT Incl'!E96</f>
        <v>172.4262205445107</v>
      </c>
      <c r="H97" s="529">
        <v>0</v>
      </c>
      <c r="I97" s="529">
        <f t="shared" si="7"/>
        <v>159.65390791158396</v>
      </c>
      <c r="J97" s="529">
        <f>'PUMP PRICES RETAIL VAT Incl'!F96</f>
        <v>169.63739275731763</v>
      </c>
      <c r="K97" s="529">
        <v>0</v>
      </c>
      <c r="L97" s="529">
        <f t="shared" si="8"/>
        <v>157.07165996047928</v>
      </c>
      <c r="M97" s="909"/>
      <c r="N97" s="571" t="str">
        <f t="shared" si="10"/>
        <v>NO</v>
      </c>
      <c r="AB97" s="159"/>
    </row>
    <row r="98" spans="1:28">
      <c r="A98" s="392" t="str">
        <f>'PUMP PRICES RETAIL VAT Incl'!C128</f>
        <v>Malaba</v>
      </c>
      <c r="B98" s="552">
        <f t="shared" si="11"/>
        <v>92</v>
      </c>
      <c r="C98" s="528" t="str">
        <f>'PUMP PRICES RETAIL VAT Incl'!C97</f>
        <v>Naiberi</v>
      </c>
      <c r="D98" s="529">
        <f>'PUMP PRICES RETAIL VAT Incl'!D97</f>
        <v>169.4710217770064</v>
      </c>
      <c r="E98" s="529">
        <v>0</v>
      </c>
      <c r="F98" s="529">
        <f t="shared" si="6"/>
        <v>156.91761275648739</v>
      </c>
      <c r="G98" s="529">
        <f>'PUMP PRICES RETAIL VAT Incl'!E97</f>
        <v>172.4262205445107</v>
      </c>
      <c r="H98" s="529">
        <v>0</v>
      </c>
      <c r="I98" s="529">
        <f t="shared" si="7"/>
        <v>159.65390791158396</v>
      </c>
      <c r="J98" s="529">
        <f>'PUMP PRICES RETAIL VAT Incl'!F97</f>
        <v>169.63739275731763</v>
      </c>
      <c r="K98" s="529">
        <v>0</v>
      </c>
      <c r="L98" s="529">
        <f t="shared" si="8"/>
        <v>157.07165996047928</v>
      </c>
      <c r="M98" s="909"/>
      <c r="N98" s="571" t="str">
        <f t="shared" si="10"/>
        <v>NO</v>
      </c>
      <c r="AB98" s="159"/>
    </row>
    <row r="99" spans="1:28">
      <c r="A99" s="392" t="str">
        <f>'PUMP PRICES RETAIL VAT Incl'!C129</f>
        <v>Lokichogio</v>
      </c>
      <c r="B99" s="552">
        <f t="shared" si="11"/>
        <v>93</v>
      </c>
      <c r="C99" s="528" t="str">
        <f>'PUMP PRICES RETAIL VAT Incl'!C98</f>
        <v>Kesses</v>
      </c>
      <c r="D99" s="529">
        <f>'PUMP PRICES RETAIL VAT Incl'!D98</f>
        <v>169.4710217770064</v>
      </c>
      <c r="E99" s="529">
        <v>0</v>
      </c>
      <c r="F99" s="529">
        <f t="shared" si="6"/>
        <v>156.91761275648739</v>
      </c>
      <c r="G99" s="529">
        <f>'PUMP PRICES RETAIL VAT Incl'!E98</f>
        <v>172.4262205445107</v>
      </c>
      <c r="H99" s="529">
        <v>0</v>
      </c>
      <c r="I99" s="529">
        <f t="shared" si="7"/>
        <v>159.65390791158396</v>
      </c>
      <c r="J99" s="529">
        <f>'PUMP PRICES RETAIL VAT Incl'!F98</f>
        <v>169.63739275731763</v>
      </c>
      <c r="K99" s="529">
        <v>0</v>
      </c>
      <c r="L99" s="529">
        <f t="shared" si="8"/>
        <v>157.07165996047928</v>
      </c>
      <c r="M99" s="909"/>
      <c r="N99" s="571" t="str">
        <f t="shared" si="10"/>
        <v>NO</v>
      </c>
      <c r="AB99" s="159"/>
    </row>
    <row r="100" spans="1:28">
      <c r="A100" s="392" t="str">
        <f>'PUMP PRICES RETAIL VAT Incl'!C130</f>
        <v>Ziwa</v>
      </c>
      <c r="B100" s="552">
        <f t="shared" si="11"/>
        <v>94</v>
      </c>
      <c r="C100" s="528" t="str">
        <f>'PUMP PRICES RETAIL VAT Incl'!C99</f>
        <v>Kapsabet</v>
      </c>
      <c r="D100" s="529">
        <f>'PUMP PRICES RETAIL VAT Incl'!D99</f>
        <v>169.48428617580856</v>
      </c>
      <c r="E100" s="529">
        <v>0</v>
      </c>
      <c r="F100" s="529">
        <f t="shared" si="6"/>
        <v>156.92989460723015</v>
      </c>
      <c r="G100" s="529">
        <f>'PUMP PRICES RETAIL VAT Incl'!E99</f>
        <v>172.43948494331286</v>
      </c>
      <c r="H100" s="529">
        <v>0</v>
      </c>
      <c r="I100" s="529">
        <f t="shared" si="7"/>
        <v>159.66618976232672</v>
      </c>
      <c r="J100" s="529">
        <f>'PUMP PRICES RETAIL VAT Incl'!F99</f>
        <v>169.65065715611979</v>
      </c>
      <c r="K100" s="529">
        <v>0</v>
      </c>
      <c r="L100" s="529">
        <f t="shared" si="8"/>
        <v>157.08394181122202</v>
      </c>
      <c r="M100" s="909"/>
      <c r="N100" s="571" t="str">
        <f t="shared" si="10"/>
        <v>NO</v>
      </c>
      <c r="AB100" s="159"/>
    </row>
    <row r="101" spans="1:28">
      <c r="A101" s="392" t="str">
        <f>'PUMP PRICES RETAIL VAT Incl'!C131</f>
        <v>Soy</v>
      </c>
      <c r="B101" s="552">
        <f t="shared" si="11"/>
        <v>95</v>
      </c>
      <c r="C101" s="528" t="str">
        <f>'PUMP PRICES RETAIL VAT Incl'!C100</f>
        <v>Webuye</v>
      </c>
      <c r="D101" s="529">
        <f>'PUMP PRICES RETAIL VAT Incl'!D100</f>
        <v>169.90749057707117</v>
      </c>
      <c r="E101" s="529">
        <v>0</v>
      </c>
      <c r="F101" s="529">
        <f t="shared" si="6"/>
        <v>157.32175053432516</v>
      </c>
      <c r="G101" s="529">
        <f>'PUMP PRICES RETAIL VAT Incl'!E100</f>
        <v>172.85268934457548</v>
      </c>
      <c r="H101" s="529">
        <v>0</v>
      </c>
      <c r="I101" s="529">
        <f t="shared" si="7"/>
        <v>160.04878643016247</v>
      </c>
      <c r="J101" s="529">
        <f>'PUMP PRICES RETAIL VAT Incl'!F100</f>
        <v>170.06386155738241</v>
      </c>
      <c r="K101" s="529">
        <v>0</v>
      </c>
      <c r="L101" s="529">
        <f t="shared" si="8"/>
        <v>157.46653847905779</v>
      </c>
      <c r="M101" s="909"/>
      <c r="N101" s="571" t="str">
        <f t="shared" si="10"/>
        <v>NO</v>
      </c>
      <c r="AB101" s="159"/>
    </row>
    <row r="102" spans="1:28">
      <c r="A102" s="392" t="str">
        <f>'PUMP PRICES RETAIL VAT Incl'!C132</f>
        <v>Moi's Bridge</v>
      </c>
      <c r="B102" s="552">
        <f t="shared" si="11"/>
        <v>96</v>
      </c>
      <c r="C102" s="528" t="str">
        <f>'PUMP PRICES RETAIL VAT Incl'!C101</f>
        <v>Kitale</v>
      </c>
      <c r="D102" s="529">
        <f>'PUMP PRICES RETAIL VAT Incl'!D101</f>
        <v>169.8376148893739</v>
      </c>
      <c r="E102" s="529">
        <v>0</v>
      </c>
      <c r="F102" s="529">
        <f t="shared" si="6"/>
        <v>157.25705082349432</v>
      </c>
      <c r="G102" s="529">
        <f>'PUMP PRICES RETAIL VAT Incl'!E101</f>
        <v>172.7928136568782</v>
      </c>
      <c r="H102" s="529">
        <v>0</v>
      </c>
      <c r="I102" s="529">
        <f t="shared" si="7"/>
        <v>159.99334597859092</v>
      </c>
      <c r="J102" s="529">
        <f>'PUMP PRICES RETAIL VAT Incl'!F101</f>
        <v>169.99398586968513</v>
      </c>
      <c r="K102" s="529">
        <v>0</v>
      </c>
      <c r="L102" s="529">
        <f t="shared" si="8"/>
        <v>157.40183876822695</v>
      </c>
      <c r="M102" s="909"/>
      <c r="N102" s="571" t="str">
        <f t="shared" si="10"/>
        <v>NO</v>
      </c>
      <c r="AB102" s="159"/>
    </row>
    <row r="103" spans="1:28">
      <c r="A103" s="392" t="str">
        <f>'PUMP PRICES RETAIL VAT Incl'!C133</f>
        <v>Turbo</v>
      </c>
      <c r="B103" s="552">
        <f t="shared" si="11"/>
        <v>97</v>
      </c>
      <c r="C103" s="528" t="str">
        <f>'PUMP PRICES RETAIL VAT Incl'!C102</f>
        <v xml:space="preserve">Kapenguria </v>
      </c>
      <c r="D103" s="529">
        <f>'PUMP PRICES RETAIL VAT Incl'!D102</f>
        <v>170.47439662880726</v>
      </c>
      <c r="E103" s="529">
        <v>0</v>
      </c>
      <c r="F103" s="529">
        <f t="shared" si="6"/>
        <v>157.84666354519189</v>
      </c>
      <c r="G103" s="529">
        <f>'PUMP PRICES RETAIL VAT Incl'!E102</f>
        <v>173.42959539631156</v>
      </c>
      <c r="H103" s="529">
        <v>0</v>
      </c>
      <c r="I103" s="529">
        <f t="shared" si="7"/>
        <v>160.58295870028846</v>
      </c>
      <c r="J103" s="529">
        <f>'PUMP PRICES RETAIL VAT Incl'!F102</f>
        <v>170.63076760911849</v>
      </c>
      <c r="K103" s="529">
        <v>0</v>
      </c>
      <c r="L103" s="529">
        <f t="shared" si="8"/>
        <v>157.99145148992451</v>
      </c>
      <c r="M103" s="909"/>
      <c r="N103" s="571" t="str">
        <f t="shared" si="10"/>
        <v>NO</v>
      </c>
      <c r="AB103" s="159"/>
    </row>
    <row r="104" spans="1:28">
      <c r="A104" s="392" t="str">
        <f>'PUMP PRICES RETAIL VAT Incl'!C134</f>
        <v>Kibish</v>
      </c>
      <c r="B104" s="552">
        <f t="shared" si="11"/>
        <v>98</v>
      </c>
      <c r="C104" s="528" t="str">
        <f>'PUMP PRICES RETAIL VAT Incl'!C103</f>
        <v>Bungoma</v>
      </c>
      <c r="D104" s="529">
        <f>'PUMP PRICES RETAIL VAT Incl'!D103</f>
        <v>170.23884415309709</v>
      </c>
      <c r="E104" s="529">
        <v>0</v>
      </c>
      <c r="F104" s="529">
        <f t="shared" si="6"/>
        <v>157.62855940101582</v>
      </c>
      <c r="G104" s="529">
        <f>'PUMP PRICES RETAIL VAT Incl'!E103</f>
        <v>173.19404292060136</v>
      </c>
      <c r="H104" s="529">
        <v>0</v>
      </c>
      <c r="I104" s="529">
        <f t="shared" si="7"/>
        <v>160.36485455611236</v>
      </c>
      <c r="J104" s="529">
        <f>'PUMP PRICES RETAIL VAT Incl'!F103</f>
        <v>170.3952151334083</v>
      </c>
      <c r="K104" s="529">
        <v>0</v>
      </c>
      <c r="L104" s="529">
        <f t="shared" si="8"/>
        <v>157.77334734574842</v>
      </c>
      <c r="M104" s="909"/>
      <c r="N104" s="571" t="str">
        <f t="shared" si="10"/>
        <v>NO</v>
      </c>
      <c r="AB104" s="159"/>
    </row>
    <row r="105" spans="1:28">
      <c r="A105" s="392" t="str">
        <f>'PUMP PRICES RETAIL VAT Incl'!C135</f>
        <v>Nakalale</v>
      </c>
      <c r="B105" s="552">
        <f t="shared" si="11"/>
        <v>99</v>
      </c>
      <c r="C105" s="528" t="str">
        <f>'PUMP PRICES RETAIL VAT Incl'!C104</f>
        <v>Moiben</v>
      </c>
      <c r="D105" s="529">
        <f>'PUMP PRICES RETAIL VAT Incl'!D104</f>
        <v>169.48428617580856</v>
      </c>
      <c r="E105" s="529">
        <v>0</v>
      </c>
      <c r="F105" s="529">
        <f t="shared" si="6"/>
        <v>156.92989460723015</v>
      </c>
      <c r="G105" s="529">
        <f>'PUMP PRICES RETAIL VAT Incl'!E104</f>
        <v>172.43948494331286</v>
      </c>
      <c r="H105" s="529">
        <v>0</v>
      </c>
      <c r="I105" s="529">
        <f t="shared" si="7"/>
        <v>159.66618976232672</v>
      </c>
      <c r="J105" s="529">
        <f>'PUMP PRICES RETAIL VAT Incl'!F104</f>
        <v>169.65065715611979</v>
      </c>
      <c r="K105" s="529">
        <v>0</v>
      </c>
      <c r="L105" s="529">
        <f t="shared" si="8"/>
        <v>157.08394181122202</v>
      </c>
      <c r="M105" s="909"/>
      <c r="N105" s="571" t="str">
        <f t="shared" si="10"/>
        <v>NO</v>
      </c>
      <c r="AB105" s="159"/>
    </row>
    <row r="106" spans="1:28">
      <c r="A106" s="392" t="str">
        <f>'PUMP PRICES RETAIL VAT Incl'!C136</f>
        <v>Loima</v>
      </c>
      <c r="B106" s="552">
        <f t="shared" si="11"/>
        <v>100</v>
      </c>
      <c r="C106" s="528" t="str">
        <f>'PUMP PRICES RETAIL VAT Incl'!C105</f>
        <v>Matunda</v>
      </c>
      <c r="D106" s="529">
        <f>'PUMP PRICES RETAIL VAT Incl'!D105</f>
        <v>169.46033590072966</v>
      </c>
      <c r="E106" s="529">
        <v>0</v>
      </c>
      <c r="F106" s="529">
        <f t="shared" si="6"/>
        <v>156.90771842660152</v>
      </c>
      <c r="G106" s="529">
        <f>'PUMP PRICES RETAIL VAT Incl'!E105</f>
        <v>172.41553466823396</v>
      </c>
      <c r="H106" s="529">
        <v>0</v>
      </c>
      <c r="I106" s="529">
        <f t="shared" si="7"/>
        <v>159.64401358169809</v>
      </c>
      <c r="J106" s="529">
        <f>'PUMP PRICES RETAIL VAT Incl'!F105</f>
        <v>169.6167068810409</v>
      </c>
      <c r="K106" s="529">
        <v>0</v>
      </c>
      <c r="L106" s="529">
        <f t="shared" si="8"/>
        <v>157.05250637133415</v>
      </c>
      <c r="M106" s="909"/>
      <c r="N106" s="571" t="str">
        <f t="shared" si="10"/>
        <v>NO</v>
      </c>
      <c r="AB106" s="159"/>
    </row>
    <row r="107" spans="1:28">
      <c r="A107" s="392" t="str">
        <f>'PUMP PRICES RETAIL VAT Incl'!C137</f>
        <v>Lokiriama</v>
      </c>
      <c r="B107" s="552">
        <f t="shared" si="11"/>
        <v>101</v>
      </c>
      <c r="C107" s="528" t="str">
        <f>'PUMP PRICES RETAIL VAT Incl'!C106</f>
        <v>Burnt Forest</v>
      </c>
      <c r="D107" s="529">
        <f>'PUMP PRICES RETAIL VAT Incl'!D106</f>
        <v>169.42441048811128</v>
      </c>
      <c r="E107" s="529">
        <v>0</v>
      </c>
      <c r="F107" s="529">
        <f t="shared" si="6"/>
        <v>156.87445415565858</v>
      </c>
      <c r="G107" s="529">
        <f>'PUMP PRICES RETAIL VAT Incl'!E106</f>
        <v>172.37960925561558</v>
      </c>
      <c r="H107" s="529">
        <v>0</v>
      </c>
      <c r="I107" s="529">
        <f t="shared" si="7"/>
        <v>159.61074931075515</v>
      </c>
      <c r="J107" s="529">
        <f>'PUMP PRICES RETAIL VAT Incl'!F106</f>
        <v>169.58078146842251</v>
      </c>
      <c r="K107" s="529">
        <v>0</v>
      </c>
      <c r="L107" s="529">
        <f t="shared" si="8"/>
        <v>157.01924210039121</v>
      </c>
      <c r="M107" s="909"/>
      <c r="N107" s="571" t="str">
        <f t="shared" si="10"/>
        <v>NO</v>
      </c>
      <c r="AB107" s="159"/>
    </row>
    <row r="108" spans="1:28">
      <c r="A108" s="392" t="str">
        <f>'PUMP PRICES RETAIL VAT Incl'!C138</f>
        <v>Kainuk</v>
      </c>
      <c r="B108" s="552">
        <f t="shared" si="11"/>
        <v>102</v>
      </c>
      <c r="C108" s="528" t="str">
        <f>'PUMP PRICES RETAIL VAT Incl'!C107</f>
        <v>Tambach</v>
      </c>
      <c r="D108" s="529">
        <f>'PUMP PRICES RETAIL VAT Incl'!D107</f>
        <v>169.51823645088751</v>
      </c>
      <c r="E108" s="529">
        <v>0</v>
      </c>
      <c r="F108" s="529">
        <f t="shared" si="6"/>
        <v>156.96133004711805</v>
      </c>
      <c r="G108" s="529">
        <f>'PUMP PRICES RETAIL VAT Incl'!E107</f>
        <v>172.47343521839178</v>
      </c>
      <c r="H108" s="529">
        <v>0</v>
      </c>
      <c r="I108" s="529">
        <f t="shared" si="7"/>
        <v>159.6976252022146</v>
      </c>
      <c r="J108" s="529">
        <f>'PUMP PRICES RETAIL VAT Incl'!F107</f>
        <v>169.67460743119872</v>
      </c>
      <c r="K108" s="529">
        <v>0</v>
      </c>
      <c r="L108" s="529">
        <f t="shared" si="8"/>
        <v>157.10611799185065</v>
      </c>
      <c r="M108" s="909"/>
      <c r="N108" s="571" t="str">
        <f t="shared" si="10"/>
        <v>NO</v>
      </c>
      <c r="AB108" s="159"/>
    </row>
    <row r="109" spans="1:28">
      <c r="A109" s="392" t="str">
        <f>'PUMP PRICES RETAIL VAT Incl'!C139</f>
        <v>Kacheliba</v>
      </c>
      <c r="B109" s="552">
        <f t="shared" si="11"/>
        <v>103</v>
      </c>
      <c r="C109" s="528" t="str">
        <f>'PUMP PRICES RETAIL VAT Incl'!C108</f>
        <v>Kapsowar</v>
      </c>
      <c r="D109" s="529">
        <f>'PUMP PRICES RETAIL VAT Incl'!D108</f>
        <v>169.97934140230794</v>
      </c>
      <c r="E109" s="529">
        <v>0</v>
      </c>
      <c r="F109" s="529">
        <f t="shared" si="6"/>
        <v>157.38827907621103</v>
      </c>
      <c r="G109" s="529">
        <f>'PUMP PRICES RETAIL VAT Incl'!E108</f>
        <v>172.93454016981221</v>
      </c>
      <c r="H109" s="529">
        <v>0</v>
      </c>
      <c r="I109" s="529">
        <f t="shared" si="7"/>
        <v>160.12457423130758</v>
      </c>
      <c r="J109" s="529">
        <f>'PUMP PRICES RETAIL VAT Incl'!F108</f>
        <v>170.13571238261915</v>
      </c>
      <c r="K109" s="529">
        <v>0</v>
      </c>
      <c r="L109" s="529">
        <f t="shared" si="8"/>
        <v>157.53306702094363</v>
      </c>
      <c r="M109" s="909"/>
      <c r="N109" s="571" t="str">
        <f t="shared" si="10"/>
        <v>NO</v>
      </c>
      <c r="AB109" s="159"/>
    </row>
    <row r="110" spans="1:28">
      <c r="A110" s="392" t="str">
        <f>'PUMP PRICES RETAIL VAT Incl'!C140</f>
        <v>Kiwawa</v>
      </c>
      <c r="B110" s="552">
        <f t="shared" si="11"/>
        <v>104</v>
      </c>
      <c r="C110" s="528" t="str">
        <f>'PUMP PRICES RETAIL VAT Incl'!C109</f>
        <v>Chebara</v>
      </c>
      <c r="D110" s="529">
        <f>'PUMP PRICES RETAIL VAT Incl'!D109</f>
        <v>169.8615651644528</v>
      </c>
      <c r="E110" s="529">
        <v>0</v>
      </c>
      <c r="F110" s="529">
        <f t="shared" si="6"/>
        <v>157.27922700412296</v>
      </c>
      <c r="G110" s="529">
        <f>'PUMP PRICES RETAIL VAT Incl'!E109</f>
        <v>172.8167639319571</v>
      </c>
      <c r="H110" s="529">
        <v>0</v>
      </c>
      <c r="I110" s="529">
        <f t="shared" si="7"/>
        <v>160.01552215921953</v>
      </c>
      <c r="J110" s="529">
        <f>'PUMP PRICES RETAIL VAT Incl'!F109</f>
        <v>170.01793614476404</v>
      </c>
      <c r="K110" s="529">
        <v>0</v>
      </c>
      <c r="L110" s="529">
        <f t="shared" si="8"/>
        <v>157.42401494885559</v>
      </c>
      <c r="M110" s="909"/>
      <c r="N110" s="571" t="str">
        <f t="shared" si="10"/>
        <v>NO</v>
      </c>
      <c r="AB110" s="159"/>
    </row>
    <row r="111" spans="1:28">
      <c r="A111" s="392" t="str">
        <f>'PUMP PRICES RETAIL VAT Incl'!C141</f>
        <v>Ortum</v>
      </c>
      <c r="B111" s="552">
        <f t="shared" si="11"/>
        <v>105</v>
      </c>
      <c r="C111" s="528" t="str">
        <f>'PUMP PRICES RETAIL VAT Incl'!C110</f>
        <v>Kimwarer</v>
      </c>
      <c r="D111" s="529">
        <f>'PUMP PRICES RETAIL VAT Incl'!D110</f>
        <v>169.78971433921609</v>
      </c>
      <c r="E111" s="529">
        <v>0</v>
      </c>
      <c r="F111" s="529">
        <f t="shared" si="6"/>
        <v>157.21269846223711</v>
      </c>
      <c r="G111" s="529">
        <f>'PUMP PRICES RETAIL VAT Incl'!E110</f>
        <v>172.74491310672036</v>
      </c>
      <c r="H111" s="529">
        <v>0</v>
      </c>
      <c r="I111" s="529">
        <f t="shared" si="7"/>
        <v>159.94899361733366</v>
      </c>
      <c r="J111" s="529">
        <f>'PUMP PRICES RETAIL VAT Incl'!F110</f>
        <v>169.9460853195273</v>
      </c>
      <c r="K111" s="529">
        <v>0</v>
      </c>
      <c r="L111" s="529">
        <f t="shared" si="8"/>
        <v>157.35748640696971</v>
      </c>
      <c r="M111" s="909"/>
      <c r="N111" s="571" t="str">
        <f t="shared" si="10"/>
        <v>NO</v>
      </c>
      <c r="AB111" s="159"/>
    </row>
    <row r="112" spans="1:28">
      <c r="A112" s="392" t="str">
        <f>'PUMP PRICES RETAIL VAT Incl'!C142</f>
        <v>Kachibora</v>
      </c>
      <c r="B112" s="552">
        <f t="shared" si="11"/>
        <v>106</v>
      </c>
      <c r="C112" s="528" t="str">
        <f>'PUMP PRICES RETAIL VAT Incl'!C111</f>
        <v>Timboroa</v>
      </c>
      <c r="D112" s="529">
        <f>'PUMP PRICES RETAIL VAT Incl'!D111</f>
        <v>169.70786351397931</v>
      </c>
      <c r="E112" s="529">
        <v>0</v>
      </c>
      <c r="F112" s="529">
        <f t="shared" si="6"/>
        <v>157.13691066109195</v>
      </c>
      <c r="G112" s="529">
        <f>'PUMP PRICES RETAIL VAT Incl'!E111</f>
        <v>172.6630622814836</v>
      </c>
      <c r="H112" s="529">
        <v>0</v>
      </c>
      <c r="I112" s="529">
        <f t="shared" si="7"/>
        <v>159.87320581618852</v>
      </c>
      <c r="J112" s="529">
        <f>'PUMP PRICES RETAIL VAT Incl'!F111</f>
        <v>169.86423449429057</v>
      </c>
      <c r="K112" s="529">
        <v>0</v>
      </c>
      <c r="L112" s="529">
        <f t="shared" si="8"/>
        <v>157.2816986058246</v>
      </c>
      <c r="M112" s="909"/>
      <c r="N112" s="571" t="str">
        <f t="shared" si="10"/>
        <v>NO</v>
      </c>
      <c r="AB112" s="159"/>
    </row>
    <row r="113" spans="1:28">
      <c r="A113" s="392" t="str">
        <f>'PUMP PRICES RETAIL VAT Incl'!C143</f>
        <v>Kwanza</v>
      </c>
      <c r="B113" s="552">
        <f t="shared" si="11"/>
        <v>107</v>
      </c>
      <c r="C113" s="528" t="str">
        <f>'PUMP PRICES RETAIL VAT Incl'!C112</f>
        <v>Nandi Hills</v>
      </c>
      <c r="D113" s="529">
        <f>'PUMP PRICES RETAIL VAT Incl'!D112</f>
        <v>169.67193810136098</v>
      </c>
      <c r="E113" s="529">
        <v>0</v>
      </c>
      <c r="F113" s="529">
        <f t="shared" si="6"/>
        <v>157.10364639014904</v>
      </c>
      <c r="G113" s="529">
        <f>'PUMP PRICES RETAIL VAT Incl'!E112</f>
        <v>172.62713686886525</v>
      </c>
      <c r="H113" s="529">
        <v>0</v>
      </c>
      <c r="I113" s="529">
        <f t="shared" si="7"/>
        <v>159.83994154524558</v>
      </c>
      <c r="J113" s="529">
        <f>'PUMP PRICES RETAIL VAT Incl'!F112</f>
        <v>169.82830908167222</v>
      </c>
      <c r="K113" s="529">
        <v>0</v>
      </c>
      <c r="L113" s="529">
        <f t="shared" si="8"/>
        <v>157.24843433488167</v>
      </c>
      <c r="M113" s="909"/>
      <c r="N113" s="571" t="str">
        <f t="shared" si="10"/>
        <v>NO</v>
      </c>
      <c r="AB113" s="159"/>
    </row>
    <row r="114" spans="1:28">
      <c r="A114" s="392" t="str">
        <f>'PUMP PRICES RETAIL VAT Incl'!C144</f>
        <v>Kaplamai</v>
      </c>
      <c r="B114" s="552">
        <f t="shared" si="11"/>
        <v>108</v>
      </c>
      <c r="C114" s="528" t="str">
        <f>'PUMP PRICES RETAIL VAT Incl'!C113</f>
        <v>Kaiboi</v>
      </c>
      <c r="D114" s="529">
        <f>'PUMP PRICES RETAIL VAT Incl'!D113</f>
        <v>169.53021158842694</v>
      </c>
      <c r="E114" s="529">
        <v>0</v>
      </c>
      <c r="F114" s="529">
        <f t="shared" si="6"/>
        <v>156.97241813743233</v>
      </c>
      <c r="G114" s="529">
        <f>'PUMP PRICES RETAIL VAT Incl'!E113</f>
        <v>172.48541035593124</v>
      </c>
      <c r="H114" s="529">
        <v>0</v>
      </c>
      <c r="I114" s="529">
        <f t="shared" si="7"/>
        <v>159.7087132925289</v>
      </c>
      <c r="J114" s="529">
        <f>'PUMP PRICES RETAIL VAT Incl'!F113</f>
        <v>169.68658256873817</v>
      </c>
      <c r="K114" s="529">
        <v>0</v>
      </c>
      <c r="L114" s="529">
        <f t="shared" si="8"/>
        <v>157.11720608216496</v>
      </c>
      <c r="M114" s="909"/>
      <c r="N114" s="571" t="str">
        <f t="shared" si="10"/>
        <v>NO</v>
      </c>
      <c r="AB114" s="159"/>
    </row>
    <row r="115" spans="1:28">
      <c r="A115" s="392" t="str">
        <f>'PUMP PRICES RETAIL VAT Incl'!C145</f>
        <v>Eldama Ravine</v>
      </c>
      <c r="B115" s="552">
        <f t="shared" si="11"/>
        <v>109</v>
      </c>
      <c r="C115" s="528" t="str">
        <f>'PUMP PRICES RETAIL VAT Incl'!C114</f>
        <v>Kiminini</v>
      </c>
      <c r="D115" s="529">
        <f>'PUMP PRICES RETAIL VAT Incl'!D114</f>
        <v>170.01526681492632</v>
      </c>
      <c r="E115" s="529">
        <v>0</v>
      </c>
      <c r="F115" s="529">
        <f t="shared" si="6"/>
        <v>157.421543347154</v>
      </c>
      <c r="G115" s="529">
        <f>'PUMP PRICES RETAIL VAT Incl'!E114</f>
        <v>172.97046558243059</v>
      </c>
      <c r="H115" s="529">
        <v>0</v>
      </c>
      <c r="I115" s="529">
        <f t="shared" si="7"/>
        <v>160.15783850225054</v>
      </c>
      <c r="J115" s="529">
        <f>'PUMP PRICES RETAIL VAT Incl'!F114</f>
        <v>170.18163779523752</v>
      </c>
      <c r="K115" s="529">
        <v>0</v>
      </c>
      <c r="L115" s="529">
        <f t="shared" si="8"/>
        <v>157.57559055114584</v>
      </c>
      <c r="M115" s="909"/>
      <c r="N115" s="571" t="str">
        <f t="shared" si="10"/>
        <v>NO</v>
      </c>
      <c r="AB115" s="159"/>
    </row>
    <row r="116" spans="1:28">
      <c r="A116" s="392" t="str">
        <f>'PUMP PRICES RETAIL VAT Incl'!C146</f>
        <v>Tenges</v>
      </c>
      <c r="B116" s="552">
        <f t="shared" si="11"/>
        <v>110</v>
      </c>
      <c r="C116" s="528" t="str">
        <f>'PUMP PRICES RETAIL VAT Incl'!C115</f>
        <v>Endebes</v>
      </c>
      <c r="D116" s="529">
        <f>'PUMP PRICES RETAIL VAT Incl'!D115</f>
        <v>170.3685955284916</v>
      </c>
      <c r="E116" s="529">
        <v>0</v>
      </c>
      <c r="F116" s="529">
        <f t="shared" si="6"/>
        <v>157.74869956341814</v>
      </c>
      <c r="G116" s="529">
        <f>'PUMP PRICES RETAIL VAT Incl'!E115</f>
        <v>173.3237942959959</v>
      </c>
      <c r="H116" s="529">
        <v>0</v>
      </c>
      <c r="I116" s="529">
        <f t="shared" si="7"/>
        <v>160.48499471851471</v>
      </c>
      <c r="J116" s="529">
        <f>'PUMP PRICES RETAIL VAT Incl'!F115</f>
        <v>170.52496650880283</v>
      </c>
      <c r="K116" s="529">
        <v>0</v>
      </c>
      <c r="L116" s="529">
        <f t="shared" si="8"/>
        <v>157.89348750815077</v>
      </c>
      <c r="M116" s="909"/>
      <c r="N116" s="571" t="str">
        <f t="shared" si="10"/>
        <v>NO</v>
      </c>
      <c r="AB116" s="159"/>
    </row>
    <row r="117" spans="1:28">
      <c r="A117" s="392" t="str">
        <f>'PUMP PRICES RETAIL VAT Incl'!C147</f>
        <v>Barwessa</v>
      </c>
      <c r="B117" s="552">
        <f t="shared" si="11"/>
        <v>111</v>
      </c>
      <c r="C117" s="528" t="str">
        <f>'PUMP PRICES RETAIL VAT Incl'!C116</f>
        <v>Saboti</v>
      </c>
      <c r="D117" s="529">
        <f>'PUMP PRICES RETAIL VAT Incl'!D116</f>
        <v>170.04921709000521</v>
      </c>
      <c r="E117" s="529">
        <v>0</v>
      </c>
      <c r="F117" s="529">
        <f t="shared" si="6"/>
        <v>157.45297878704184</v>
      </c>
      <c r="G117" s="529">
        <f>'PUMP PRICES RETAIL VAT Incl'!E116</f>
        <v>172.99441585750949</v>
      </c>
      <c r="H117" s="529">
        <v>0</v>
      </c>
      <c r="I117" s="529">
        <f t="shared" si="7"/>
        <v>160.18001468287915</v>
      </c>
      <c r="J117" s="529">
        <f>'PUMP PRICES RETAIL VAT Incl'!F116</f>
        <v>170.20558807031642</v>
      </c>
      <c r="K117" s="529">
        <v>0</v>
      </c>
      <c r="L117" s="529">
        <f t="shared" si="8"/>
        <v>157.59776673177444</v>
      </c>
      <c r="M117" s="909"/>
      <c r="N117" s="571" t="str">
        <f t="shared" si="10"/>
        <v>NO</v>
      </c>
      <c r="AB117" s="159"/>
    </row>
    <row r="118" spans="1:28">
      <c r="A118" s="392" t="str">
        <f>'PUMP PRICES RETAIL VAT Incl'!C148</f>
        <v>Kipsaraman</v>
      </c>
      <c r="B118" s="552">
        <f t="shared" si="11"/>
        <v>112</v>
      </c>
      <c r="C118" s="528" t="str">
        <f>'PUMP PRICES RETAIL VAT Incl'!C117</f>
        <v>Chepareria</v>
      </c>
      <c r="D118" s="529">
        <f>'PUMP PRICES RETAIL VAT Incl'!D117</f>
        <v>170.67599882943858</v>
      </c>
      <c r="E118" s="529">
        <v>0</v>
      </c>
      <c r="F118" s="529">
        <f t="shared" si="6"/>
        <v>158.03333224948017</v>
      </c>
      <c r="G118" s="529">
        <f>'PUMP PRICES RETAIL VAT Incl'!E117</f>
        <v>173.63119759694285</v>
      </c>
      <c r="H118" s="529">
        <v>0</v>
      </c>
      <c r="I118" s="529">
        <f t="shared" si="7"/>
        <v>160.76962740457671</v>
      </c>
      <c r="J118" s="529">
        <f>'PUMP PRICES RETAIL VAT Incl'!F117</f>
        <v>170.83236980974982</v>
      </c>
      <c r="K118" s="529">
        <v>0</v>
      </c>
      <c r="L118" s="529">
        <f t="shared" si="8"/>
        <v>158.1781201942128</v>
      </c>
      <c r="M118" s="909"/>
      <c r="N118" s="571" t="str">
        <f t="shared" si="10"/>
        <v>NO</v>
      </c>
      <c r="AB118" s="159"/>
    </row>
    <row r="119" spans="1:28">
      <c r="A119" s="392" t="str">
        <f>'PUMP PRICES RETAIL VAT Incl'!C149</f>
        <v>Loruk</v>
      </c>
      <c r="B119" s="552">
        <f t="shared" si="11"/>
        <v>113</v>
      </c>
      <c r="C119" s="528" t="str">
        <f>'PUMP PRICES RETAIL VAT Incl'!C118</f>
        <v>Lomut</v>
      </c>
      <c r="D119" s="529">
        <f>'PUMP PRICES RETAIL VAT Incl'!D118</f>
        <v>172.29289102187062</v>
      </c>
      <c r="E119" s="529">
        <v>0</v>
      </c>
      <c r="F119" s="529">
        <f t="shared" si="6"/>
        <v>159.5304546498802</v>
      </c>
      <c r="G119" s="529">
        <f>'PUMP PRICES RETAIL VAT Incl'!E118</f>
        <v>175.24808978937492</v>
      </c>
      <c r="H119" s="529">
        <v>0</v>
      </c>
      <c r="I119" s="529">
        <f t="shared" si="7"/>
        <v>162.26674980497677</v>
      </c>
      <c r="J119" s="529">
        <f>'PUMP PRICES RETAIL VAT Incl'!F118</f>
        <v>172.44926200218188</v>
      </c>
      <c r="K119" s="529">
        <v>0</v>
      </c>
      <c r="L119" s="529">
        <f t="shared" si="8"/>
        <v>159.67524259461285</v>
      </c>
      <c r="M119" s="909"/>
      <c r="N119" s="571" t="str">
        <f t="shared" si="10"/>
        <v>NO</v>
      </c>
      <c r="AB119" s="159"/>
    </row>
    <row r="120" spans="1:28">
      <c r="A120" s="392" t="str">
        <f>'PUMP PRICES RETAIL VAT Incl'!C150</f>
        <v>Kabartonjo</v>
      </c>
      <c r="B120" s="552">
        <f t="shared" si="11"/>
        <v>114</v>
      </c>
      <c r="C120" s="528" t="str">
        <f>'PUMP PRICES RETAIL VAT Incl'!C119</f>
        <v>Burgich</v>
      </c>
      <c r="D120" s="529">
        <f>'PUMP PRICES RETAIL VAT Incl'!D119</f>
        <v>171.08920323070114</v>
      </c>
      <c r="E120" s="529">
        <v>0</v>
      </c>
      <c r="F120" s="529">
        <f t="shared" si="6"/>
        <v>158.41592891731585</v>
      </c>
      <c r="G120" s="529">
        <f>'PUMP PRICES RETAIL VAT Incl'!E119</f>
        <v>174.04440199820544</v>
      </c>
      <c r="H120" s="529">
        <v>0</v>
      </c>
      <c r="I120" s="529">
        <f t="shared" si="7"/>
        <v>161.15222407241245</v>
      </c>
      <c r="J120" s="529">
        <f>'PUMP PRICES RETAIL VAT Incl'!F119</f>
        <v>171.2555742110124</v>
      </c>
      <c r="K120" s="529">
        <v>0</v>
      </c>
      <c r="L120" s="529">
        <f t="shared" si="8"/>
        <v>158.56997612130777</v>
      </c>
      <c r="M120" s="909"/>
      <c r="N120" s="571" t="str">
        <f t="shared" si="10"/>
        <v>NO</v>
      </c>
      <c r="AB120" s="159"/>
    </row>
    <row r="121" spans="1:28">
      <c r="A121" s="392" t="str">
        <f>'PUMP PRICES RETAIL VAT Incl'!C151</f>
        <v>Tindiret</v>
      </c>
      <c r="B121" s="552">
        <f t="shared" si="11"/>
        <v>115</v>
      </c>
      <c r="C121" s="528" t="str">
        <f>'PUMP PRICES RETAIL VAT Incl'!C120</f>
        <v>Sigor</v>
      </c>
      <c r="D121" s="529">
        <f>'PUMP PRICES RETAIL VAT Incl'!D120</f>
        <v>171.21895460609574</v>
      </c>
      <c r="E121" s="529">
        <v>0</v>
      </c>
      <c r="F121" s="529">
        <f t="shared" si="6"/>
        <v>158.53606907971826</v>
      </c>
      <c r="G121" s="529">
        <f>'PUMP PRICES RETAIL VAT Incl'!E120</f>
        <v>174.17415337360003</v>
      </c>
      <c r="H121" s="529">
        <v>0</v>
      </c>
      <c r="I121" s="529">
        <f t="shared" si="7"/>
        <v>161.27236423481483</v>
      </c>
      <c r="J121" s="529">
        <f>'PUMP PRICES RETAIL VAT Incl'!F120</f>
        <v>171.37532558640697</v>
      </c>
      <c r="K121" s="529">
        <v>0</v>
      </c>
      <c r="L121" s="529">
        <f t="shared" si="8"/>
        <v>158.68085702445089</v>
      </c>
      <c r="M121" s="909"/>
      <c r="N121" s="571" t="str">
        <f t="shared" si="10"/>
        <v>NO</v>
      </c>
      <c r="AB121" s="159"/>
    </row>
    <row r="122" spans="1:28">
      <c r="A122" s="392" t="str">
        <f>'PUMP PRICES RETAIL VAT Incl'!C152</f>
        <v>O'lessos</v>
      </c>
      <c r="B122" s="552">
        <f t="shared" si="11"/>
        <v>116</v>
      </c>
      <c r="C122" s="528" t="str">
        <f>'PUMP PRICES RETAIL VAT Incl'!C121</f>
        <v>Lodwar</v>
      </c>
      <c r="D122" s="529">
        <f>'PUMP PRICES RETAIL VAT Incl'!D121</f>
        <v>173.65028046351358</v>
      </c>
      <c r="E122" s="529">
        <v>0</v>
      </c>
      <c r="F122" s="529">
        <f t="shared" si="6"/>
        <v>160.78729672547553</v>
      </c>
      <c r="G122" s="529">
        <f>'PUMP PRICES RETAIL VAT Incl'!E121</f>
        <v>176.60547923101788</v>
      </c>
      <c r="H122" s="529">
        <v>0</v>
      </c>
      <c r="I122" s="529">
        <f t="shared" si="7"/>
        <v>163.5235918805721</v>
      </c>
      <c r="J122" s="529">
        <f>'PUMP PRICES RETAIL VAT Incl'!F121</f>
        <v>173.80665144382482</v>
      </c>
      <c r="K122" s="529">
        <v>0</v>
      </c>
      <c r="L122" s="529">
        <f t="shared" si="8"/>
        <v>160.93208467020816</v>
      </c>
      <c r="M122" s="909"/>
      <c r="N122" s="571" t="str">
        <f t="shared" si="10"/>
        <v>NO</v>
      </c>
      <c r="AB122" s="159"/>
    </row>
    <row r="123" spans="1:28">
      <c r="A123" s="392" t="str">
        <f>'PUMP PRICES RETAIL VAT Incl'!C153</f>
        <v>Kobujoi</v>
      </c>
      <c r="B123" s="552">
        <f t="shared" si="11"/>
        <v>117</v>
      </c>
      <c r="C123" s="528" t="str">
        <f>'PUMP PRICES RETAIL VAT Incl'!C122</f>
        <v>Kakuma</v>
      </c>
      <c r="D123" s="529">
        <f>'PUMP PRICES RETAIL VAT Incl'!D122</f>
        <v>175.24322238086674</v>
      </c>
      <c r="E123" s="529">
        <v>0</v>
      </c>
      <c r="F123" s="529">
        <f t="shared" si="6"/>
        <v>162.26224294524698</v>
      </c>
      <c r="G123" s="529">
        <f>'PUMP PRICES RETAIL VAT Incl'!E122</f>
        <v>178.19842114837101</v>
      </c>
      <c r="H123" s="529">
        <v>0</v>
      </c>
      <c r="I123" s="529">
        <f t="shared" si="7"/>
        <v>164.99853810034352</v>
      </c>
      <c r="J123" s="529">
        <f>'PUMP PRICES RETAIL VAT Incl'!F122</f>
        <v>175.39959336117798</v>
      </c>
      <c r="K123" s="529">
        <v>0</v>
      </c>
      <c r="L123" s="529">
        <f t="shared" si="8"/>
        <v>162.40703088997961</v>
      </c>
      <c r="M123" s="909"/>
      <c r="N123" s="571" t="str">
        <f t="shared" si="10"/>
        <v>NO</v>
      </c>
      <c r="AB123" s="159"/>
    </row>
    <row r="124" spans="1:28">
      <c r="A124" s="392" t="str">
        <f>'PUMP PRICES RETAIL VAT Incl'!C154</f>
        <v>Serem</v>
      </c>
      <c r="B124" s="552">
        <f t="shared" si="11"/>
        <v>118</v>
      </c>
      <c r="C124" s="528" t="str">
        <f>'PUMP PRICES RETAIL VAT Incl'!C123</f>
        <v>Lokichar</v>
      </c>
      <c r="D124" s="529">
        <f>'PUMP PRICES RETAIL VAT Incl'!D123</f>
        <v>172.65819487297543</v>
      </c>
      <c r="E124" s="529">
        <v>0</v>
      </c>
      <c r="F124" s="529">
        <f t="shared" si="6"/>
        <v>159.86869895645873</v>
      </c>
      <c r="G124" s="529">
        <f>'PUMP PRICES RETAIL VAT Incl'!E123</f>
        <v>175.6133936404797</v>
      </c>
      <c r="H124" s="529">
        <v>0</v>
      </c>
      <c r="I124" s="529">
        <f t="shared" si="7"/>
        <v>162.60499411155527</v>
      </c>
      <c r="J124" s="529">
        <f>'PUMP PRICES RETAIL VAT Incl'!F123</f>
        <v>172.81456585328667</v>
      </c>
      <c r="K124" s="529">
        <v>0</v>
      </c>
      <c r="L124" s="529">
        <f t="shared" si="8"/>
        <v>160.01348690119136</v>
      </c>
      <c r="M124" s="909"/>
      <c r="N124" s="571" t="str">
        <f t="shared" si="10"/>
        <v>NO</v>
      </c>
      <c r="AB124" s="159"/>
    </row>
    <row r="125" spans="1:28">
      <c r="A125" s="392" t="str">
        <f>'PUMP PRICES RETAIL VAT Incl'!C155</f>
        <v>Kabiyet</v>
      </c>
      <c r="B125" s="552">
        <f t="shared" si="11"/>
        <v>119</v>
      </c>
      <c r="C125" s="528" t="str">
        <f>'PUMP PRICES RETAIL VAT Incl'!C124</f>
        <v>Kalokol</v>
      </c>
      <c r="D125" s="529">
        <f>'PUMP PRICES RETAIL VAT Incl'!D124</f>
        <v>174.4168135783415</v>
      </c>
      <c r="E125" s="529">
        <v>0</v>
      </c>
      <c r="F125" s="529">
        <f t="shared" si="6"/>
        <v>161.49704960957547</v>
      </c>
      <c r="G125" s="529">
        <f>'PUMP PRICES RETAIL VAT Incl'!E124</f>
        <v>177.3720123458458</v>
      </c>
      <c r="H125" s="529">
        <v>0</v>
      </c>
      <c r="I125" s="529">
        <f t="shared" si="7"/>
        <v>164.23334476467204</v>
      </c>
      <c r="J125" s="529">
        <f>'PUMP PRICES RETAIL VAT Incl'!F124</f>
        <v>174.57318455865274</v>
      </c>
      <c r="K125" s="529">
        <v>0</v>
      </c>
      <c r="L125" s="529">
        <f t="shared" si="8"/>
        <v>161.6418375543081</v>
      </c>
      <c r="M125" s="909"/>
      <c r="N125" s="571" t="str">
        <f t="shared" si="10"/>
        <v>NO</v>
      </c>
      <c r="AB125" s="159"/>
    </row>
    <row r="126" spans="1:28">
      <c r="A126" s="392" t="str">
        <f>'PUMP PRICES RETAIL VAT Incl'!C156</f>
        <v>Cheptulu</v>
      </c>
      <c r="B126" s="552">
        <f t="shared" si="11"/>
        <v>120</v>
      </c>
      <c r="C126" s="528" t="str">
        <f>'PUMP PRICES RETAIL VAT Incl'!C125</f>
        <v>Lokori</v>
      </c>
      <c r="D126" s="529">
        <f>'PUMP PRICES RETAIL VAT Incl'!D125</f>
        <v>173.02349872408018</v>
      </c>
      <c r="E126" s="529">
        <v>0</v>
      </c>
      <c r="F126" s="529">
        <f t="shared" si="6"/>
        <v>160.2069432630372</v>
      </c>
      <c r="G126" s="529">
        <f>'PUMP PRICES RETAIL VAT Incl'!E125</f>
        <v>175.97869749158448</v>
      </c>
      <c r="H126" s="529">
        <v>0</v>
      </c>
      <c r="I126" s="529">
        <f t="shared" si="7"/>
        <v>162.94323841813377</v>
      </c>
      <c r="J126" s="529">
        <f>'PUMP PRICES RETAIL VAT Incl'!F125</f>
        <v>173.17986970439145</v>
      </c>
      <c r="K126" s="529">
        <v>0</v>
      </c>
      <c r="L126" s="529">
        <f t="shared" si="8"/>
        <v>160.35173120776986</v>
      </c>
      <c r="M126" s="909"/>
      <c r="N126" s="571" t="str">
        <f t="shared" si="10"/>
        <v>NO</v>
      </c>
      <c r="AB126" s="159"/>
    </row>
    <row r="127" spans="1:28">
      <c r="A127" s="392" t="str">
        <f>'PUMP PRICES RETAIL VAT Incl'!C157</f>
        <v>Songor</v>
      </c>
      <c r="B127" s="552">
        <f t="shared" si="11"/>
        <v>121</v>
      </c>
      <c r="C127" s="528" t="str">
        <f>'PUMP PRICES RETAIL VAT Incl'!C126</f>
        <v>Lokitaung</v>
      </c>
      <c r="D127" s="529">
        <f>'PUMP PRICES RETAIL VAT Incl'!D126</f>
        <v>177.29726924964029</v>
      </c>
      <c r="E127" s="529">
        <v>0</v>
      </c>
      <c r="F127" s="529">
        <f t="shared" si="6"/>
        <v>164.16413819411136</v>
      </c>
      <c r="G127" s="529">
        <f>'PUMP PRICES RETAIL VAT Incl'!E126</f>
        <v>180.25246801714459</v>
      </c>
      <c r="H127" s="529">
        <v>0</v>
      </c>
      <c r="I127" s="529">
        <f t="shared" si="7"/>
        <v>166.90043334920796</v>
      </c>
      <c r="J127" s="529">
        <f>'PUMP PRICES RETAIL VAT Incl'!F126</f>
        <v>177.46364022995155</v>
      </c>
      <c r="K127" s="529">
        <v>0</v>
      </c>
      <c r="L127" s="529">
        <f t="shared" si="8"/>
        <v>164.31818539810328</v>
      </c>
      <c r="M127" s="909"/>
      <c r="N127" s="571" t="str">
        <f t="shared" si="10"/>
        <v>NO</v>
      </c>
      <c r="AB127" s="159"/>
    </row>
    <row r="128" spans="1:28">
      <c r="A128" s="392" t="str">
        <f>'PUMP PRICES RETAIL VAT Incl'!C158</f>
        <v>Kapcherop</v>
      </c>
      <c r="B128" s="552">
        <f t="shared" si="11"/>
        <v>122</v>
      </c>
      <c r="C128" s="528" t="str">
        <f>'PUMP PRICES RETAIL VAT Incl'!C127</f>
        <v>Kapedo</v>
      </c>
      <c r="D128" s="529">
        <f>'PUMP PRICES RETAIL VAT Incl'!D127</f>
        <v>172.29289102187062</v>
      </c>
      <c r="E128" s="529">
        <v>0</v>
      </c>
      <c r="F128" s="529">
        <f t="shared" si="6"/>
        <v>159.5304546498802</v>
      </c>
      <c r="G128" s="529">
        <f>'PUMP PRICES RETAIL VAT Incl'!E127</f>
        <v>175.24808978937492</v>
      </c>
      <c r="H128" s="529">
        <v>0</v>
      </c>
      <c r="I128" s="529">
        <f t="shared" si="7"/>
        <v>162.26674980497677</v>
      </c>
      <c r="J128" s="529">
        <f>'PUMP PRICES RETAIL VAT Incl'!F127</f>
        <v>172.44926200218188</v>
      </c>
      <c r="K128" s="529">
        <v>0</v>
      </c>
      <c r="L128" s="529">
        <f t="shared" si="8"/>
        <v>159.67524259461285</v>
      </c>
      <c r="M128" s="909"/>
      <c r="N128" s="571" t="str">
        <f t="shared" si="10"/>
        <v>NO</v>
      </c>
      <c r="AB128" s="159"/>
    </row>
    <row r="129" spans="1:28">
      <c r="A129" s="392" t="str">
        <f>'PUMP PRICES RETAIL VAT Incl'!C159</f>
        <v>Sambalat</v>
      </c>
      <c r="B129" s="552">
        <f t="shared" si="11"/>
        <v>123</v>
      </c>
      <c r="C129" s="528" t="str">
        <f>'PUMP PRICES RETAIL VAT Incl'!C128</f>
        <v>Malaba</v>
      </c>
      <c r="D129" s="529">
        <f>'PUMP PRICES RETAIL VAT Incl'!D128</f>
        <v>170.6400734168202</v>
      </c>
      <c r="E129" s="529">
        <v>0</v>
      </c>
      <c r="F129" s="529">
        <f t="shared" si="6"/>
        <v>158.0000679785372</v>
      </c>
      <c r="G129" s="529">
        <f>'PUMP PRICES RETAIL VAT Incl'!E128</f>
        <v>173.59527218432447</v>
      </c>
      <c r="H129" s="529">
        <v>0</v>
      </c>
      <c r="I129" s="529">
        <f t="shared" si="7"/>
        <v>160.73636313363377</v>
      </c>
      <c r="J129" s="529">
        <f>'PUMP PRICES RETAIL VAT Incl'!F128</f>
        <v>170.79644439713144</v>
      </c>
      <c r="K129" s="529">
        <v>0</v>
      </c>
      <c r="L129" s="529">
        <f t="shared" si="8"/>
        <v>158.14485592326983</v>
      </c>
      <c r="M129" s="909"/>
      <c r="N129" s="571" t="str">
        <f t="shared" si="10"/>
        <v>NO</v>
      </c>
      <c r="AB129" s="159"/>
    </row>
    <row r="130" spans="1:28">
      <c r="A130" s="392" t="str">
        <f>'PUMP PRICES RETAIL VAT Incl'!C160</f>
        <v>Arror</v>
      </c>
      <c r="B130" s="552">
        <f t="shared" si="11"/>
        <v>124</v>
      </c>
      <c r="C130" s="528" t="str">
        <f>'PUMP PRICES RETAIL VAT Incl'!C129</f>
        <v>Lokichogio</v>
      </c>
      <c r="D130" s="529">
        <f>'PUMP PRICES RETAIL VAT Incl'!D129</f>
        <v>176.43493503449673</v>
      </c>
      <c r="E130" s="529">
        <v>0</v>
      </c>
      <c r="F130" s="529">
        <f t="shared" si="6"/>
        <v>163.36568058749697</v>
      </c>
      <c r="G130" s="529">
        <f>'PUMP PRICES RETAIL VAT Incl'!E129</f>
        <v>179.390133802001</v>
      </c>
      <c r="H130" s="529">
        <v>0</v>
      </c>
      <c r="I130" s="529">
        <f t="shared" si="7"/>
        <v>166.10197574259351</v>
      </c>
      <c r="J130" s="529">
        <f>'PUMP PRICES RETAIL VAT Incl'!F129</f>
        <v>176.59130601480797</v>
      </c>
      <c r="K130" s="529">
        <v>0</v>
      </c>
      <c r="L130" s="529">
        <f t="shared" si="8"/>
        <v>163.51046853222959</v>
      </c>
      <c r="M130" s="909"/>
      <c r="N130" s="571" t="str">
        <f t="shared" si="10"/>
        <v>NO</v>
      </c>
      <c r="AB130" s="159"/>
    </row>
    <row r="131" spans="1:28">
      <c r="A131" s="392" t="str">
        <f>'PUMP PRICES RETAIL VAT Incl'!C161</f>
        <v>Tot</v>
      </c>
      <c r="B131" s="552">
        <f t="shared" si="11"/>
        <v>125</v>
      </c>
      <c r="C131" s="528" t="str">
        <f>'PUMP PRICES RETAIL VAT Incl'!C130</f>
        <v>Ziwa</v>
      </c>
      <c r="D131" s="529">
        <f>'PUMP PRICES RETAIL VAT Incl'!D130</f>
        <v>169.67193810136098</v>
      </c>
      <c r="E131" s="529">
        <v>0</v>
      </c>
      <c r="F131" s="529">
        <f t="shared" si="6"/>
        <v>157.10364639014904</v>
      </c>
      <c r="G131" s="529">
        <f>'PUMP PRICES RETAIL VAT Incl'!E130</f>
        <v>172.62713686886525</v>
      </c>
      <c r="H131" s="529">
        <v>0</v>
      </c>
      <c r="I131" s="529">
        <f t="shared" si="7"/>
        <v>159.83994154524558</v>
      </c>
      <c r="J131" s="529">
        <f>'PUMP PRICES RETAIL VAT Incl'!F130</f>
        <v>169.82830908167222</v>
      </c>
      <c r="K131" s="529">
        <v>0</v>
      </c>
      <c r="L131" s="529">
        <f t="shared" si="8"/>
        <v>157.24843433488167</v>
      </c>
      <c r="M131" s="909"/>
      <c r="N131" s="571" t="str">
        <f t="shared" si="10"/>
        <v>NO</v>
      </c>
      <c r="AB131" s="159"/>
    </row>
    <row r="132" spans="1:28">
      <c r="A132" s="392" t="str">
        <f>'PUMP PRICES RETAIL VAT Incl'!C162</f>
        <v>Kaptarakwa</v>
      </c>
      <c r="B132" s="552">
        <f t="shared" si="11"/>
        <v>126</v>
      </c>
      <c r="C132" s="528" t="str">
        <f>'PUMP PRICES RETAIL VAT Incl'!C131</f>
        <v>Soy</v>
      </c>
      <c r="D132" s="529">
        <f>'PUMP PRICES RETAIL VAT Incl'!D131</f>
        <v>169.47231103826914</v>
      </c>
      <c r="E132" s="529">
        <v>0</v>
      </c>
      <c r="F132" s="529">
        <f t="shared" si="6"/>
        <v>156.91880651691585</v>
      </c>
      <c r="G132" s="529">
        <f>'PUMP PRICES RETAIL VAT Incl'!E131</f>
        <v>172.42750980577341</v>
      </c>
      <c r="H132" s="529">
        <v>0</v>
      </c>
      <c r="I132" s="529">
        <f t="shared" si="7"/>
        <v>159.65510167201242</v>
      </c>
      <c r="J132" s="529">
        <f>'PUMP PRICES RETAIL VAT Incl'!F131</f>
        <v>169.63868201858034</v>
      </c>
      <c r="K132" s="529">
        <v>0</v>
      </c>
      <c r="L132" s="529">
        <f t="shared" si="8"/>
        <v>157.07285372090772</v>
      </c>
      <c r="M132" s="909"/>
      <c r="N132" s="571" t="str">
        <f t="shared" si="10"/>
        <v>NO</v>
      </c>
      <c r="AB132" s="159"/>
    </row>
    <row r="133" spans="1:28" s="392" customFormat="1">
      <c r="A133" s="392" t="str">
        <f>'PUMP PRICES RETAIL VAT Incl'!C175</f>
        <v>Kisumu</v>
      </c>
      <c r="B133" s="552">
        <f t="shared" si="11"/>
        <v>127</v>
      </c>
      <c r="C133" s="528" t="str">
        <f>'PUMP PRICES RETAIL VAT Incl'!C132</f>
        <v>Moi's Bridge</v>
      </c>
      <c r="D133" s="529">
        <f>'PUMP PRICES RETAIL VAT Incl'!D132</f>
        <v>169.54218672596642</v>
      </c>
      <c r="E133" s="529">
        <v>0</v>
      </c>
      <c r="F133" s="529">
        <f t="shared" si="6"/>
        <v>156.98350622774666</v>
      </c>
      <c r="G133" s="529">
        <f>'PUMP PRICES RETAIL VAT Incl'!E132</f>
        <v>172.49738549347069</v>
      </c>
      <c r="H133" s="529">
        <v>0</v>
      </c>
      <c r="I133" s="529">
        <f t="shared" si="7"/>
        <v>159.71980138284323</v>
      </c>
      <c r="J133" s="529">
        <f>'PUMP PRICES RETAIL VAT Incl'!F132</f>
        <v>169.69855770627763</v>
      </c>
      <c r="K133" s="529">
        <v>0</v>
      </c>
      <c r="L133" s="529">
        <f t="shared" si="8"/>
        <v>157.12829417247929</v>
      </c>
      <c r="M133" s="926"/>
      <c r="N133" s="571" t="str">
        <f t="shared" si="10"/>
        <v>NO</v>
      </c>
    </row>
    <row r="134" spans="1:28">
      <c r="A134" s="392" t="str">
        <f>'PUMP PRICES RETAIL VAT Incl'!C176</f>
        <v>Sondu</v>
      </c>
      <c r="B134" s="552">
        <f t="shared" si="11"/>
        <v>128</v>
      </c>
      <c r="C134" s="528" t="str">
        <f>'PUMP PRICES RETAIL VAT Incl'!C133</f>
        <v>Turbo</v>
      </c>
      <c r="D134" s="529">
        <f>'PUMP PRICES RETAIL VAT Incl'!D133</f>
        <v>169.42441048811128</v>
      </c>
      <c r="E134" s="529">
        <v>0</v>
      </c>
      <c r="F134" s="529">
        <f t="shared" si="6"/>
        <v>156.87445415565858</v>
      </c>
      <c r="G134" s="529">
        <f>'PUMP PRICES RETAIL VAT Incl'!E133</f>
        <v>172.37960925561558</v>
      </c>
      <c r="H134" s="529">
        <v>0</v>
      </c>
      <c r="I134" s="529">
        <f t="shared" si="7"/>
        <v>159.61074931075515</v>
      </c>
      <c r="J134" s="529">
        <f>'PUMP PRICES RETAIL VAT Incl'!F133</f>
        <v>169.58078146842251</v>
      </c>
      <c r="K134" s="529">
        <v>0</v>
      </c>
      <c r="L134" s="529">
        <f t="shared" si="8"/>
        <v>157.01924210039121</v>
      </c>
      <c r="M134" s="909"/>
      <c r="N134" s="571" t="str">
        <f t="shared" si="10"/>
        <v>NO</v>
      </c>
      <c r="AB134" s="159"/>
    </row>
    <row r="135" spans="1:28">
      <c r="A135" s="392" t="str">
        <f>'PUMP PRICES RETAIL VAT Incl'!C177</f>
        <v>Oyugis</v>
      </c>
      <c r="B135" s="552">
        <f t="shared" si="11"/>
        <v>129</v>
      </c>
      <c r="C135" s="528" t="str">
        <f>'PUMP PRICES RETAIL VAT Incl'!C134</f>
        <v>Kibish</v>
      </c>
      <c r="D135" s="529">
        <f>'PUMP PRICES RETAIL VAT Incl'!D134</f>
        <v>177.53282172535054</v>
      </c>
      <c r="E135" s="529">
        <v>0</v>
      </c>
      <c r="F135" s="529">
        <f t="shared" si="6"/>
        <v>164.38224233828754</v>
      </c>
      <c r="G135" s="529">
        <f>'PUMP PRICES RETAIL VAT Incl'!E134</f>
        <v>180.48802049285482</v>
      </c>
      <c r="H135" s="529">
        <v>0</v>
      </c>
      <c r="I135" s="529">
        <f t="shared" si="7"/>
        <v>167.11853749338408</v>
      </c>
      <c r="J135" s="529">
        <f>'PUMP PRICES RETAIL VAT Incl'!F134</f>
        <v>177.68919270566175</v>
      </c>
      <c r="K135" s="529">
        <v>0</v>
      </c>
      <c r="L135" s="529">
        <f t="shared" si="8"/>
        <v>164.52703028302014</v>
      </c>
      <c r="M135" s="909"/>
      <c r="N135" s="571" t="str">
        <f t="shared" si="10"/>
        <v>NO</v>
      </c>
      <c r="AB135" s="159"/>
    </row>
    <row r="136" spans="1:28">
      <c r="A136" s="392" t="str">
        <f>'PUMP PRICES RETAIL VAT Incl'!C178</f>
        <v>Kakamega</v>
      </c>
      <c r="B136" s="552">
        <f t="shared" si="11"/>
        <v>130</v>
      </c>
      <c r="C136" s="528" t="str">
        <f>'PUMP PRICES RETAIL VAT Incl'!C135</f>
        <v>Nakalale</v>
      </c>
      <c r="D136" s="529">
        <f>'PUMP PRICES RETAIL VAT Incl'!D135</f>
        <v>176.35308420925998</v>
      </c>
      <c r="E136" s="529">
        <v>0</v>
      </c>
      <c r="F136" s="529">
        <f t="shared" ref="F136:F155" si="12">(D136-E136)/1.08</f>
        <v>163.28989278635183</v>
      </c>
      <c r="G136" s="529">
        <f>'PUMP PRICES RETAIL VAT Incl'!E135</f>
        <v>179.30828297676427</v>
      </c>
      <c r="H136" s="529">
        <v>0</v>
      </c>
      <c r="I136" s="529">
        <f t="shared" ref="I136:I199" si="13">(G136-H136)/1.08</f>
        <v>166.0261879414484</v>
      </c>
      <c r="J136" s="529">
        <f>'PUMP PRICES RETAIL VAT Incl'!F135</f>
        <v>176.51945518957123</v>
      </c>
      <c r="K136" s="529">
        <v>0</v>
      </c>
      <c r="L136" s="529">
        <f t="shared" ref="L136:L199" si="14">(J136-K136)/1.08</f>
        <v>163.44393999034372</v>
      </c>
      <c r="M136" s="909"/>
      <c r="N136" s="571" t="str">
        <f t="shared" si="10"/>
        <v>NO</v>
      </c>
      <c r="AB136" s="159"/>
    </row>
    <row r="137" spans="1:28">
      <c r="A137" s="392" t="str">
        <f>'PUMP PRICES RETAIL VAT Incl'!C179</f>
        <v>Mumias</v>
      </c>
      <c r="B137" s="552">
        <f t="shared" ref="B137:B175" si="15">1+B136</f>
        <v>131</v>
      </c>
      <c r="C137" s="528" t="str">
        <f>'PUMP PRICES RETAIL VAT Incl'!C136</f>
        <v>Loima</v>
      </c>
      <c r="D137" s="529">
        <f>'PUMP PRICES RETAIL VAT Incl'!D136</f>
        <v>172.77597111083054</v>
      </c>
      <c r="E137" s="529">
        <v>0</v>
      </c>
      <c r="F137" s="529">
        <f t="shared" si="12"/>
        <v>159.97775102854678</v>
      </c>
      <c r="G137" s="529">
        <f>'PUMP PRICES RETAIL VAT Incl'!E136</f>
        <v>175.73116987833484</v>
      </c>
      <c r="H137" s="529">
        <v>0</v>
      </c>
      <c r="I137" s="529">
        <f t="shared" si="13"/>
        <v>162.71404618364335</v>
      </c>
      <c r="J137" s="529">
        <f>'PUMP PRICES RETAIL VAT Incl'!F136</f>
        <v>172.93234209114178</v>
      </c>
      <c r="K137" s="529">
        <v>0</v>
      </c>
      <c r="L137" s="529">
        <f t="shared" si="14"/>
        <v>160.1225389732794</v>
      </c>
      <c r="M137" s="909"/>
      <c r="N137" s="571" t="str">
        <f t="shared" ref="N137:N155" si="16">IF(C137=A137, "YES","NO")</f>
        <v>NO</v>
      </c>
      <c r="AB137" s="159"/>
    </row>
    <row r="138" spans="1:28">
      <c r="A138" s="392" t="str">
        <f>'PUMP PRICES RETAIL VAT Incl'!C180</f>
        <v>Bondo</v>
      </c>
      <c r="B138" s="552">
        <f t="shared" si="15"/>
        <v>132</v>
      </c>
      <c r="C138" s="528" t="str">
        <f>'PUMP PRICES RETAIL VAT Incl'!C137</f>
        <v>Lokiriama</v>
      </c>
      <c r="D138" s="529">
        <f>'PUMP PRICES RETAIL VAT Incl'!D137</f>
        <v>174.33496275310475</v>
      </c>
      <c r="E138" s="529">
        <v>0</v>
      </c>
      <c r="F138" s="529">
        <f t="shared" si="12"/>
        <v>161.4212618084303</v>
      </c>
      <c r="G138" s="529">
        <f>'PUMP PRICES RETAIL VAT Incl'!E137</f>
        <v>177.29016152060905</v>
      </c>
      <c r="H138" s="529">
        <v>0</v>
      </c>
      <c r="I138" s="529">
        <f t="shared" si="13"/>
        <v>164.15755696352687</v>
      </c>
      <c r="J138" s="529">
        <f>'PUMP PRICES RETAIL VAT Incl'!F137</f>
        <v>174.501333733416</v>
      </c>
      <c r="K138" s="529">
        <v>0</v>
      </c>
      <c r="L138" s="529">
        <f t="shared" si="14"/>
        <v>161.57530901242222</v>
      </c>
      <c r="M138" s="909"/>
      <c r="N138" s="571" t="str">
        <f t="shared" si="16"/>
        <v>NO</v>
      </c>
      <c r="AB138" s="159"/>
    </row>
    <row r="139" spans="1:28">
      <c r="A139" s="392" t="str">
        <f>'PUMP PRICES RETAIL VAT Incl'!C181</f>
        <v>Siaya</v>
      </c>
      <c r="B139" s="552">
        <f t="shared" si="15"/>
        <v>133</v>
      </c>
      <c r="C139" s="528" t="str">
        <f>'PUMP PRICES RETAIL VAT Incl'!C138</f>
        <v>Kainuk</v>
      </c>
      <c r="D139" s="529">
        <f>'PUMP PRICES RETAIL VAT Incl'!D138</f>
        <v>171.54833304458217</v>
      </c>
      <c r="E139" s="529">
        <v>0</v>
      </c>
      <c r="F139" s="529">
        <f t="shared" si="12"/>
        <v>158.84104911535385</v>
      </c>
      <c r="G139" s="529">
        <f>'PUMP PRICES RETAIL VAT Incl'!E138</f>
        <v>174.50353181208646</v>
      </c>
      <c r="H139" s="529">
        <v>0</v>
      </c>
      <c r="I139" s="529">
        <f t="shared" si="13"/>
        <v>161.57734427045042</v>
      </c>
      <c r="J139" s="529">
        <f>'PUMP PRICES RETAIL VAT Incl'!F138</f>
        <v>171.7047040248934</v>
      </c>
      <c r="K139" s="529">
        <v>0</v>
      </c>
      <c r="L139" s="529">
        <f t="shared" si="14"/>
        <v>158.98583706008648</v>
      </c>
      <c r="M139" s="909"/>
      <c r="N139" s="571" t="str">
        <f t="shared" si="16"/>
        <v>NO</v>
      </c>
      <c r="AB139" s="159"/>
    </row>
    <row r="140" spans="1:28">
      <c r="A140" s="392" t="str">
        <f>'PUMP PRICES RETAIL VAT Incl'!C182</f>
        <v>Kericho</v>
      </c>
      <c r="B140" s="552">
        <f t="shared" si="15"/>
        <v>134</v>
      </c>
      <c r="C140" s="528" t="str">
        <f>'PUMP PRICES RETAIL VAT Incl'!C139</f>
        <v>Kacheliba</v>
      </c>
      <c r="D140" s="529">
        <f>'PUMP PRICES RETAIL VAT Incl'!D139</f>
        <v>170.87562589253039</v>
      </c>
      <c r="E140" s="529">
        <v>0</v>
      </c>
      <c r="F140" s="529">
        <f t="shared" si="12"/>
        <v>158.21817212271333</v>
      </c>
      <c r="G140" s="529">
        <f>'PUMP PRICES RETAIL VAT Incl'!E139</f>
        <v>173.83082466003469</v>
      </c>
      <c r="H140" s="529">
        <v>0</v>
      </c>
      <c r="I140" s="529">
        <f t="shared" si="13"/>
        <v>160.9544672778099</v>
      </c>
      <c r="J140" s="529">
        <f>'PUMP PRICES RETAIL VAT Incl'!F139</f>
        <v>171.03199687284163</v>
      </c>
      <c r="K140" s="529">
        <v>0</v>
      </c>
      <c r="L140" s="529">
        <f t="shared" si="14"/>
        <v>158.36296006744595</v>
      </c>
      <c r="M140" s="909"/>
      <c r="N140" s="571" t="str">
        <f t="shared" si="16"/>
        <v>NO</v>
      </c>
      <c r="AB140" s="159"/>
    </row>
    <row r="141" spans="1:28">
      <c r="A141" s="392" t="str">
        <f>'PUMP PRICES RETAIL VAT Incl'!C183</f>
        <v>Nyamira</v>
      </c>
      <c r="B141" s="552">
        <f t="shared" si="15"/>
        <v>135</v>
      </c>
      <c r="C141" s="528" t="str">
        <f>'PUMP PRICES RETAIL VAT Incl'!C140</f>
        <v>Kiwawa</v>
      </c>
      <c r="D141" s="529">
        <f>'PUMP PRICES RETAIL VAT Incl'!D140</f>
        <v>171.47845735688486</v>
      </c>
      <c r="E141" s="529">
        <v>0</v>
      </c>
      <c r="F141" s="529">
        <f t="shared" si="12"/>
        <v>158.77634940452302</v>
      </c>
      <c r="G141" s="529">
        <f>'PUMP PRICES RETAIL VAT Incl'!E140</f>
        <v>174.43365612438916</v>
      </c>
      <c r="H141" s="529">
        <v>0</v>
      </c>
      <c r="I141" s="529">
        <f t="shared" si="13"/>
        <v>161.51264455961959</v>
      </c>
      <c r="J141" s="529">
        <f>'PUMP PRICES RETAIL VAT Incl'!F140</f>
        <v>171.63482833719613</v>
      </c>
      <c r="K141" s="529">
        <v>0</v>
      </c>
      <c r="L141" s="529">
        <f t="shared" si="14"/>
        <v>158.92113734925567</v>
      </c>
      <c r="M141" s="909"/>
      <c r="N141" s="571" t="str">
        <f t="shared" si="16"/>
        <v>NO</v>
      </c>
      <c r="AB141" s="159"/>
    </row>
    <row r="142" spans="1:28">
      <c r="A142" s="392" t="str">
        <f>'PUMP PRICES RETAIL VAT Incl'!C184</f>
        <v>Kisii</v>
      </c>
      <c r="B142" s="552">
        <f t="shared" si="15"/>
        <v>136</v>
      </c>
      <c r="C142" s="528" t="str">
        <f>'PUMP PRICES RETAIL VAT Incl'!C141</f>
        <v>Ortum</v>
      </c>
      <c r="D142" s="529">
        <f>'PUMP PRICES RETAIL VAT Incl'!D141</f>
        <v>171.06525295562224</v>
      </c>
      <c r="E142" s="529">
        <v>0</v>
      </c>
      <c r="F142" s="529">
        <f t="shared" si="12"/>
        <v>158.39375273668725</v>
      </c>
      <c r="G142" s="529">
        <f>'PUMP PRICES RETAIL VAT Incl'!E141</f>
        <v>174.02045172312654</v>
      </c>
      <c r="H142" s="529">
        <v>0</v>
      </c>
      <c r="I142" s="529">
        <f t="shared" si="13"/>
        <v>161.13004789178382</v>
      </c>
      <c r="J142" s="529">
        <f>'PUMP PRICES RETAIL VAT Incl'!F141</f>
        <v>171.22162393593351</v>
      </c>
      <c r="K142" s="529">
        <v>0</v>
      </c>
      <c r="L142" s="529">
        <f t="shared" si="14"/>
        <v>158.5385406814199</v>
      </c>
      <c r="M142" s="909"/>
      <c r="N142" s="571" t="str">
        <f t="shared" si="16"/>
        <v>NO</v>
      </c>
      <c r="AB142" s="159"/>
    </row>
    <row r="143" spans="1:28">
      <c r="A143" s="392" t="str">
        <f>'PUMP PRICES RETAIL VAT Incl'!C185</f>
        <v>Sotik</v>
      </c>
      <c r="B143" s="552">
        <f t="shared" si="15"/>
        <v>137</v>
      </c>
      <c r="C143" s="528" t="str">
        <f>'PUMP PRICES RETAIL VAT Incl'!C142</f>
        <v>Kachibora</v>
      </c>
      <c r="D143" s="529">
        <f>'PUMP PRICES RETAIL VAT Incl'!D142</f>
        <v>169.8615651644528</v>
      </c>
      <c r="E143" s="529">
        <v>0</v>
      </c>
      <c r="F143" s="529">
        <f t="shared" si="12"/>
        <v>157.27922700412296</v>
      </c>
      <c r="G143" s="529">
        <f>'PUMP PRICES RETAIL VAT Incl'!E142</f>
        <v>172.8167639319571</v>
      </c>
      <c r="H143" s="529">
        <v>0</v>
      </c>
      <c r="I143" s="529">
        <f t="shared" si="13"/>
        <v>160.01552215921953</v>
      </c>
      <c r="J143" s="529">
        <f>'PUMP PRICES RETAIL VAT Incl'!F142</f>
        <v>170.01793614476404</v>
      </c>
      <c r="K143" s="529">
        <v>0</v>
      </c>
      <c r="L143" s="529">
        <f t="shared" si="14"/>
        <v>157.42401494885559</v>
      </c>
      <c r="M143" s="909"/>
      <c r="N143" s="571" t="str">
        <f t="shared" si="16"/>
        <v>NO</v>
      </c>
      <c r="AB143" s="159"/>
    </row>
    <row r="144" spans="1:28">
      <c r="A144" s="392" t="str">
        <f>'PUMP PRICES RETAIL VAT Incl'!C186</f>
        <v>Keroka</v>
      </c>
      <c r="B144" s="552">
        <f t="shared" si="15"/>
        <v>138</v>
      </c>
      <c r="C144" s="528" t="str">
        <f>'PUMP PRICES RETAIL VAT Incl'!C143</f>
        <v>Kwanza</v>
      </c>
      <c r="D144" s="529">
        <f>'PUMP PRICES RETAIL VAT Incl'!D143</f>
        <v>170.58019772912292</v>
      </c>
      <c r="E144" s="529">
        <v>0</v>
      </c>
      <c r="F144" s="529">
        <f t="shared" si="12"/>
        <v>157.94462752696566</v>
      </c>
      <c r="G144" s="529">
        <f>'PUMP PRICES RETAIL VAT Incl'!E143</f>
        <v>173.5253964966272</v>
      </c>
      <c r="H144" s="529">
        <v>0</v>
      </c>
      <c r="I144" s="529">
        <f t="shared" si="13"/>
        <v>160.67166342280294</v>
      </c>
      <c r="J144" s="529">
        <f>'PUMP PRICES RETAIL VAT Incl'!F143</f>
        <v>170.73656870943415</v>
      </c>
      <c r="K144" s="529">
        <v>0</v>
      </c>
      <c r="L144" s="529">
        <f t="shared" si="14"/>
        <v>158.08941547169829</v>
      </c>
      <c r="M144" s="909"/>
      <c r="N144" s="571" t="str">
        <f t="shared" si="16"/>
        <v>NO</v>
      </c>
      <c r="AB144" s="159"/>
    </row>
    <row r="145" spans="1:28">
      <c r="A145" s="392" t="str">
        <f>'PUMP PRICES RETAIL VAT Incl'!C187</f>
        <v>Busia</v>
      </c>
      <c r="B145" s="552">
        <f t="shared" si="15"/>
        <v>139</v>
      </c>
      <c r="C145" s="528" t="str">
        <f>'PUMP PRICES RETAIL VAT Incl'!C144</f>
        <v>Kaplamai</v>
      </c>
      <c r="D145" s="529">
        <f>'PUMP PRICES RETAIL VAT Incl'!D144</f>
        <v>169.88551543953176</v>
      </c>
      <c r="E145" s="529">
        <v>0</v>
      </c>
      <c r="F145" s="529">
        <f t="shared" si="12"/>
        <v>157.30140318475162</v>
      </c>
      <c r="G145" s="529">
        <f>'PUMP PRICES RETAIL VAT Incl'!E144</f>
        <v>172.84071420703603</v>
      </c>
      <c r="H145" s="529">
        <v>0</v>
      </c>
      <c r="I145" s="529">
        <f t="shared" si="13"/>
        <v>160.03769833984816</v>
      </c>
      <c r="J145" s="529">
        <f>'PUMP PRICES RETAIL VAT Incl'!F144</f>
        <v>170.05188641984296</v>
      </c>
      <c r="K145" s="529">
        <v>0</v>
      </c>
      <c r="L145" s="529">
        <f t="shared" si="14"/>
        <v>157.45545038874346</v>
      </c>
      <c r="M145" s="909"/>
      <c r="N145" s="571" t="str">
        <f t="shared" si="16"/>
        <v>NO</v>
      </c>
      <c r="AB145" s="159"/>
    </row>
    <row r="146" spans="1:28">
      <c r="A146" s="392" t="str">
        <f>'PUMP PRICES RETAIL VAT Incl'!C188</f>
        <v>Homabay</v>
      </c>
      <c r="B146" s="552">
        <f t="shared" si="15"/>
        <v>140</v>
      </c>
      <c r="C146" s="528" t="str">
        <f>'PUMP PRICES RETAIL VAT Incl'!C145</f>
        <v>Eldama Ravine</v>
      </c>
      <c r="D146" s="529">
        <f>'PUMP PRICES RETAIL VAT Incl'!D145</f>
        <v>170.30871984079431</v>
      </c>
      <c r="E146" s="529">
        <v>0</v>
      </c>
      <c r="F146" s="529">
        <f t="shared" si="12"/>
        <v>157.69325911184657</v>
      </c>
      <c r="G146" s="529">
        <f>'PUMP PRICES RETAIL VAT Incl'!E145</f>
        <v>173.25391860829862</v>
      </c>
      <c r="H146" s="529">
        <v>0</v>
      </c>
      <c r="I146" s="529">
        <f t="shared" si="13"/>
        <v>160.4202950076839</v>
      </c>
      <c r="J146" s="529">
        <f>'PUMP PRICES RETAIL VAT Incl'!F145</f>
        <v>170.46509082110555</v>
      </c>
      <c r="K146" s="529">
        <v>0</v>
      </c>
      <c r="L146" s="529">
        <f t="shared" si="14"/>
        <v>157.8380470565792</v>
      </c>
      <c r="M146" s="909"/>
      <c r="N146" s="571" t="str">
        <f t="shared" si="16"/>
        <v>NO</v>
      </c>
      <c r="AB146" s="159"/>
    </row>
    <row r="147" spans="1:28">
      <c r="A147" s="392" t="str">
        <f>'PUMP PRICES RETAIL VAT Incl'!C189</f>
        <v>Migori</v>
      </c>
      <c r="B147" s="552">
        <f t="shared" si="15"/>
        <v>141</v>
      </c>
      <c r="C147" s="528" t="str">
        <f>'PUMP PRICES RETAIL VAT Incl'!C146</f>
        <v>Tenges</v>
      </c>
      <c r="D147" s="529">
        <f>'PUMP PRICES RETAIL VAT Incl'!D146</f>
        <v>170.45044635372835</v>
      </c>
      <c r="E147" s="529">
        <v>0</v>
      </c>
      <c r="F147" s="529">
        <f t="shared" si="12"/>
        <v>157.82448736456328</v>
      </c>
      <c r="G147" s="529">
        <f>'PUMP PRICES RETAIL VAT Incl'!E146</f>
        <v>173.39564512123263</v>
      </c>
      <c r="H147" s="529">
        <v>0</v>
      </c>
      <c r="I147" s="529">
        <f t="shared" si="13"/>
        <v>160.55152326040059</v>
      </c>
      <c r="J147" s="529">
        <f>'PUMP PRICES RETAIL VAT Incl'!F146</f>
        <v>170.60681733403959</v>
      </c>
      <c r="K147" s="529">
        <v>0</v>
      </c>
      <c r="L147" s="529">
        <f t="shared" si="14"/>
        <v>157.96927530929591</v>
      </c>
      <c r="M147" s="909"/>
      <c r="N147" s="571" t="str">
        <f t="shared" si="16"/>
        <v>NO</v>
      </c>
      <c r="AB147" s="159"/>
    </row>
    <row r="148" spans="1:28" s="163" customFormat="1">
      <c r="A148" s="392" t="str">
        <f>'PUMP PRICES RETAIL VAT Incl'!C190</f>
        <v>Isebania</v>
      </c>
      <c r="B148" s="552">
        <f t="shared" si="15"/>
        <v>142</v>
      </c>
      <c r="C148" s="528" t="str">
        <f>'PUMP PRICES RETAIL VAT Incl'!C147</f>
        <v>Barwessa</v>
      </c>
      <c r="D148" s="529">
        <f>'PUMP PRICES RETAIL VAT Incl'!D147</f>
        <v>170.55822259158344</v>
      </c>
      <c r="E148" s="529">
        <v>0</v>
      </c>
      <c r="F148" s="529">
        <f t="shared" si="12"/>
        <v>157.92428017739206</v>
      </c>
      <c r="G148" s="529">
        <f>'PUMP PRICES RETAIL VAT Incl'!E147</f>
        <v>173.51342135908774</v>
      </c>
      <c r="H148" s="529">
        <v>0</v>
      </c>
      <c r="I148" s="529">
        <f t="shared" si="13"/>
        <v>160.66057533248863</v>
      </c>
      <c r="J148" s="529">
        <f>'PUMP PRICES RETAIL VAT Incl'!F147</f>
        <v>170.7245935718947</v>
      </c>
      <c r="K148" s="529">
        <v>0</v>
      </c>
      <c r="L148" s="529">
        <f t="shared" si="14"/>
        <v>158.07832738138399</v>
      </c>
      <c r="M148" s="578"/>
      <c r="N148" s="571" t="str">
        <f t="shared" si="16"/>
        <v>NO</v>
      </c>
    </row>
    <row r="149" spans="1:28">
      <c r="A149" s="392" t="str">
        <f>'PUMP PRICES RETAIL VAT Incl'!C191</f>
        <v>Bomet</v>
      </c>
      <c r="B149" s="552">
        <f t="shared" si="15"/>
        <v>143</v>
      </c>
      <c r="C149" s="528" t="str">
        <f>'PUMP PRICES RETAIL VAT Incl'!C148</f>
        <v>Kipsaraman</v>
      </c>
      <c r="D149" s="529">
        <f>'PUMP PRICES RETAIL VAT Incl'!D148</f>
        <v>171.46648221934544</v>
      </c>
      <c r="E149" s="529">
        <v>0</v>
      </c>
      <c r="F149" s="529">
        <f t="shared" si="12"/>
        <v>158.76526131420871</v>
      </c>
      <c r="G149" s="529">
        <f>'PUMP PRICES RETAIL VAT Incl'!E148</f>
        <v>174.42168098684971</v>
      </c>
      <c r="H149" s="529">
        <v>0</v>
      </c>
      <c r="I149" s="529">
        <f t="shared" si="13"/>
        <v>161.50155646930529</v>
      </c>
      <c r="J149" s="529">
        <f>'PUMP PRICES RETAIL VAT Incl'!F148</f>
        <v>171.62285319965667</v>
      </c>
      <c r="K149" s="529">
        <v>0</v>
      </c>
      <c r="L149" s="529">
        <f t="shared" si="14"/>
        <v>158.91004925894134</v>
      </c>
      <c r="N149" s="571" t="str">
        <f t="shared" si="16"/>
        <v>NO</v>
      </c>
    </row>
    <row r="150" spans="1:28">
      <c r="A150" s="392" t="str">
        <f>'PUMP PRICES RETAIL VAT Incl'!C192</f>
        <v>Muhoroni</v>
      </c>
      <c r="B150" s="552">
        <f t="shared" si="15"/>
        <v>144</v>
      </c>
      <c r="C150" s="528" t="str">
        <f>'PUMP PRICES RETAIL VAT Incl'!C149</f>
        <v>Loruk</v>
      </c>
      <c r="D150" s="529">
        <f>'PUMP PRICES RETAIL VAT Incl'!D149</f>
        <v>171.33673084395087</v>
      </c>
      <c r="E150" s="529">
        <v>0</v>
      </c>
      <c r="F150" s="529">
        <f t="shared" si="12"/>
        <v>158.64512115180636</v>
      </c>
      <c r="G150" s="529">
        <f>'PUMP PRICES RETAIL VAT Incl'!E149</f>
        <v>174.29192961145515</v>
      </c>
      <c r="H150" s="529">
        <v>0</v>
      </c>
      <c r="I150" s="529">
        <f t="shared" si="13"/>
        <v>161.38141630690291</v>
      </c>
      <c r="J150" s="529">
        <f>'PUMP PRICES RETAIL VAT Incl'!F149</f>
        <v>171.49310182426208</v>
      </c>
      <c r="K150" s="529">
        <v>0</v>
      </c>
      <c r="L150" s="529">
        <f t="shared" si="14"/>
        <v>158.78990909653896</v>
      </c>
      <c r="N150" s="571" t="str">
        <f t="shared" si="16"/>
        <v>NO</v>
      </c>
    </row>
    <row r="151" spans="1:28">
      <c r="A151" s="392" t="str">
        <f>'PUMP PRICES RETAIL VAT Incl'!C193</f>
        <v>Mbita</v>
      </c>
      <c r="B151" s="552">
        <f t="shared" si="15"/>
        <v>145</v>
      </c>
      <c r="C151" s="528" t="str">
        <f>'PUMP PRICES RETAIL VAT Incl'!C150</f>
        <v>Kabartonjo</v>
      </c>
      <c r="D151" s="529">
        <f>'PUMP PRICES RETAIL VAT Incl'!D150</f>
        <v>170.30871984079431</v>
      </c>
      <c r="E151" s="529">
        <v>0</v>
      </c>
      <c r="F151" s="529">
        <f t="shared" si="12"/>
        <v>157.69325911184657</v>
      </c>
      <c r="G151" s="529">
        <f>'PUMP PRICES RETAIL VAT Incl'!E150</f>
        <v>173.25391860829862</v>
      </c>
      <c r="H151" s="529">
        <v>0</v>
      </c>
      <c r="I151" s="529">
        <f t="shared" si="13"/>
        <v>160.4202950076839</v>
      </c>
      <c r="J151" s="529">
        <f>'PUMP PRICES RETAIL VAT Incl'!F150</f>
        <v>170.46509082110555</v>
      </c>
      <c r="K151" s="529">
        <v>0</v>
      </c>
      <c r="L151" s="529">
        <f t="shared" si="14"/>
        <v>157.8380470565792</v>
      </c>
      <c r="N151" s="571" t="str">
        <f t="shared" si="16"/>
        <v>NO</v>
      </c>
    </row>
    <row r="152" spans="1:28">
      <c r="A152" s="392" t="str">
        <f>'PUMP PRICES RETAIL VAT Incl'!C194</f>
        <v>Mbale</v>
      </c>
      <c r="B152" s="552">
        <f t="shared" si="15"/>
        <v>146</v>
      </c>
      <c r="C152" s="528" t="str">
        <f>'PUMP PRICES RETAIL VAT Incl'!C151</f>
        <v>Tindiret</v>
      </c>
      <c r="D152" s="529">
        <f>'PUMP PRICES RETAIL VAT Incl'!D151</f>
        <v>170.3685955284916</v>
      </c>
      <c r="E152" s="529">
        <v>0</v>
      </c>
      <c r="F152" s="529">
        <f t="shared" si="12"/>
        <v>157.74869956341814</v>
      </c>
      <c r="G152" s="529">
        <f>'PUMP PRICES RETAIL VAT Incl'!E151</f>
        <v>173.3237942959959</v>
      </c>
      <c r="H152" s="529">
        <v>0</v>
      </c>
      <c r="I152" s="529">
        <f t="shared" si="13"/>
        <v>160.48499471851471</v>
      </c>
      <c r="J152" s="529">
        <f>'PUMP PRICES RETAIL VAT Incl'!F151</f>
        <v>170.52496650880283</v>
      </c>
      <c r="K152" s="529">
        <v>0</v>
      </c>
      <c r="L152" s="529">
        <f t="shared" si="14"/>
        <v>157.89348750815077</v>
      </c>
      <c r="N152" s="571" t="str">
        <f t="shared" si="16"/>
        <v>NO</v>
      </c>
    </row>
    <row r="153" spans="1:28">
      <c r="A153" s="392" t="str">
        <f>'PUMP PRICES RETAIL VAT Incl'!C195</f>
        <v>Etago</v>
      </c>
      <c r="B153" s="552">
        <f t="shared" si="15"/>
        <v>147</v>
      </c>
      <c r="C153" s="528" t="str">
        <f>'PUMP PRICES RETAIL VAT Incl'!C152</f>
        <v>O'lessos</v>
      </c>
      <c r="D153" s="529">
        <f>'PUMP PRICES RETAIL VAT Incl'!D152</f>
        <v>169.54218672596642</v>
      </c>
      <c r="E153" s="529">
        <v>0</v>
      </c>
      <c r="F153" s="529">
        <f t="shared" si="12"/>
        <v>156.98350622774666</v>
      </c>
      <c r="G153" s="529">
        <f>'PUMP PRICES RETAIL VAT Incl'!E152</f>
        <v>172.49738549347069</v>
      </c>
      <c r="H153" s="529">
        <v>0</v>
      </c>
      <c r="I153" s="529">
        <f t="shared" si="13"/>
        <v>159.71980138284323</v>
      </c>
      <c r="J153" s="529">
        <f>'PUMP PRICES RETAIL VAT Incl'!F152</f>
        <v>169.69855770627763</v>
      </c>
      <c r="K153" s="529">
        <v>0</v>
      </c>
      <c r="L153" s="529">
        <f t="shared" si="14"/>
        <v>157.12829417247929</v>
      </c>
      <c r="N153" s="571" t="str">
        <f t="shared" si="16"/>
        <v>NO</v>
      </c>
    </row>
    <row r="154" spans="1:28">
      <c r="A154" s="392" t="str">
        <f>'PUMP PRICES RETAIL VAT Incl'!C196</f>
        <v>Magenche</v>
      </c>
      <c r="B154" s="552">
        <f t="shared" si="15"/>
        <v>148</v>
      </c>
      <c r="C154" s="528" t="str">
        <f>'PUMP PRICES RETAIL VAT Incl'!C153</f>
        <v>Kobujoi</v>
      </c>
      <c r="D154" s="529">
        <f>'PUMP PRICES RETAIL VAT Incl'!D153</f>
        <v>169.94341598968956</v>
      </c>
      <c r="E154" s="529">
        <v>0</v>
      </c>
      <c r="F154" s="529">
        <f t="shared" si="12"/>
        <v>157.3550148052681</v>
      </c>
      <c r="G154" s="529">
        <f>'PUMP PRICES RETAIL VAT Incl'!E153</f>
        <v>172.89861475719383</v>
      </c>
      <c r="H154" s="529">
        <v>0</v>
      </c>
      <c r="I154" s="529">
        <f t="shared" si="13"/>
        <v>160.09130996036464</v>
      </c>
      <c r="J154" s="529">
        <f>'PUMP PRICES RETAIL VAT Incl'!F153</f>
        <v>170.09978697000076</v>
      </c>
      <c r="K154" s="529">
        <v>0</v>
      </c>
      <c r="L154" s="529">
        <f t="shared" si="14"/>
        <v>157.4998027500007</v>
      </c>
      <c r="N154" s="571" t="str">
        <f t="shared" si="16"/>
        <v>NO</v>
      </c>
    </row>
    <row r="155" spans="1:28">
      <c r="A155" s="392" t="str">
        <f>'PUMP PRICES RETAIL VAT Incl'!C197</f>
        <v>Kilgoris</v>
      </c>
      <c r="B155" s="552">
        <f t="shared" si="15"/>
        <v>149</v>
      </c>
      <c r="C155" s="528" t="str">
        <f>'PUMP PRICES RETAIL VAT Incl'!C154</f>
        <v>Serem</v>
      </c>
      <c r="D155" s="529">
        <f>'PUMP PRICES RETAIL VAT Incl'!D154</f>
        <v>170.01526681492632</v>
      </c>
      <c r="E155" s="529">
        <v>0</v>
      </c>
      <c r="F155" s="529">
        <f t="shared" si="12"/>
        <v>157.421543347154</v>
      </c>
      <c r="G155" s="529">
        <f>'PUMP PRICES RETAIL VAT Incl'!E154</f>
        <v>172.97046558243059</v>
      </c>
      <c r="H155" s="529">
        <v>0</v>
      </c>
      <c r="I155" s="529">
        <f t="shared" si="13"/>
        <v>160.15783850225054</v>
      </c>
      <c r="J155" s="529">
        <f>'PUMP PRICES RETAIL VAT Incl'!F154</f>
        <v>170.18163779523752</v>
      </c>
      <c r="K155" s="529">
        <v>0</v>
      </c>
      <c r="L155" s="529">
        <f t="shared" si="14"/>
        <v>157.57559055114584</v>
      </c>
      <c r="N155" s="571" t="str">
        <f t="shared" si="16"/>
        <v>NO</v>
      </c>
    </row>
    <row r="156" spans="1:28">
      <c r="B156" s="552">
        <f t="shared" si="15"/>
        <v>150</v>
      </c>
      <c r="C156" s="528" t="str">
        <f>'PUMP PRICES RETAIL VAT Incl'!C155</f>
        <v>Kabiyet</v>
      </c>
      <c r="D156" s="529">
        <f>'PUMP PRICES RETAIL VAT Incl'!D155</f>
        <v>169.47231103826914</v>
      </c>
      <c r="E156" s="529">
        <v>0</v>
      </c>
      <c r="F156" s="529">
        <f>(D156-E156)/1.08</f>
        <v>156.91880651691585</v>
      </c>
      <c r="G156" s="529">
        <f>'PUMP PRICES RETAIL VAT Incl'!E155</f>
        <v>172.42750980577341</v>
      </c>
      <c r="H156" s="529">
        <v>0</v>
      </c>
      <c r="I156" s="529">
        <f t="shared" si="13"/>
        <v>159.65510167201242</v>
      </c>
      <c r="J156" s="529">
        <f>'PUMP PRICES RETAIL VAT Incl'!F155</f>
        <v>169.63868201858034</v>
      </c>
      <c r="K156" s="529">
        <v>0</v>
      </c>
      <c r="L156" s="529">
        <f t="shared" si="14"/>
        <v>157.07285372090772</v>
      </c>
    </row>
    <row r="157" spans="1:28">
      <c r="B157" s="552">
        <f t="shared" si="15"/>
        <v>151</v>
      </c>
      <c r="C157" s="528" t="str">
        <f>'PUMP PRICES RETAIL VAT Incl'!C156</f>
        <v>Cheptulu</v>
      </c>
      <c r="D157" s="529">
        <f>'PUMP PRICES RETAIL VAT Incl'!D156</f>
        <v>169.90749057707117</v>
      </c>
      <c r="E157" s="529">
        <v>0</v>
      </c>
      <c r="F157" s="529">
        <f t="shared" ref="F157:F220" si="17">(D157-E157)/1.08</f>
        <v>157.32175053432516</v>
      </c>
      <c r="G157" s="529">
        <f>'PUMP PRICES RETAIL VAT Incl'!E156</f>
        <v>172.85268934457548</v>
      </c>
      <c r="H157" s="529">
        <v>0</v>
      </c>
      <c r="I157" s="529">
        <f t="shared" si="13"/>
        <v>160.04878643016247</v>
      </c>
      <c r="J157" s="529">
        <f>'PUMP PRICES RETAIL VAT Incl'!F156</f>
        <v>170.06386155738241</v>
      </c>
      <c r="K157" s="529">
        <v>0</v>
      </c>
      <c r="L157" s="529">
        <f t="shared" si="14"/>
        <v>157.46653847905779</v>
      </c>
    </row>
    <row r="158" spans="1:28">
      <c r="B158" s="552">
        <f t="shared" si="15"/>
        <v>152</v>
      </c>
      <c r="C158" s="528" t="str">
        <f>'PUMP PRICES RETAIL VAT Incl'!C157</f>
        <v>Songor</v>
      </c>
      <c r="D158" s="529">
        <f>'PUMP PRICES RETAIL VAT Incl'!D157</f>
        <v>170.45044635372835</v>
      </c>
      <c r="E158" s="529">
        <v>0</v>
      </c>
      <c r="F158" s="529">
        <f t="shared" si="17"/>
        <v>157.82448736456328</v>
      </c>
      <c r="G158" s="529">
        <f>'PUMP PRICES RETAIL VAT Incl'!E157</f>
        <v>173.39564512123263</v>
      </c>
      <c r="H158" s="529">
        <v>0</v>
      </c>
      <c r="I158" s="529">
        <f t="shared" si="13"/>
        <v>160.55152326040059</v>
      </c>
      <c r="J158" s="529">
        <f>'PUMP PRICES RETAIL VAT Incl'!F157</f>
        <v>170.60681733403959</v>
      </c>
      <c r="K158" s="529">
        <v>0</v>
      </c>
      <c r="L158" s="529">
        <f t="shared" si="14"/>
        <v>157.96927530929591</v>
      </c>
    </row>
    <row r="159" spans="1:28">
      <c r="B159" s="552">
        <f t="shared" si="15"/>
        <v>153</v>
      </c>
      <c r="C159" s="528" t="str">
        <f>'PUMP PRICES RETAIL VAT Incl'!C158</f>
        <v>Kapcherop</v>
      </c>
      <c r="D159" s="529">
        <f>'PUMP PRICES RETAIL VAT Incl'!D158</f>
        <v>170.08514250262354</v>
      </c>
      <c r="E159" s="529">
        <v>0</v>
      </c>
      <c r="F159" s="529">
        <f t="shared" si="17"/>
        <v>157.48624305798475</v>
      </c>
      <c r="G159" s="529">
        <f>'PUMP PRICES RETAIL VAT Incl'!E158</f>
        <v>173.04034127012784</v>
      </c>
      <c r="H159" s="529">
        <v>0</v>
      </c>
      <c r="I159" s="529">
        <f t="shared" si="13"/>
        <v>160.22253821308132</v>
      </c>
      <c r="J159" s="529">
        <f>'PUMP PRICES RETAIL VAT Incl'!F158</f>
        <v>170.24151348293481</v>
      </c>
      <c r="K159" s="529">
        <v>0</v>
      </c>
      <c r="L159" s="529">
        <f t="shared" si="14"/>
        <v>157.63103100271741</v>
      </c>
    </row>
    <row r="160" spans="1:28">
      <c r="B160" s="552">
        <f t="shared" si="15"/>
        <v>154</v>
      </c>
      <c r="C160" s="528" t="str">
        <f>'PUMP PRICES RETAIL VAT Incl'!C159</f>
        <v>Sambalat</v>
      </c>
      <c r="D160" s="529">
        <f>'PUMP PRICES RETAIL VAT Incl'!D159</f>
        <v>170.76982479221479</v>
      </c>
      <c r="E160" s="529">
        <v>0</v>
      </c>
      <c r="F160" s="529">
        <f t="shared" si="17"/>
        <v>158.12020814093961</v>
      </c>
      <c r="G160" s="529">
        <f>'PUMP PRICES RETAIL VAT Incl'!E159</f>
        <v>173.72502355971906</v>
      </c>
      <c r="H160" s="529">
        <v>0</v>
      </c>
      <c r="I160" s="529">
        <f t="shared" si="13"/>
        <v>160.85650329603615</v>
      </c>
      <c r="J160" s="529">
        <f>'PUMP PRICES RETAIL VAT Incl'!F159</f>
        <v>170.926195772526</v>
      </c>
      <c r="K160" s="529">
        <v>0</v>
      </c>
      <c r="L160" s="529">
        <f t="shared" si="14"/>
        <v>158.26499608567221</v>
      </c>
    </row>
    <row r="161" spans="2:12">
      <c r="B161" s="552">
        <f t="shared" si="15"/>
        <v>155</v>
      </c>
      <c r="C161" s="528" t="str">
        <f>'PUMP PRICES RETAIL VAT Incl'!C160</f>
        <v>Arror</v>
      </c>
      <c r="D161" s="529">
        <f>'PUMP PRICES RETAIL VAT Incl'!D160</f>
        <v>170.41649607864946</v>
      </c>
      <c r="E161" s="529">
        <v>0</v>
      </c>
      <c r="F161" s="529">
        <f t="shared" si="17"/>
        <v>157.79305192467541</v>
      </c>
      <c r="G161" s="529">
        <f>'PUMP PRICES RETAIL VAT Incl'!E160</f>
        <v>173.37169484615373</v>
      </c>
      <c r="H161" s="529">
        <v>0</v>
      </c>
      <c r="I161" s="529">
        <f t="shared" si="13"/>
        <v>160.52934707977195</v>
      </c>
      <c r="J161" s="529">
        <f>'PUMP PRICES RETAIL VAT Incl'!F160</f>
        <v>170.58286705896069</v>
      </c>
      <c r="K161" s="529">
        <v>0</v>
      </c>
      <c r="L161" s="529">
        <f t="shared" si="14"/>
        <v>157.9470991286673</v>
      </c>
    </row>
    <row r="162" spans="2:12">
      <c r="B162" s="552">
        <f t="shared" si="15"/>
        <v>156</v>
      </c>
      <c r="C162" s="528" t="str">
        <f>'PUMP PRICES RETAIL VAT Incl'!C161</f>
        <v>Tot</v>
      </c>
      <c r="D162" s="529">
        <f>'PUMP PRICES RETAIL VAT Incl'!D161</f>
        <v>170.62809827928072</v>
      </c>
      <c r="E162" s="529">
        <v>0</v>
      </c>
      <c r="F162" s="529">
        <f t="shared" si="17"/>
        <v>157.98897988822287</v>
      </c>
      <c r="G162" s="529">
        <f>'PUMP PRICES RETAIL VAT Incl'!E161</f>
        <v>173.58329704678505</v>
      </c>
      <c r="H162" s="529">
        <v>0</v>
      </c>
      <c r="I162" s="529">
        <f t="shared" si="13"/>
        <v>160.72527504331947</v>
      </c>
      <c r="J162" s="529">
        <f>'PUMP PRICES RETAIL VAT Incl'!F161</f>
        <v>170.78446925959199</v>
      </c>
      <c r="K162" s="529">
        <v>0</v>
      </c>
      <c r="L162" s="529">
        <f t="shared" si="14"/>
        <v>158.13376783295553</v>
      </c>
    </row>
    <row r="163" spans="2:12">
      <c r="B163" s="552">
        <f t="shared" si="15"/>
        <v>157</v>
      </c>
      <c r="C163" s="528" t="str">
        <f>'PUMP PRICES RETAIL VAT Incl'!C162</f>
        <v>Kaptarakwa</v>
      </c>
      <c r="D163" s="529">
        <f>'PUMP PRICES RETAIL VAT Incl'!D162</f>
        <v>169.67193810136098</v>
      </c>
      <c r="E163" s="529">
        <v>0</v>
      </c>
      <c r="F163" s="529">
        <f t="shared" si="17"/>
        <v>157.10364639014904</v>
      </c>
      <c r="G163" s="529">
        <f>'PUMP PRICES RETAIL VAT Incl'!E162</f>
        <v>172.62713686886525</v>
      </c>
      <c r="H163" s="529">
        <v>0</v>
      </c>
      <c r="I163" s="529">
        <f t="shared" si="13"/>
        <v>159.83994154524558</v>
      </c>
      <c r="J163" s="529">
        <f>'PUMP PRICES RETAIL VAT Incl'!F162</f>
        <v>169.82830908167222</v>
      </c>
      <c r="K163" s="529">
        <v>0</v>
      </c>
      <c r="L163" s="529">
        <f t="shared" si="14"/>
        <v>157.24843433488167</v>
      </c>
    </row>
    <row r="164" spans="2:12">
      <c r="B164" s="552">
        <f t="shared" si="15"/>
        <v>158</v>
      </c>
      <c r="C164" s="528" t="str">
        <f>'PUMP PRICES RETAIL VAT Incl'!C163</f>
        <v>Kapese</v>
      </c>
      <c r="D164" s="529">
        <f>'PUMP PRICES RETAIL VAT Incl'!D163</f>
        <v>172.62226946035705</v>
      </c>
      <c r="E164" s="529">
        <v>0</v>
      </c>
      <c r="F164" s="529">
        <f t="shared" si="17"/>
        <v>159.83543468551576</v>
      </c>
      <c r="G164" s="529">
        <f>'PUMP PRICES RETAIL VAT Incl'!E163</f>
        <v>175.57746822786132</v>
      </c>
      <c r="H164" s="529">
        <v>0</v>
      </c>
      <c r="I164" s="529">
        <f t="shared" si="13"/>
        <v>162.57172984061231</v>
      </c>
      <c r="J164" s="529">
        <f>'PUMP PRICES RETAIL VAT Incl'!F163</f>
        <v>172.77864044066828</v>
      </c>
      <c r="K164" s="529">
        <v>0</v>
      </c>
      <c r="L164" s="529">
        <f t="shared" si="14"/>
        <v>159.98022263024839</v>
      </c>
    </row>
    <row r="165" spans="2:12">
      <c r="B165" s="552">
        <f t="shared" si="15"/>
        <v>159</v>
      </c>
      <c r="C165" s="528" t="str">
        <f>'PUMP PRICES RETAIL VAT Incl'!C164</f>
        <v>Kalemngorok</v>
      </c>
      <c r="D165" s="529">
        <f>'PUMP PRICES RETAIL VAT Incl'!D164</f>
        <v>172.00943799600259</v>
      </c>
      <c r="E165" s="529">
        <v>0</v>
      </c>
      <c r="F165" s="529">
        <f t="shared" si="17"/>
        <v>159.26799814444684</v>
      </c>
      <c r="G165" s="529">
        <f>'PUMP PRICES RETAIL VAT Incl'!E164</f>
        <v>174.96463676350689</v>
      </c>
      <c r="H165" s="529">
        <v>0</v>
      </c>
      <c r="I165" s="529">
        <f t="shared" si="13"/>
        <v>162.00429329954341</v>
      </c>
      <c r="J165" s="529">
        <f>'PUMP PRICES RETAIL VAT Incl'!F164</f>
        <v>172.16580897631383</v>
      </c>
      <c r="K165" s="529">
        <v>0</v>
      </c>
      <c r="L165" s="529">
        <f t="shared" si="14"/>
        <v>159.41278608917946</v>
      </c>
    </row>
    <row r="166" spans="2:12">
      <c r="B166" s="552">
        <f t="shared" si="15"/>
        <v>160</v>
      </c>
      <c r="C166" s="528" t="str">
        <f>'PUMP PRICES RETAIL VAT Incl'!C165</f>
        <v>Marich</v>
      </c>
      <c r="D166" s="529">
        <f>'PUMP PRICES RETAIL VAT Incl'!D165</f>
        <v>170.99340213038553</v>
      </c>
      <c r="E166" s="529">
        <v>0</v>
      </c>
      <c r="F166" s="529">
        <f t="shared" si="17"/>
        <v>158.3272241948014</v>
      </c>
      <c r="G166" s="529">
        <f>'PUMP PRICES RETAIL VAT Incl'!E165</f>
        <v>173.93860089788981</v>
      </c>
      <c r="H166" s="529">
        <v>0</v>
      </c>
      <c r="I166" s="529">
        <f t="shared" si="13"/>
        <v>161.05426009063871</v>
      </c>
      <c r="J166" s="529">
        <f>'PUMP PRICES RETAIL VAT Incl'!F165</f>
        <v>171.14977311069677</v>
      </c>
      <c r="K166" s="529">
        <v>0</v>
      </c>
      <c r="L166" s="529">
        <f t="shared" si="14"/>
        <v>158.47201213953403</v>
      </c>
    </row>
    <row r="167" spans="2:12">
      <c r="B167" s="552">
        <f t="shared" si="15"/>
        <v>161</v>
      </c>
      <c r="C167" s="528" t="str">
        <f>'PUMP PRICES RETAIL VAT Incl'!C166</f>
        <v>Alale</v>
      </c>
      <c r="D167" s="529">
        <f>'PUMP PRICES RETAIL VAT Incl'!D166</f>
        <v>171.47845735688486</v>
      </c>
      <c r="E167" s="529">
        <v>0</v>
      </c>
      <c r="F167" s="529">
        <f t="shared" si="17"/>
        <v>158.77634940452302</v>
      </c>
      <c r="G167" s="529">
        <f>'PUMP PRICES RETAIL VAT Incl'!E166</f>
        <v>174.43365612438916</v>
      </c>
      <c r="H167" s="529">
        <v>0</v>
      </c>
      <c r="I167" s="529">
        <f t="shared" si="13"/>
        <v>161.51264455961959</v>
      </c>
      <c r="J167" s="529">
        <f>'PUMP PRICES RETAIL VAT Incl'!F166</f>
        <v>171.63482833719613</v>
      </c>
      <c r="K167" s="529">
        <v>0</v>
      </c>
      <c r="L167" s="529">
        <f t="shared" si="14"/>
        <v>158.92113734925567</v>
      </c>
    </row>
    <row r="168" spans="2:12">
      <c r="B168" s="552">
        <f t="shared" si="15"/>
        <v>162</v>
      </c>
      <c r="C168" s="528" t="str">
        <f>'PUMP PRICES RETAIL VAT Incl'!C167</f>
        <v>Kunyao</v>
      </c>
      <c r="D168" s="529">
        <f>'PUMP PRICES RETAIL VAT Incl'!D167</f>
        <v>171.14710378085903</v>
      </c>
      <c r="E168" s="529">
        <v>0</v>
      </c>
      <c r="F168" s="529">
        <f t="shared" si="17"/>
        <v>158.46954053783242</v>
      </c>
      <c r="G168" s="529">
        <f>'PUMP PRICES RETAIL VAT Incl'!E167</f>
        <v>174.1023025483633</v>
      </c>
      <c r="H168" s="529">
        <v>0</v>
      </c>
      <c r="I168" s="529">
        <f t="shared" si="13"/>
        <v>161.20583569292896</v>
      </c>
      <c r="J168" s="529">
        <f>'PUMP PRICES RETAIL VAT Incl'!F167</f>
        <v>171.30347476117024</v>
      </c>
      <c r="K168" s="529">
        <v>0</v>
      </c>
      <c r="L168" s="529">
        <f t="shared" si="14"/>
        <v>158.61432848256501</v>
      </c>
    </row>
    <row r="169" spans="2:12">
      <c r="B169" s="552">
        <f t="shared" si="15"/>
        <v>163</v>
      </c>
      <c r="C169" s="528" t="str">
        <f>'PUMP PRICES RETAIL VAT Incl'!C168</f>
        <v>Asilong</v>
      </c>
      <c r="D169" s="529">
        <f>'PUMP PRICES RETAIL VAT Incl'!D168</f>
        <v>170.73389937959641</v>
      </c>
      <c r="E169" s="529">
        <v>0</v>
      </c>
      <c r="F169" s="529">
        <f t="shared" si="17"/>
        <v>158.08694386999667</v>
      </c>
      <c r="G169" s="529">
        <f>'PUMP PRICES RETAIL VAT Incl'!E168</f>
        <v>173.68909814710068</v>
      </c>
      <c r="H169" s="529">
        <v>0</v>
      </c>
      <c r="I169" s="529">
        <f t="shared" si="13"/>
        <v>160.82323902509322</v>
      </c>
      <c r="J169" s="529">
        <f>'PUMP PRICES RETAIL VAT Incl'!F168</f>
        <v>170.89027035990762</v>
      </c>
      <c r="K169" s="529">
        <v>0</v>
      </c>
      <c r="L169" s="529">
        <f t="shared" si="14"/>
        <v>158.23173181472927</v>
      </c>
    </row>
    <row r="170" spans="2:12">
      <c r="B170" s="552">
        <f t="shared" si="15"/>
        <v>164</v>
      </c>
      <c r="C170" s="528" t="str">
        <f>'PUMP PRICES RETAIL VAT Incl'!C169</f>
        <v>Orolwo</v>
      </c>
      <c r="D170" s="529">
        <f>'PUMP PRICES RETAIL VAT Incl'!D169</f>
        <v>170.76982479221479</v>
      </c>
      <c r="E170" s="529">
        <v>0</v>
      </c>
      <c r="F170" s="529">
        <f t="shared" si="17"/>
        <v>158.12020814093961</v>
      </c>
      <c r="G170" s="529">
        <f>'PUMP PRICES RETAIL VAT Incl'!E169</f>
        <v>173.72502355971906</v>
      </c>
      <c r="H170" s="529">
        <v>0</v>
      </c>
      <c r="I170" s="529">
        <f t="shared" si="13"/>
        <v>160.85650329603615</v>
      </c>
      <c r="J170" s="529">
        <f>'PUMP PRICES RETAIL VAT Incl'!F169</f>
        <v>170.926195772526</v>
      </c>
      <c r="K170" s="529">
        <v>0</v>
      </c>
      <c r="L170" s="529">
        <f t="shared" si="14"/>
        <v>158.26499608567221</v>
      </c>
    </row>
    <row r="171" spans="2:12">
      <c r="B171" s="552">
        <f t="shared" si="15"/>
        <v>165</v>
      </c>
      <c r="C171" s="528" t="str">
        <f>'PUMP PRICES RETAIL VAT Incl'!C170</f>
        <v>Sebit</v>
      </c>
      <c r="D171" s="529">
        <f>'PUMP PRICES RETAIL VAT Incl'!D170</f>
        <v>170.72192424205693</v>
      </c>
      <c r="E171" s="529">
        <v>0</v>
      </c>
      <c r="F171" s="529">
        <f t="shared" si="17"/>
        <v>158.07585577968234</v>
      </c>
      <c r="G171" s="529">
        <f>'PUMP PRICES RETAIL VAT Incl'!E170</f>
        <v>173.66712300956124</v>
      </c>
      <c r="H171" s="529">
        <v>0</v>
      </c>
      <c r="I171" s="529">
        <f t="shared" si="13"/>
        <v>160.80289167551965</v>
      </c>
      <c r="J171" s="529">
        <f>'PUMP PRICES RETAIL VAT Incl'!F170</f>
        <v>170.87829522236817</v>
      </c>
      <c r="K171" s="529">
        <v>0</v>
      </c>
      <c r="L171" s="529">
        <f t="shared" si="14"/>
        <v>158.22064372441497</v>
      </c>
    </row>
    <row r="172" spans="2:12">
      <c r="B172" s="552">
        <f t="shared" si="15"/>
        <v>166</v>
      </c>
      <c r="C172" s="528" t="str">
        <f>'PUMP PRICES RETAIL VAT Incl'!C171</f>
        <v>Morpus</v>
      </c>
      <c r="D172" s="529">
        <f>'PUMP PRICES RETAIL VAT Incl'!D171</f>
        <v>170.62809827928072</v>
      </c>
      <c r="E172" s="529">
        <v>0</v>
      </c>
      <c r="F172" s="529">
        <f t="shared" si="17"/>
        <v>157.98897988822287</v>
      </c>
      <c r="G172" s="529">
        <f>'PUMP PRICES RETAIL VAT Incl'!E171</f>
        <v>173.58329704678505</v>
      </c>
      <c r="H172" s="529">
        <v>0</v>
      </c>
      <c r="I172" s="529">
        <f t="shared" si="13"/>
        <v>160.72527504331947</v>
      </c>
      <c r="J172" s="529">
        <f>'PUMP PRICES RETAIL VAT Incl'!F171</f>
        <v>170.78446925959199</v>
      </c>
      <c r="K172" s="529">
        <v>0</v>
      </c>
      <c r="L172" s="529">
        <f t="shared" si="14"/>
        <v>158.13376783295553</v>
      </c>
    </row>
    <row r="173" spans="2:12">
      <c r="B173" s="552">
        <f t="shared" si="15"/>
        <v>167</v>
      </c>
      <c r="C173" s="528" t="str">
        <f>'PUMP PRICES RETAIL VAT Incl'!C172</f>
        <v>Chepkorniswo</v>
      </c>
      <c r="D173" s="529">
        <f>'PUMP PRICES RETAIL VAT Incl'!D172</f>
        <v>170.51032204142564</v>
      </c>
      <c r="E173" s="529">
        <v>0</v>
      </c>
      <c r="F173" s="529">
        <f t="shared" si="17"/>
        <v>157.87992781613485</v>
      </c>
      <c r="G173" s="529">
        <f>'PUMP PRICES RETAIL VAT Incl'!E172</f>
        <v>173.46552080892991</v>
      </c>
      <c r="H173" s="529">
        <v>0</v>
      </c>
      <c r="I173" s="529">
        <f t="shared" si="13"/>
        <v>160.61622297123139</v>
      </c>
      <c r="J173" s="529">
        <f>'PUMP PRICES RETAIL VAT Incl'!F172</f>
        <v>170.66669302173688</v>
      </c>
      <c r="K173" s="529">
        <v>0</v>
      </c>
      <c r="L173" s="529">
        <f t="shared" si="14"/>
        <v>158.02471576086748</v>
      </c>
    </row>
    <row r="174" spans="2:12">
      <c r="B174" s="552">
        <f t="shared" si="15"/>
        <v>168</v>
      </c>
      <c r="C174" s="528" t="str">
        <f>'PUMP PRICES RETAIL VAT Incl'!C173</f>
        <v>Kaibichbich</v>
      </c>
      <c r="D174" s="529">
        <f>'PUMP PRICES RETAIL VAT Incl'!D173</f>
        <v>170.46242149126783</v>
      </c>
      <c r="E174" s="529">
        <v>0</v>
      </c>
      <c r="F174" s="529">
        <f t="shared" si="17"/>
        <v>157.83557545487761</v>
      </c>
      <c r="G174" s="529">
        <f>'PUMP PRICES RETAIL VAT Incl'!E173</f>
        <v>173.4176202587721</v>
      </c>
      <c r="H174" s="529">
        <v>0</v>
      </c>
      <c r="I174" s="529">
        <f t="shared" si="13"/>
        <v>160.57187060997416</v>
      </c>
      <c r="J174" s="529">
        <f>'PUMP PRICES RETAIL VAT Incl'!F173</f>
        <v>170.61879247157907</v>
      </c>
      <c r="K174" s="529">
        <v>0</v>
      </c>
      <c r="L174" s="529">
        <f t="shared" si="14"/>
        <v>157.98036339961024</v>
      </c>
    </row>
    <row r="175" spans="2:12">
      <c r="B175" s="552">
        <f t="shared" si="15"/>
        <v>169</v>
      </c>
      <c r="C175" s="528" t="str">
        <f>'PUMP PRICES RETAIL VAT Incl'!C174</f>
        <v>Keringet</v>
      </c>
      <c r="D175" s="529">
        <f>'PUMP PRICES RETAIL VAT Incl'!D174</f>
        <v>170.19094360293923</v>
      </c>
      <c r="E175" s="529">
        <v>0</v>
      </c>
      <c r="F175" s="529">
        <f t="shared" si="17"/>
        <v>157.58420703975852</v>
      </c>
      <c r="G175" s="529">
        <f>'PUMP PRICES RETAIL VAT Incl'!E174</f>
        <v>173.14614237044353</v>
      </c>
      <c r="H175" s="529">
        <v>0</v>
      </c>
      <c r="I175" s="529">
        <f t="shared" si="13"/>
        <v>160.3205021948551</v>
      </c>
      <c r="J175" s="529">
        <f>'PUMP PRICES RETAIL VAT Incl'!F174</f>
        <v>170.34731458325047</v>
      </c>
      <c r="K175" s="529">
        <v>0</v>
      </c>
      <c r="L175" s="529">
        <f t="shared" si="14"/>
        <v>157.72899498449115</v>
      </c>
    </row>
    <row r="176" spans="2:12">
      <c r="B176" s="567">
        <v>170</v>
      </c>
      <c r="C176" s="568" t="str">
        <f>'PUMP PRICES RETAIL VAT Incl'!C175</f>
        <v>Kisumu</v>
      </c>
      <c r="D176" s="569">
        <f>'PUMP PRICES RETAIL VAT Incl'!D175</f>
        <v>169.46734177700642</v>
      </c>
      <c r="E176" s="569">
        <v>0</v>
      </c>
      <c r="F176" s="569">
        <f t="shared" si="17"/>
        <v>156.91420534908002</v>
      </c>
      <c r="G176" s="569">
        <f>'PUMP PRICES RETAIL VAT Incl'!E175</f>
        <v>172.4225405445107</v>
      </c>
      <c r="H176" s="569">
        <v>0</v>
      </c>
      <c r="I176" s="569">
        <f t="shared" si="13"/>
        <v>159.65050050417656</v>
      </c>
      <c r="J176" s="569">
        <f>'PUMP PRICES RETAIL VAT Incl'!F175</f>
        <v>169.63371275731762</v>
      </c>
      <c r="K176" s="569">
        <v>0</v>
      </c>
      <c r="L176" s="569">
        <f t="shared" si="14"/>
        <v>157.06825255307186</v>
      </c>
    </row>
    <row r="177" spans="2:12">
      <c r="B177" s="187">
        <v>171</v>
      </c>
      <c r="C177" s="528" t="str">
        <f>'PUMP PRICES RETAIL VAT Incl'!C176</f>
        <v>Sondu</v>
      </c>
      <c r="D177" s="529">
        <f>'PUMP PRICES RETAIL VAT Incl'!D176</f>
        <v>169.5720371110769</v>
      </c>
      <c r="E177" s="529">
        <v>0</v>
      </c>
      <c r="F177" s="529">
        <f t="shared" si="17"/>
        <v>157.01114547321933</v>
      </c>
      <c r="G177" s="529">
        <f>'PUMP PRICES RETAIL VAT Incl'!E176</f>
        <v>172.52723587858117</v>
      </c>
      <c r="H177" s="529">
        <v>0</v>
      </c>
      <c r="I177" s="529">
        <f t="shared" si="13"/>
        <v>159.74744062831587</v>
      </c>
      <c r="J177" s="529">
        <f>'PUMP PRICES RETAIL VAT Incl'!F176</f>
        <v>169.7284080913881</v>
      </c>
      <c r="K177" s="529">
        <v>0</v>
      </c>
      <c r="L177" s="529">
        <f t="shared" si="14"/>
        <v>157.15593341795193</v>
      </c>
    </row>
    <row r="178" spans="2:12">
      <c r="B178" s="187">
        <v>172</v>
      </c>
      <c r="C178" s="528" t="str">
        <f>'PUMP PRICES RETAIL VAT Incl'!C177</f>
        <v>Oyugis</v>
      </c>
      <c r="D178" s="529">
        <f>'PUMP PRICES RETAIL VAT Incl'!D177</f>
        <v>170.0587097412986</v>
      </c>
      <c r="E178" s="529">
        <v>0</v>
      </c>
      <c r="F178" s="529">
        <f t="shared" si="17"/>
        <v>157.46176827898017</v>
      </c>
      <c r="G178" s="529">
        <f>'PUMP PRICES RETAIL VAT Incl'!E177</f>
        <v>173.01390850880287</v>
      </c>
      <c r="H178" s="529">
        <v>0</v>
      </c>
      <c r="I178" s="529">
        <f t="shared" si="13"/>
        <v>160.19806343407672</v>
      </c>
      <c r="J178" s="529">
        <f>'PUMP PRICES RETAIL VAT Incl'!F177</f>
        <v>170.21508072160981</v>
      </c>
      <c r="K178" s="529">
        <v>0</v>
      </c>
      <c r="L178" s="529">
        <f t="shared" si="14"/>
        <v>157.60655622371277</v>
      </c>
    </row>
    <row r="179" spans="2:12">
      <c r="B179" s="187">
        <v>173</v>
      </c>
      <c r="C179" s="528" t="str">
        <f>'PUMP PRICES RETAIL VAT Incl'!C178</f>
        <v>Kakamega</v>
      </c>
      <c r="D179" s="529">
        <f>'PUMP PRICES RETAIL VAT Incl'!D178</f>
        <v>169.52293904716515</v>
      </c>
      <c r="E179" s="529">
        <v>0</v>
      </c>
      <c r="F179" s="529">
        <f t="shared" si="17"/>
        <v>156.9656843029307</v>
      </c>
      <c r="G179" s="529">
        <f>'PUMP PRICES RETAIL VAT Incl'!E178</f>
        <v>172.4781378146694</v>
      </c>
      <c r="H179" s="529">
        <v>0</v>
      </c>
      <c r="I179" s="529">
        <f t="shared" si="13"/>
        <v>159.70197945802721</v>
      </c>
      <c r="J179" s="529">
        <f>'PUMP PRICES RETAIL VAT Incl'!F178</f>
        <v>169.67931002747633</v>
      </c>
      <c r="K179" s="529">
        <v>0</v>
      </c>
      <c r="L179" s="529">
        <f t="shared" si="14"/>
        <v>157.11047224766327</v>
      </c>
    </row>
    <row r="180" spans="2:12">
      <c r="B180" s="187">
        <v>174</v>
      </c>
      <c r="C180" s="528" t="str">
        <f>'PUMP PRICES RETAIL VAT Incl'!C179</f>
        <v>Mumias</v>
      </c>
      <c r="D180" s="529">
        <f>'PUMP PRICES RETAIL VAT Incl'!D179</f>
        <v>169.7980094767556</v>
      </c>
      <c r="E180" s="529">
        <v>0</v>
      </c>
      <c r="F180" s="529">
        <f t="shared" si="17"/>
        <v>157.22037914514405</v>
      </c>
      <c r="G180" s="529">
        <f>'PUMP PRICES RETAIL VAT Incl'!E179</f>
        <v>172.75320824425984</v>
      </c>
      <c r="H180" s="529">
        <v>0</v>
      </c>
      <c r="I180" s="529">
        <f t="shared" si="13"/>
        <v>159.95667430024059</v>
      </c>
      <c r="J180" s="529">
        <f>'PUMP PRICES RETAIL VAT Incl'!F179</f>
        <v>169.95438045706678</v>
      </c>
      <c r="K180" s="529">
        <v>0</v>
      </c>
      <c r="L180" s="529">
        <f t="shared" si="14"/>
        <v>157.36516708987662</v>
      </c>
    </row>
    <row r="181" spans="2:12">
      <c r="B181" s="187">
        <v>175</v>
      </c>
      <c r="C181" s="528" t="str">
        <f>'PUMP PRICES RETAIL VAT Incl'!C180</f>
        <v>Bondo</v>
      </c>
      <c r="D181" s="529">
        <f>'PUMP PRICES RETAIL VAT Incl'!D180</f>
        <v>169.68262826640836</v>
      </c>
      <c r="E181" s="529">
        <v>0</v>
      </c>
      <c r="F181" s="529">
        <f t="shared" si="17"/>
        <v>157.11354469111885</v>
      </c>
      <c r="G181" s="529">
        <f>'PUMP PRICES RETAIL VAT Incl'!E180</f>
        <v>172.6378270339126</v>
      </c>
      <c r="H181" s="529">
        <v>0</v>
      </c>
      <c r="I181" s="529">
        <f t="shared" si="13"/>
        <v>159.84983984621536</v>
      </c>
      <c r="J181" s="529">
        <f>'PUMP PRICES RETAIL VAT Incl'!F180</f>
        <v>169.83899924671957</v>
      </c>
      <c r="K181" s="529">
        <v>0</v>
      </c>
      <c r="L181" s="529">
        <f t="shared" si="14"/>
        <v>157.25833263585145</v>
      </c>
    </row>
    <row r="182" spans="2:12">
      <c r="B182" s="187">
        <v>176</v>
      </c>
      <c r="C182" s="528" t="str">
        <f>'PUMP PRICES RETAIL VAT Incl'!C181</f>
        <v>Siaya</v>
      </c>
      <c r="D182" s="529">
        <f>'PUMP PRICES RETAIL VAT Incl'!D181</f>
        <v>169.80519455927922</v>
      </c>
      <c r="E182" s="529">
        <v>0</v>
      </c>
      <c r="F182" s="529">
        <f t="shared" si="17"/>
        <v>157.22703199933261</v>
      </c>
      <c r="G182" s="529">
        <f>'PUMP PRICES RETAIL VAT Incl'!E181</f>
        <v>172.76039332678349</v>
      </c>
      <c r="H182" s="529">
        <v>0</v>
      </c>
      <c r="I182" s="529">
        <f t="shared" si="13"/>
        <v>159.96332715442915</v>
      </c>
      <c r="J182" s="529">
        <f>'PUMP PRICES RETAIL VAT Incl'!F181</f>
        <v>169.96156553959042</v>
      </c>
      <c r="K182" s="529">
        <v>0</v>
      </c>
      <c r="L182" s="529">
        <f t="shared" si="14"/>
        <v>157.37181994406521</v>
      </c>
    </row>
    <row r="183" spans="2:12">
      <c r="B183" s="187">
        <v>177</v>
      </c>
      <c r="C183" s="528" t="str">
        <f>'PUMP PRICES RETAIL VAT Incl'!C182</f>
        <v>Kericho</v>
      </c>
      <c r="D183" s="529">
        <f>'PUMP PRICES RETAIL VAT Incl'!D182</f>
        <v>169.97805642981584</v>
      </c>
      <c r="E183" s="529">
        <v>0</v>
      </c>
      <c r="F183" s="529">
        <f t="shared" si="17"/>
        <v>157.38708928686651</v>
      </c>
      <c r="G183" s="529">
        <f>'PUMP PRICES RETAIL VAT Incl'!E182</f>
        <v>172.93325519732011</v>
      </c>
      <c r="H183" s="529">
        <v>0</v>
      </c>
      <c r="I183" s="529">
        <f t="shared" si="13"/>
        <v>160.12338444196305</v>
      </c>
      <c r="J183" s="529">
        <f>'PUMP PRICES RETAIL VAT Incl'!F182</f>
        <v>170.13442741012705</v>
      </c>
      <c r="K183" s="529">
        <v>0</v>
      </c>
      <c r="L183" s="529">
        <f t="shared" si="14"/>
        <v>157.53187723159911</v>
      </c>
    </row>
    <row r="184" spans="2:12">
      <c r="B184" s="187">
        <v>178</v>
      </c>
      <c r="C184" s="528" t="str">
        <f>'PUMP PRICES RETAIL VAT Incl'!C183</f>
        <v>Nyamira</v>
      </c>
      <c r="D184" s="529">
        <f>'PUMP PRICES RETAIL VAT Incl'!D183</f>
        <v>170.04553709000524</v>
      </c>
      <c r="E184" s="529">
        <v>0</v>
      </c>
      <c r="F184" s="529">
        <f t="shared" si="17"/>
        <v>157.44957137963448</v>
      </c>
      <c r="G184" s="529">
        <f>'PUMP PRICES RETAIL VAT Incl'!E183</f>
        <v>172.99073585750949</v>
      </c>
      <c r="H184" s="529">
        <v>0</v>
      </c>
      <c r="I184" s="529">
        <f t="shared" si="13"/>
        <v>160.17660727547175</v>
      </c>
      <c r="J184" s="529">
        <f>'PUMP PRICES RETAIL VAT Incl'!F183</f>
        <v>170.20190807031645</v>
      </c>
      <c r="K184" s="529">
        <v>0</v>
      </c>
      <c r="L184" s="529">
        <f t="shared" si="14"/>
        <v>157.59435932436708</v>
      </c>
    </row>
    <row r="185" spans="2:12">
      <c r="B185" s="187">
        <v>179</v>
      </c>
      <c r="C185" s="528" t="str">
        <f>'PUMP PRICES RETAIL VAT Incl'!C184</f>
        <v>Kisii</v>
      </c>
      <c r="D185" s="529">
        <f>'PUMP PRICES RETAIL VAT Incl'!D184</f>
        <v>170.3529403909522</v>
      </c>
      <c r="E185" s="529">
        <v>0</v>
      </c>
      <c r="F185" s="529">
        <f t="shared" si="17"/>
        <v>157.73420406569647</v>
      </c>
      <c r="G185" s="529">
        <f>'PUMP PRICES RETAIL VAT Incl'!E184</f>
        <v>173.30813915845644</v>
      </c>
      <c r="H185" s="529">
        <v>0</v>
      </c>
      <c r="I185" s="529">
        <f t="shared" si="13"/>
        <v>160.47049922079299</v>
      </c>
      <c r="J185" s="529">
        <f>'PUMP PRICES RETAIL VAT Incl'!F184</f>
        <v>170.50931137126338</v>
      </c>
      <c r="K185" s="529">
        <v>0</v>
      </c>
      <c r="L185" s="529">
        <f t="shared" si="14"/>
        <v>157.87899201042904</v>
      </c>
    </row>
    <row r="186" spans="2:12">
      <c r="B186" s="187">
        <v>180</v>
      </c>
      <c r="C186" s="528" t="str">
        <f>'PUMP PRICES RETAIL VAT Incl'!C185</f>
        <v>Sotik</v>
      </c>
      <c r="D186" s="529">
        <f>'PUMP PRICES RETAIL VAT Incl'!D185</f>
        <v>170.18486857543138</v>
      </c>
      <c r="E186" s="529">
        <v>0</v>
      </c>
      <c r="F186" s="529">
        <f t="shared" si="17"/>
        <v>157.57858201428832</v>
      </c>
      <c r="G186" s="529">
        <f>'PUMP PRICES RETAIL VAT Incl'!E185</f>
        <v>173.1300673429356</v>
      </c>
      <c r="H186" s="529">
        <v>0</v>
      </c>
      <c r="I186" s="529">
        <f t="shared" si="13"/>
        <v>160.30561791012556</v>
      </c>
      <c r="J186" s="529">
        <f>'PUMP PRICES RETAIL VAT Incl'!F185</f>
        <v>170.34123955574256</v>
      </c>
      <c r="K186" s="529">
        <v>0</v>
      </c>
      <c r="L186" s="529">
        <f t="shared" si="14"/>
        <v>157.72336995902089</v>
      </c>
    </row>
    <row r="187" spans="2:12">
      <c r="B187" s="187">
        <v>181</v>
      </c>
      <c r="C187" s="528" t="str">
        <f>'PUMP PRICES RETAIL VAT Incl'!C186</f>
        <v>Keroka</v>
      </c>
      <c r="D187" s="529">
        <f>'PUMP PRICES RETAIL VAT Incl'!D186</f>
        <v>170.36491552849162</v>
      </c>
      <c r="E187" s="529">
        <v>0</v>
      </c>
      <c r="F187" s="529">
        <f t="shared" si="17"/>
        <v>157.74529215601075</v>
      </c>
      <c r="G187" s="529">
        <f>'PUMP PRICES RETAIL VAT Incl'!E186</f>
        <v>173.32011429599589</v>
      </c>
      <c r="H187" s="529">
        <v>0</v>
      </c>
      <c r="I187" s="529">
        <f t="shared" si="13"/>
        <v>160.48158731110729</v>
      </c>
      <c r="J187" s="529">
        <f>'PUMP PRICES RETAIL VAT Incl'!F186</f>
        <v>170.52128650880283</v>
      </c>
      <c r="K187" s="529">
        <v>0</v>
      </c>
      <c r="L187" s="529">
        <f t="shared" si="14"/>
        <v>157.89008010074335</v>
      </c>
    </row>
    <row r="188" spans="2:12">
      <c r="B188" s="187">
        <v>182</v>
      </c>
      <c r="C188" s="528" t="str">
        <f>'PUMP PRICES RETAIL VAT Incl'!C187</f>
        <v>Busia</v>
      </c>
      <c r="D188" s="529">
        <f>'PUMP PRICES RETAIL VAT Incl'!D187</f>
        <v>170.34096525341272</v>
      </c>
      <c r="E188" s="529">
        <v>0</v>
      </c>
      <c r="F188" s="529">
        <f t="shared" si="17"/>
        <v>157.72311597538214</v>
      </c>
      <c r="G188" s="529">
        <f>'PUMP PRICES RETAIL VAT Incl'!E187</f>
        <v>173.29616402091699</v>
      </c>
      <c r="H188" s="529">
        <v>0</v>
      </c>
      <c r="I188" s="529">
        <f t="shared" si="13"/>
        <v>160.45941113047868</v>
      </c>
      <c r="J188" s="529">
        <f>'PUMP PRICES RETAIL VAT Incl'!F187</f>
        <v>170.49733623372393</v>
      </c>
      <c r="K188" s="529">
        <v>0</v>
      </c>
      <c r="L188" s="529">
        <f t="shared" si="14"/>
        <v>157.86790392011474</v>
      </c>
    </row>
    <row r="189" spans="2:12">
      <c r="B189" s="187">
        <v>183</v>
      </c>
      <c r="C189" s="528" t="str">
        <f>'PUMP PRICES RETAIL VAT Incl'!C188</f>
        <v>Homabay</v>
      </c>
      <c r="D189" s="529">
        <f>'PUMP PRICES RETAIL VAT Incl'!D188</f>
        <v>170.28306470325492</v>
      </c>
      <c r="E189" s="529">
        <v>0</v>
      </c>
      <c r="F189" s="529">
        <f t="shared" si="17"/>
        <v>157.66950435486567</v>
      </c>
      <c r="G189" s="529">
        <f>'PUMP PRICES RETAIL VAT Incl'!E188</f>
        <v>173.23826347075916</v>
      </c>
      <c r="H189" s="529">
        <v>0</v>
      </c>
      <c r="I189" s="529">
        <f t="shared" si="13"/>
        <v>160.40579950996218</v>
      </c>
      <c r="J189" s="529">
        <f>'PUMP PRICES RETAIL VAT Incl'!F188</f>
        <v>170.44943568356609</v>
      </c>
      <c r="K189" s="529">
        <v>0</v>
      </c>
      <c r="L189" s="529">
        <f t="shared" si="14"/>
        <v>157.82355155885747</v>
      </c>
    </row>
    <row r="190" spans="2:12">
      <c r="B190" s="187">
        <v>184</v>
      </c>
      <c r="C190" s="528" t="str">
        <f>'PUMP PRICES RETAIL VAT Incl'!C189</f>
        <v>Migori</v>
      </c>
      <c r="D190" s="529">
        <f>'PUMP PRICES RETAIL VAT Incl'!D189</f>
        <v>171.14342378085905</v>
      </c>
      <c r="E190" s="529">
        <v>0</v>
      </c>
      <c r="F190" s="529">
        <f t="shared" si="17"/>
        <v>158.46613313042505</v>
      </c>
      <c r="G190" s="529">
        <f>'PUMP PRICES RETAIL VAT Incl'!E189</f>
        <v>174.09862254836329</v>
      </c>
      <c r="H190" s="529">
        <v>0</v>
      </c>
      <c r="I190" s="529">
        <f t="shared" si="13"/>
        <v>161.20242828552156</v>
      </c>
      <c r="J190" s="529">
        <f>'PUMP PRICES RETAIL VAT Incl'!F189</f>
        <v>171.29979476117023</v>
      </c>
      <c r="K190" s="529">
        <v>0</v>
      </c>
      <c r="L190" s="529">
        <f t="shared" si="14"/>
        <v>158.61092107515762</v>
      </c>
    </row>
    <row r="191" spans="2:12">
      <c r="B191" s="187">
        <v>185</v>
      </c>
      <c r="C191" s="528" t="str">
        <f>'PUMP PRICES RETAIL VAT Incl'!C190</f>
        <v>Isebania</v>
      </c>
      <c r="D191" s="529">
        <f>'PUMP PRICES RETAIL VAT Incl'!D190</f>
        <v>171.42687680672708</v>
      </c>
      <c r="E191" s="529">
        <v>0</v>
      </c>
      <c r="F191" s="529">
        <f t="shared" si="17"/>
        <v>158.72858963585838</v>
      </c>
      <c r="G191" s="529">
        <f>'PUMP PRICES RETAIL VAT Incl'!E190</f>
        <v>174.38207557423132</v>
      </c>
      <c r="H191" s="529">
        <v>0</v>
      </c>
      <c r="I191" s="529">
        <f t="shared" si="13"/>
        <v>161.46488479095493</v>
      </c>
      <c r="J191" s="529">
        <f>'PUMP PRICES RETAIL VAT Incl'!F190</f>
        <v>171.58324778703829</v>
      </c>
      <c r="K191" s="529">
        <v>0</v>
      </c>
      <c r="L191" s="529">
        <f t="shared" si="14"/>
        <v>158.87337758059101</v>
      </c>
    </row>
    <row r="192" spans="2:12">
      <c r="B192" s="187">
        <v>186</v>
      </c>
      <c r="C192" s="528" t="str">
        <f>'PUMP PRICES RETAIL VAT Incl'!C191</f>
        <v>Bomet</v>
      </c>
      <c r="D192" s="529">
        <f>'PUMP PRICES RETAIL VAT Incl'!D191</f>
        <v>170.58849286666236</v>
      </c>
      <c r="E192" s="529">
        <v>0</v>
      </c>
      <c r="F192" s="529">
        <f t="shared" si="17"/>
        <v>157.95230820987254</v>
      </c>
      <c r="G192" s="529">
        <f>'PUMP PRICES RETAIL VAT Incl'!E191</f>
        <v>173.53369163416664</v>
      </c>
      <c r="H192" s="529">
        <v>0</v>
      </c>
      <c r="I192" s="529">
        <f t="shared" si="13"/>
        <v>160.67934410570984</v>
      </c>
      <c r="J192" s="529">
        <f>'PUMP PRICES RETAIL VAT Incl'!F191</f>
        <v>170.7448638469736</v>
      </c>
      <c r="K192" s="529">
        <v>0</v>
      </c>
      <c r="L192" s="529">
        <f t="shared" si="14"/>
        <v>158.09709615460517</v>
      </c>
    </row>
    <row r="193" spans="2:12">
      <c r="B193" s="187">
        <v>187</v>
      </c>
      <c r="C193" s="528" t="str">
        <f>'PUMP PRICES RETAIL VAT Incl'!C192</f>
        <v>Muhoroni</v>
      </c>
      <c r="D193" s="529">
        <f>'PUMP PRICES RETAIL VAT Incl'!D192</f>
        <v>169.69939345896358</v>
      </c>
      <c r="E193" s="529">
        <v>0</v>
      </c>
      <c r="F193" s="529">
        <f t="shared" si="17"/>
        <v>157.12906801755886</v>
      </c>
      <c r="G193" s="529">
        <f>'PUMP PRICES RETAIL VAT Incl'!E192</f>
        <v>172.65459222646783</v>
      </c>
      <c r="H193" s="529">
        <v>0</v>
      </c>
      <c r="I193" s="529">
        <f t="shared" si="13"/>
        <v>159.86536317265538</v>
      </c>
      <c r="J193" s="529">
        <f>'PUMP PRICES RETAIL VAT Incl'!F192</f>
        <v>169.85576443927479</v>
      </c>
      <c r="K193" s="529">
        <v>0</v>
      </c>
      <c r="L193" s="529">
        <f t="shared" si="14"/>
        <v>157.27385596229146</v>
      </c>
    </row>
    <row r="194" spans="2:12">
      <c r="B194" s="187">
        <v>188</v>
      </c>
      <c r="C194" s="528" t="str">
        <f>'PUMP PRICES RETAIL VAT Incl'!C193</f>
        <v>Mbita</v>
      </c>
      <c r="D194" s="529">
        <f>'PUMP PRICES RETAIL VAT Incl'!D193</f>
        <v>170.27108956571544</v>
      </c>
      <c r="E194" s="529">
        <v>0</v>
      </c>
      <c r="F194" s="529">
        <f t="shared" si="17"/>
        <v>157.65841626455133</v>
      </c>
      <c r="G194" s="529">
        <f>'PUMP PRICES RETAIL VAT Incl'!E193</f>
        <v>173.22628833321971</v>
      </c>
      <c r="H194" s="529">
        <v>0</v>
      </c>
      <c r="I194" s="529">
        <f t="shared" si="13"/>
        <v>160.39471141964788</v>
      </c>
      <c r="J194" s="529">
        <f>'PUMP PRICES RETAIL VAT Incl'!F193</f>
        <v>170.42746054602665</v>
      </c>
      <c r="K194" s="529">
        <v>0</v>
      </c>
      <c r="L194" s="529">
        <f t="shared" si="14"/>
        <v>157.80320420928393</v>
      </c>
    </row>
    <row r="195" spans="2:12">
      <c r="B195" s="187">
        <v>189</v>
      </c>
      <c r="C195" s="528" t="str">
        <f>'PUMP PRICES RETAIL VAT Incl'!C194</f>
        <v>Mbale</v>
      </c>
      <c r="D195" s="529">
        <f>'PUMP PRICES RETAIL VAT Incl'!D194</f>
        <v>169.46734177700642</v>
      </c>
      <c r="E195" s="529">
        <v>0</v>
      </c>
      <c r="F195" s="529">
        <f t="shared" si="17"/>
        <v>156.91420534908002</v>
      </c>
      <c r="G195" s="529">
        <f>'PUMP PRICES RETAIL VAT Incl'!E194</f>
        <v>172.4225405445107</v>
      </c>
      <c r="H195" s="529">
        <v>0</v>
      </c>
      <c r="I195" s="529">
        <f t="shared" si="13"/>
        <v>159.65050050417656</v>
      </c>
      <c r="J195" s="529">
        <f>'PUMP PRICES RETAIL VAT Incl'!F194</f>
        <v>169.63371275731762</v>
      </c>
      <c r="K195" s="529">
        <v>0</v>
      </c>
      <c r="L195" s="529">
        <f t="shared" si="14"/>
        <v>157.06825255307186</v>
      </c>
    </row>
    <row r="196" spans="2:12">
      <c r="B196" s="187">
        <v>190</v>
      </c>
      <c r="C196" s="528" t="str">
        <f>'PUMP PRICES RETAIL VAT Incl'!C195</f>
        <v>Etago</v>
      </c>
      <c r="D196" s="529">
        <f>'PUMP PRICES RETAIL VAT Incl'!D195</f>
        <v>170.91984644268828</v>
      </c>
      <c r="E196" s="529">
        <v>0</v>
      </c>
      <c r="F196" s="529">
        <f t="shared" si="17"/>
        <v>158.2591170765632</v>
      </c>
      <c r="G196" s="529">
        <f>'PUMP PRICES RETAIL VAT Incl'!E195</f>
        <v>173.87504521019252</v>
      </c>
      <c r="H196" s="529">
        <v>0</v>
      </c>
      <c r="I196" s="529">
        <f t="shared" si="13"/>
        <v>160.99541223165974</v>
      </c>
      <c r="J196" s="529">
        <f>'PUMP PRICES RETAIL VAT Incl'!F195</f>
        <v>171.07621742299946</v>
      </c>
      <c r="K196" s="529">
        <v>0</v>
      </c>
      <c r="L196" s="529">
        <f t="shared" si="14"/>
        <v>158.4039050212958</v>
      </c>
    </row>
    <row r="197" spans="2:12">
      <c r="B197" s="187">
        <v>191</v>
      </c>
      <c r="C197" s="528" t="str">
        <f>'PUMP PRICES RETAIL VAT Incl'!C196</f>
        <v>Magenche</v>
      </c>
      <c r="D197" s="529">
        <f>'PUMP PRICES RETAIL VAT Incl'!D196</f>
        <v>171.02564754300388</v>
      </c>
      <c r="E197" s="529">
        <v>0</v>
      </c>
      <c r="F197" s="529">
        <f t="shared" si="17"/>
        <v>158.35708105833692</v>
      </c>
      <c r="G197" s="529">
        <f>'PUMP PRICES RETAIL VAT Incl'!E196</f>
        <v>173.98084631050818</v>
      </c>
      <c r="H197" s="529">
        <v>0</v>
      </c>
      <c r="I197" s="529">
        <f t="shared" si="13"/>
        <v>161.09337621343349</v>
      </c>
      <c r="J197" s="529">
        <f>'PUMP PRICES RETAIL VAT Incl'!F196</f>
        <v>171.18201852331512</v>
      </c>
      <c r="K197" s="529">
        <v>0</v>
      </c>
      <c r="L197" s="529">
        <f t="shared" si="14"/>
        <v>158.50186900306954</v>
      </c>
    </row>
    <row r="198" spans="2:12">
      <c r="B198" s="187">
        <v>192</v>
      </c>
      <c r="C198" s="528" t="str">
        <f>'PUMP PRICES RETAIL VAT Incl'!C197</f>
        <v>Kilgoris</v>
      </c>
      <c r="D198" s="529">
        <f>'PUMP PRICES RETAIL VAT Incl'!D197</f>
        <v>170.859970754991</v>
      </c>
      <c r="E198" s="529">
        <v>0</v>
      </c>
      <c r="F198" s="529">
        <f t="shared" si="17"/>
        <v>158.20367662499166</v>
      </c>
      <c r="G198" s="529">
        <f>'PUMP PRICES RETAIL VAT Incl'!E197</f>
        <v>173.80516952249525</v>
      </c>
      <c r="H198" s="529">
        <v>0</v>
      </c>
      <c r="I198" s="529">
        <f t="shared" si="13"/>
        <v>160.93071252082893</v>
      </c>
      <c r="J198" s="529">
        <f>'PUMP PRICES RETAIL VAT Incl'!F197</f>
        <v>171.01634173530218</v>
      </c>
      <c r="K198" s="529">
        <v>0</v>
      </c>
      <c r="L198" s="529">
        <f t="shared" si="14"/>
        <v>158.34846456972423</v>
      </c>
    </row>
    <row r="199" spans="2:12">
      <c r="B199" s="187">
        <v>193</v>
      </c>
      <c r="C199" s="528" t="str">
        <f>'PUMP PRICES RETAIL VAT Incl'!C198</f>
        <v>Malava</v>
      </c>
      <c r="D199" s="529">
        <f>'PUMP PRICES RETAIL VAT Incl'!D198</f>
        <v>169.83393488937392</v>
      </c>
      <c r="E199" s="529">
        <v>0</v>
      </c>
      <c r="F199" s="529">
        <f t="shared" si="17"/>
        <v>157.25364341608696</v>
      </c>
      <c r="G199" s="529">
        <f>'PUMP PRICES RETAIL VAT Incl'!E198</f>
        <v>172.78913365687819</v>
      </c>
      <c r="H199" s="529">
        <v>0</v>
      </c>
      <c r="I199" s="529">
        <f t="shared" si="13"/>
        <v>159.9899385711835</v>
      </c>
      <c r="J199" s="529">
        <f>'PUMP PRICES RETAIL VAT Incl'!F198</f>
        <v>169.99030586968513</v>
      </c>
      <c r="K199" s="529">
        <v>0</v>
      </c>
      <c r="L199" s="529">
        <f t="shared" si="14"/>
        <v>157.39843136081956</v>
      </c>
    </row>
    <row r="200" spans="2:12">
      <c r="B200" s="187">
        <v>194</v>
      </c>
      <c r="C200" s="528" t="str">
        <f>'PUMP PRICES RETAIL VAT Incl'!C199</f>
        <v>Lugari</v>
      </c>
      <c r="D200" s="529">
        <f>'PUMP PRICES RETAIL VAT Incl'!D199</f>
        <v>170.22318901555764</v>
      </c>
      <c r="E200" s="529">
        <v>0</v>
      </c>
      <c r="F200" s="529">
        <f t="shared" si="17"/>
        <v>157.6140639032941</v>
      </c>
      <c r="G200" s="529">
        <f>'PUMP PRICES RETAIL VAT Incl'!E199</f>
        <v>173.17838778306188</v>
      </c>
      <c r="H200" s="529">
        <v>0</v>
      </c>
      <c r="I200" s="529">
        <f t="shared" ref="I200:I229" si="18">(G200-H200)/1.08</f>
        <v>160.35035905839061</v>
      </c>
      <c r="J200" s="529">
        <f>'PUMP PRICES RETAIL VAT Incl'!F199</f>
        <v>170.37955999586882</v>
      </c>
      <c r="K200" s="529">
        <v>0</v>
      </c>
      <c r="L200" s="529">
        <f t="shared" ref="L200:L229" si="19">(J200-K200)/1.08</f>
        <v>157.75885184802667</v>
      </c>
    </row>
    <row r="201" spans="2:12">
      <c r="B201" s="187">
        <v>195</v>
      </c>
      <c r="C201" s="528" t="str">
        <f>'PUMP PRICES RETAIL VAT Incl'!C200</f>
        <v>Rodi Kopany</v>
      </c>
      <c r="D201" s="529">
        <f>'PUMP PRICES RETAIL VAT Incl'!D200</f>
        <v>170.3529403909522</v>
      </c>
      <c r="E201" s="529">
        <v>0</v>
      </c>
      <c r="F201" s="529">
        <f t="shared" si="17"/>
        <v>157.73420406569647</v>
      </c>
      <c r="G201" s="529">
        <f>'PUMP PRICES RETAIL VAT Incl'!E200</f>
        <v>173.30813915845644</v>
      </c>
      <c r="H201" s="529">
        <v>0</v>
      </c>
      <c r="I201" s="529">
        <f t="shared" si="18"/>
        <v>160.47049922079299</v>
      </c>
      <c r="J201" s="529">
        <f>'PUMP PRICES RETAIL VAT Incl'!F200</f>
        <v>170.50931137126338</v>
      </c>
      <c r="K201" s="529">
        <v>0</v>
      </c>
      <c r="L201" s="529">
        <f t="shared" si="19"/>
        <v>157.87899201042904</v>
      </c>
    </row>
    <row r="202" spans="2:12">
      <c r="B202" s="187">
        <v>196</v>
      </c>
      <c r="C202" s="528" t="str">
        <f>'PUMP PRICES RETAIL VAT Incl'!C201</f>
        <v>Ndhiwa</v>
      </c>
      <c r="D202" s="529">
        <f>'PUMP PRICES RETAIL VAT Incl'!D201</f>
        <v>170.62441827928075</v>
      </c>
      <c r="E202" s="529">
        <v>0</v>
      </c>
      <c r="F202" s="529">
        <f t="shared" si="17"/>
        <v>157.98557248081551</v>
      </c>
      <c r="G202" s="529">
        <f>'PUMP PRICES RETAIL VAT Incl'!E201</f>
        <v>173.57961704678502</v>
      </c>
      <c r="H202" s="529">
        <v>0</v>
      </c>
      <c r="I202" s="529">
        <f t="shared" si="18"/>
        <v>160.72186763591205</v>
      </c>
      <c r="J202" s="529">
        <f>'PUMP PRICES RETAIL VAT Incl'!F201</f>
        <v>170.78078925959198</v>
      </c>
      <c r="K202" s="529">
        <v>0</v>
      </c>
      <c r="L202" s="529">
        <f t="shared" si="19"/>
        <v>158.13036042554813</v>
      </c>
    </row>
    <row r="203" spans="2:12">
      <c r="B203" s="187">
        <v>197</v>
      </c>
      <c r="C203" s="528" t="str">
        <f>'PUMP PRICES RETAIL VAT Incl'!C202</f>
        <v>Rangwe</v>
      </c>
      <c r="D203" s="529">
        <f>'PUMP PRICES RETAIL VAT Incl'!D202</f>
        <v>170.34096525341272</v>
      </c>
      <c r="E203" s="529">
        <v>0</v>
      </c>
      <c r="F203" s="529">
        <f t="shared" si="17"/>
        <v>157.72311597538214</v>
      </c>
      <c r="G203" s="529">
        <f>'PUMP PRICES RETAIL VAT Incl'!E202</f>
        <v>173.29616402091699</v>
      </c>
      <c r="H203" s="529">
        <v>0</v>
      </c>
      <c r="I203" s="529">
        <f t="shared" si="18"/>
        <v>160.45941113047868</v>
      </c>
      <c r="J203" s="529">
        <f>'PUMP PRICES RETAIL VAT Incl'!F202</f>
        <v>170.49733623372393</v>
      </c>
      <c r="K203" s="529">
        <v>0</v>
      </c>
      <c r="L203" s="529">
        <f t="shared" si="19"/>
        <v>157.86790392011474</v>
      </c>
    </row>
    <row r="204" spans="2:12">
      <c r="B204" s="187">
        <v>198</v>
      </c>
      <c r="C204" s="528" t="str">
        <f>'PUMP PRICES RETAIL VAT Incl'!C203</f>
        <v>Sindo</v>
      </c>
      <c r="D204" s="529">
        <f>'PUMP PRICES RETAIL VAT Incl'!D203</f>
        <v>170.3529403909522</v>
      </c>
      <c r="E204" s="529">
        <v>0</v>
      </c>
      <c r="F204" s="529">
        <f t="shared" si="17"/>
        <v>157.73420406569647</v>
      </c>
      <c r="G204" s="529">
        <f>'PUMP PRICES RETAIL VAT Incl'!E203</f>
        <v>173.30813915845644</v>
      </c>
      <c r="H204" s="529">
        <v>0</v>
      </c>
      <c r="I204" s="529">
        <f t="shared" si="18"/>
        <v>160.47049922079299</v>
      </c>
      <c r="J204" s="529">
        <f>'PUMP PRICES RETAIL VAT Incl'!F203</f>
        <v>170.50931137126338</v>
      </c>
      <c r="K204" s="529">
        <v>0</v>
      </c>
      <c r="L204" s="529">
        <f t="shared" si="19"/>
        <v>157.87899201042904</v>
      </c>
    </row>
    <row r="205" spans="2:12">
      <c r="B205" s="187">
        <v>199</v>
      </c>
      <c r="C205" s="528" t="str">
        <f>'PUMP PRICES RETAIL VAT Incl'!C204</f>
        <v>Awasi</v>
      </c>
      <c r="D205" s="529">
        <f>'PUMP PRICES RETAIL VAT Incl'!D204</f>
        <v>169.43270562565078</v>
      </c>
      <c r="E205" s="529">
        <v>0</v>
      </c>
      <c r="F205" s="529">
        <f t="shared" si="17"/>
        <v>156.88213483856552</v>
      </c>
      <c r="G205" s="529">
        <f>'PUMP PRICES RETAIL VAT Incl'!E204</f>
        <v>172.38790439315505</v>
      </c>
      <c r="H205" s="529">
        <v>0</v>
      </c>
      <c r="I205" s="529">
        <f t="shared" si="18"/>
        <v>159.61842999366209</v>
      </c>
      <c r="J205" s="529">
        <f>'PUMP PRICES RETAIL VAT Incl'!F204</f>
        <v>169.58907660596199</v>
      </c>
      <c r="K205" s="529">
        <v>0</v>
      </c>
      <c r="L205" s="529">
        <f t="shared" si="19"/>
        <v>157.02692278329812</v>
      </c>
    </row>
    <row r="206" spans="2:12">
      <c r="B206" s="187">
        <v>200</v>
      </c>
      <c r="C206" s="528" t="str">
        <f>'PUMP PRICES RETAIL VAT Incl'!C205</f>
        <v>Ahero</v>
      </c>
      <c r="D206" s="529">
        <f>'PUMP PRICES RETAIL VAT Incl'!D205</f>
        <v>169.46734177700642</v>
      </c>
      <c r="E206" s="529">
        <v>0</v>
      </c>
      <c r="F206" s="529">
        <f t="shared" si="17"/>
        <v>156.91420534908002</v>
      </c>
      <c r="G206" s="529">
        <f>'PUMP PRICES RETAIL VAT Incl'!E205</f>
        <v>172.4225405445107</v>
      </c>
      <c r="H206" s="529">
        <v>0</v>
      </c>
      <c r="I206" s="529">
        <f t="shared" si="18"/>
        <v>159.65050050417656</v>
      </c>
      <c r="J206" s="529">
        <f>'PUMP PRICES RETAIL VAT Incl'!F205</f>
        <v>169.63371275731762</v>
      </c>
      <c r="K206" s="529">
        <v>0</v>
      </c>
      <c r="L206" s="529">
        <f t="shared" si="19"/>
        <v>157.06825255307186</v>
      </c>
    </row>
    <row r="207" spans="2:12">
      <c r="B207" s="187">
        <v>201</v>
      </c>
      <c r="C207" s="528" t="str">
        <f>'PUMP PRICES RETAIL VAT Incl'!C206</f>
        <v>Ugunja</v>
      </c>
      <c r="D207" s="529">
        <f>'PUMP PRICES RETAIL VAT Incl'!D206</f>
        <v>169.9038105770712</v>
      </c>
      <c r="E207" s="529">
        <v>0</v>
      </c>
      <c r="F207" s="529">
        <f t="shared" si="17"/>
        <v>157.31834312691777</v>
      </c>
      <c r="G207" s="529">
        <f>'PUMP PRICES RETAIL VAT Incl'!E206</f>
        <v>172.84900934457548</v>
      </c>
      <c r="H207" s="529">
        <v>0</v>
      </c>
      <c r="I207" s="529">
        <f t="shared" si="18"/>
        <v>160.04537902275507</v>
      </c>
      <c r="J207" s="529">
        <f>'PUMP PRICES RETAIL VAT Incl'!F206</f>
        <v>170.06018155738241</v>
      </c>
      <c r="K207" s="529">
        <v>0</v>
      </c>
      <c r="L207" s="529">
        <f t="shared" si="19"/>
        <v>157.46313107165037</v>
      </c>
    </row>
    <row r="208" spans="2:12">
      <c r="B208" s="187">
        <v>202</v>
      </c>
      <c r="C208" s="528" t="str">
        <f>'PUMP PRICES RETAIL VAT Incl'!C207</f>
        <v>Asembo</v>
      </c>
      <c r="D208" s="529">
        <f>'PUMP PRICES RETAIL VAT Incl'!D207</f>
        <v>169.55048186350587</v>
      </c>
      <c r="E208" s="529">
        <v>0</v>
      </c>
      <c r="F208" s="529">
        <f t="shared" si="17"/>
        <v>156.99118691065357</v>
      </c>
      <c r="G208" s="529">
        <f>'PUMP PRICES RETAIL VAT Incl'!E207</f>
        <v>172.50568063101014</v>
      </c>
      <c r="H208" s="529">
        <v>0</v>
      </c>
      <c r="I208" s="529">
        <f t="shared" si="18"/>
        <v>159.72748206575011</v>
      </c>
      <c r="J208" s="529">
        <f>'PUMP PRICES RETAIL VAT Incl'!F207</f>
        <v>169.70685284381707</v>
      </c>
      <c r="K208" s="529">
        <v>0</v>
      </c>
      <c r="L208" s="529">
        <f t="shared" si="19"/>
        <v>157.13597485538617</v>
      </c>
    </row>
    <row r="209" spans="2:12">
      <c r="B209" s="187">
        <v>203</v>
      </c>
      <c r="C209" s="528" t="str">
        <f>'PUMP PRICES RETAIL VAT Incl'!C208</f>
        <v>Usenge</v>
      </c>
      <c r="D209" s="529">
        <f>'PUMP PRICES RETAIL VAT Incl'!D208</f>
        <v>170.02356195246577</v>
      </c>
      <c r="E209" s="529">
        <v>0</v>
      </c>
      <c r="F209" s="529">
        <f t="shared" si="17"/>
        <v>157.42922403006088</v>
      </c>
      <c r="G209" s="529">
        <f>'PUMP PRICES RETAIL VAT Incl'!E208</f>
        <v>172.97876071997004</v>
      </c>
      <c r="H209" s="529">
        <v>0</v>
      </c>
      <c r="I209" s="529">
        <f t="shared" si="18"/>
        <v>160.16551918515742</v>
      </c>
      <c r="J209" s="529">
        <f>'PUMP PRICES RETAIL VAT Incl'!F208</f>
        <v>170.18993293277697</v>
      </c>
      <c r="K209" s="529">
        <v>0</v>
      </c>
      <c r="L209" s="529">
        <f t="shared" si="19"/>
        <v>157.58327123405275</v>
      </c>
    </row>
    <row r="210" spans="2:12">
      <c r="B210" s="187">
        <v>204</v>
      </c>
      <c r="C210" s="528" t="str">
        <f>'PUMP PRICES RETAIL VAT Incl'!C209</f>
        <v>Harambee</v>
      </c>
      <c r="D210" s="529">
        <f>'PUMP PRICES RETAIL VAT Incl'!D209</f>
        <v>169.51455645088754</v>
      </c>
      <c r="E210" s="529">
        <v>0</v>
      </c>
      <c r="F210" s="529">
        <f t="shared" si="17"/>
        <v>156.95792263971069</v>
      </c>
      <c r="G210" s="529">
        <f>'PUMP PRICES RETAIL VAT Incl'!E209</f>
        <v>172.46975521839178</v>
      </c>
      <c r="H210" s="529">
        <v>0</v>
      </c>
      <c r="I210" s="529">
        <f t="shared" si="18"/>
        <v>159.6942177948072</v>
      </c>
      <c r="J210" s="529">
        <f>'PUMP PRICES RETAIL VAT Incl'!F209</f>
        <v>169.67092743119872</v>
      </c>
      <c r="K210" s="529">
        <v>0</v>
      </c>
      <c r="L210" s="529">
        <f t="shared" si="19"/>
        <v>157.10271058444326</v>
      </c>
    </row>
    <row r="211" spans="2:12">
      <c r="B211" s="187">
        <v>205</v>
      </c>
      <c r="C211" s="528" t="str">
        <f>'PUMP PRICES RETAIL VAT Incl'!C210</f>
        <v>Muhuru Bay</v>
      </c>
      <c r="D211" s="529">
        <f>'PUMP PRICES RETAIL VAT Incl'!D210</f>
        <v>171.28515029379304</v>
      </c>
      <c r="E211" s="529">
        <v>0</v>
      </c>
      <c r="F211" s="529">
        <f t="shared" si="17"/>
        <v>158.5973613831417</v>
      </c>
      <c r="G211" s="529">
        <f>'PUMP PRICES RETAIL VAT Incl'!E210</f>
        <v>174.24034906129731</v>
      </c>
      <c r="H211" s="529">
        <v>0</v>
      </c>
      <c r="I211" s="529">
        <f t="shared" si="18"/>
        <v>161.33365653823824</v>
      </c>
      <c r="J211" s="529">
        <f>'PUMP PRICES RETAIL VAT Incl'!F210</f>
        <v>171.44152127410425</v>
      </c>
      <c r="K211" s="529">
        <v>0</v>
      </c>
      <c r="L211" s="529">
        <f t="shared" si="19"/>
        <v>158.7421493278743</v>
      </c>
    </row>
    <row r="212" spans="2:12">
      <c r="B212" s="187">
        <v>206</v>
      </c>
      <c r="C212" s="528" t="str">
        <f>'PUMP PRICES RETAIL VAT Incl'!C211</f>
        <v>Kehancha</v>
      </c>
      <c r="D212" s="529">
        <f>'PUMP PRICES RETAIL VAT Incl'!D211</f>
        <v>171.51070276950327</v>
      </c>
      <c r="E212" s="529">
        <v>0</v>
      </c>
      <c r="F212" s="529">
        <f t="shared" si="17"/>
        <v>158.80620626805856</v>
      </c>
      <c r="G212" s="529">
        <f>'PUMP PRICES RETAIL VAT Incl'!E211</f>
        <v>174.46590153700751</v>
      </c>
      <c r="H212" s="529">
        <v>0</v>
      </c>
      <c r="I212" s="529">
        <f t="shared" si="18"/>
        <v>161.5425014231551</v>
      </c>
      <c r="J212" s="529">
        <f>'PUMP PRICES RETAIL VAT Incl'!F211</f>
        <v>171.67707374981447</v>
      </c>
      <c r="K212" s="529">
        <v>0</v>
      </c>
      <c r="L212" s="529">
        <f t="shared" si="19"/>
        <v>158.96025347205043</v>
      </c>
    </row>
    <row r="213" spans="2:12">
      <c r="B213" s="187">
        <v>207</v>
      </c>
      <c r="C213" s="528" t="str">
        <f>'PUMP PRICES RETAIL VAT Incl'!C212</f>
        <v>Ntimaru</v>
      </c>
      <c r="D213" s="529">
        <f>'PUMP PRICES RETAIL VAT Incl'!D212</f>
        <v>171.82810607045022</v>
      </c>
      <c r="E213" s="529">
        <v>0</v>
      </c>
      <c r="F213" s="529">
        <f t="shared" si="17"/>
        <v>159.10009821337982</v>
      </c>
      <c r="G213" s="529">
        <f>'PUMP PRICES RETAIL VAT Incl'!E212</f>
        <v>174.78330483795449</v>
      </c>
      <c r="H213" s="529">
        <v>0</v>
      </c>
      <c r="I213" s="529">
        <f t="shared" si="18"/>
        <v>161.83639336847637</v>
      </c>
      <c r="J213" s="529">
        <f>'PUMP PRICES RETAIL VAT Incl'!F212</f>
        <v>171.98447705076146</v>
      </c>
      <c r="K213" s="529">
        <v>0</v>
      </c>
      <c r="L213" s="529">
        <f t="shared" si="19"/>
        <v>159.24488615811245</v>
      </c>
    </row>
    <row r="214" spans="2:12">
      <c r="B214" s="187">
        <v>208</v>
      </c>
      <c r="C214" s="528" t="str">
        <f>'PUMP PRICES RETAIL VAT Incl'!C213</f>
        <v>Rongo</v>
      </c>
      <c r="D214" s="529">
        <f>'PUMP PRICES RETAIL VAT Incl'!D213</f>
        <v>170.60046800420184</v>
      </c>
      <c r="E214" s="529">
        <v>0</v>
      </c>
      <c r="F214" s="529">
        <f t="shared" si="17"/>
        <v>157.96339630018687</v>
      </c>
      <c r="G214" s="529">
        <f>'PUMP PRICES RETAIL VAT Incl'!E213</f>
        <v>173.55566677170611</v>
      </c>
      <c r="H214" s="529">
        <v>0</v>
      </c>
      <c r="I214" s="529">
        <f t="shared" si="18"/>
        <v>160.69969145528344</v>
      </c>
      <c r="J214" s="529">
        <f>'PUMP PRICES RETAIL VAT Incl'!F213</f>
        <v>170.75683898451308</v>
      </c>
      <c r="K214" s="529">
        <v>0</v>
      </c>
      <c r="L214" s="529">
        <f t="shared" si="19"/>
        <v>158.1081842449195</v>
      </c>
    </row>
    <row r="215" spans="2:12">
      <c r="B215" s="187">
        <v>209</v>
      </c>
      <c r="C215" s="528" t="str">
        <f>'PUMP PRICES RETAIL VAT Incl'!C214</f>
        <v>Kaspokwony</v>
      </c>
      <c r="D215" s="529">
        <f>'PUMP PRICES RETAIL VAT Incl'!D214</f>
        <v>170.55454259158347</v>
      </c>
      <c r="E215" s="529">
        <v>0</v>
      </c>
      <c r="F215" s="529">
        <f t="shared" si="17"/>
        <v>157.9208727699847</v>
      </c>
      <c r="G215" s="529">
        <f>'PUMP PRICES RETAIL VAT Incl'!E214</f>
        <v>173.50974135908774</v>
      </c>
      <c r="H215" s="529">
        <v>0</v>
      </c>
      <c r="I215" s="529">
        <f t="shared" si="18"/>
        <v>160.65716792508124</v>
      </c>
      <c r="J215" s="529">
        <f>'PUMP PRICES RETAIL VAT Incl'!F214</f>
        <v>170.7209135718947</v>
      </c>
      <c r="K215" s="529">
        <v>0</v>
      </c>
      <c r="L215" s="529">
        <f t="shared" si="19"/>
        <v>158.07491997397656</v>
      </c>
    </row>
    <row r="216" spans="2:12">
      <c r="B216" s="187">
        <v>210</v>
      </c>
      <c r="C216" s="528" t="str">
        <f>'PUMP PRICES RETAIL VAT Incl'!C215</f>
        <v>Chwele</v>
      </c>
      <c r="D216" s="529">
        <f>'PUMP PRICES RETAIL VAT Incl'!D215</f>
        <v>170.50664204142566</v>
      </c>
      <c r="E216" s="529">
        <v>0</v>
      </c>
      <c r="F216" s="529">
        <f t="shared" si="17"/>
        <v>157.87652040872746</v>
      </c>
      <c r="G216" s="529">
        <f>'PUMP PRICES RETAIL VAT Incl'!E215</f>
        <v>173.46184080892991</v>
      </c>
      <c r="H216" s="529">
        <v>0</v>
      </c>
      <c r="I216" s="529">
        <f t="shared" si="18"/>
        <v>160.61281556382397</v>
      </c>
      <c r="J216" s="529">
        <f>'PUMP PRICES RETAIL VAT Incl'!F215</f>
        <v>170.66301302173684</v>
      </c>
      <c r="K216" s="529">
        <v>0</v>
      </c>
      <c r="L216" s="529">
        <f t="shared" si="19"/>
        <v>158.02130835346003</v>
      </c>
    </row>
    <row r="217" spans="2:12">
      <c r="B217" s="187">
        <v>211</v>
      </c>
      <c r="C217" s="528" t="str">
        <f>'PUMP PRICES RETAIL VAT Incl'!C216</f>
        <v>Kimilili</v>
      </c>
      <c r="D217" s="529">
        <f>'PUMP PRICES RETAIL VAT Incl'!D216</f>
        <v>170.42479121618891</v>
      </c>
      <c r="E217" s="529">
        <v>0</v>
      </c>
      <c r="F217" s="529">
        <f t="shared" si="17"/>
        <v>157.80073260758232</v>
      </c>
      <c r="G217" s="529">
        <f>'PUMP PRICES RETAIL VAT Incl'!E216</f>
        <v>173.37998998369318</v>
      </c>
      <c r="H217" s="529">
        <v>0</v>
      </c>
      <c r="I217" s="529">
        <f t="shared" si="18"/>
        <v>160.53702776267886</v>
      </c>
      <c r="J217" s="529">
        <f>'PUMP PRICES RETAIL VAT Incl'!F216</f>
        <v>170.59116219650014</v>
      </c>
      <c r="K217" s="529">
        <v>0</v>
      </c>
      <c r="L217" s="529">
        <f t="shared" si="19"/>
        <v>157.95477981157418</v>
      </c>
    </row>
    <row r="218" spans="2:12">
      <c r="B218" s="187">
        <v>212</v>
      </c>
      <c r="C218" s="528" t="str">
        <f>'PUMP PRICES RETAIL VAT Incl'!C217</f>
        <v>Nambale</v>
      </c>
      <c r="D218" s="529">
        <f>'PUMP PRICES RETAIL VAT Incl'!D217</f>
        <v>170.34096525341272</v>
      </c>
      <c r="E218" s="529">
        <v>0</v>
      </c>
      <c r="F218" s="529">
        <f t="shared" si="17"/>
        <v>157.72311597538214</v>
      </c>
      <c r="G218" s="529">
        <f>'PUMP PRICES RETAIL VAT Incl'!E217</f>
        <v>173.29616402091699</v>
      </c>
      <c r="H218" s="529">
        <v>0</v>
      </c>
      <c r="I218" s="529">
        <f t="shared" si="18"/>
        <v>160.45941113047868</v>
      </c>
      <c r="J218" s="529">
        <f>'PUMP PRICES RETAIL VAT Incl'!F217</f>
        <v>170.49733623372393</v>
      </c>
      <c r="K218" s="529">
        <v>0</v>
      </c>
      <c r="L218" s="529">
        <f t="shared" si="19"/>
        <v>157.86790392011474</v>
      </c>
    </row>
    <row r="219" spans="2:12">
      <c r="B219" s="187">
        <v>213</v>
      </c>
      <c r="C219" s="528" t="str">
        <f>'PUMP PRICES RETAIL VAT Incl'!C218</f>
        <v>SioPort</v>
      </c>
      <c r="D219" s="529">
        <f>'PUMP PRICES RETAIL VAT Incl'!D218</f>
        <v>170.3289901158733</v>
      </c>
      <c r="E219" s="529">
        <v>0</v>
      </c>
      <c r="F219" s="529">
        <f t="shared" si="17"/>
        <v>157.71202788506787</v>
      </c>
      <c r="G219" s="529">
        <f>'PUMP PRICES RETAIL VAT Incl'!E218</f>
        <v>173.28418888337754</v>
      </c>
      <c r="H219" s="529">
        <v>0</v>
      </c>
      <c r="I219" s="529">
        <f t="shared" si="18"/>
        <v>160.44832304016438</v>
      </c>
      <c r="J219" s="529">
        <f>'PUMP PRICES RETAIL VAT Incl'!F218</f>
        <v>170.48536109618448</v>
      </c>
      <c r="K219" s="529">
        <v>0</v>
      </c>
      <c r="L219" s="529">
        <f t="shared" si="19"/>
        <v>157.85681582980044</v>
      </c>
    </row>
    <row r="220" spans="2:12">
      <c r="B220" s="187">
        <v>214</v>
      </c>
      <c r="C220" s="528" t="str">
        <f>'PUMP PRICES RETAIL VAT Incl'!C219</f>
        <v>Port Bunyala</v>
      </c>
      <c r="D220" s="529">
        <f>'PUMP PRICES RETAIL VAT Incl'!D219</f>
        <v>170.3768906660311</v>
      </c>
      <c r="E220" s="529">
        <v>0</v>
      </c>
      <c r="F220" s="529">
        <f t="shared" si="17"/>
        <v>157.75638024632508</v>
      </c>
      <c r="G220" s="529">
        <f>'PUMP PRICES RETAIL VAT Incl'!E219</f>
        <v>173.33208943353537</v>
      </c>
      <c r="H220" s="529">
        <v>0</v>
      </c>
      <c r="I220" s="529">
        <f t="shared" si="18"/>
        <v>160.49267540142162</v>
      </c>
      <c r="J220" s="529">
        <f>'PUMP PRICES RETAIL VAT Incl'!F219</f>
        <v>170.53326164634231</v>
      </c>
      <c r="K220" s="529">
        <v>0</v>
      </c>
      <c r="L220" s="529">
        <f t="shared" si="19"/>
        <v>157.90116819105768</v>
      </c>
    </row>
    <row r="221" spans="2:12">
      <c r="B221" s="187">
        <v>215</v>
      </c>
      <c r="C221" s="528" t="str">
        <f>'PUMP PRICES RETAIL VAT Incl'!C220</f>
        <v>Funyula</v>
      </c>
      <c r="D221" s="529">
        <f>'PUMP PRICES RETAIL VAT Incl'!D220</f>
        <v>170.19923874047873</v>
      </c>
      <c r="E221" s="529">
        <v>0</v>
      </c>
      <c r="F221" s="529">
        <f t="shared" ref="F221:F229" si="20">(D221-E221)/1.08</f>
        <v>157.59188772266549</v>
      </c>
      <c r="G221" s="529">
        <f>'PUMP PRICES RETAIL VAT Incl'!E220</f>
        <v>173.15443750798298</v>
      </c>
      <c r="H221" s="529">
        <v>0</v>
      </c>
      <c r="I221" s="529">
        <f t="shared" si="18"/>
        <v>160.328182877762</v>
      </c>
      <c r="J221" s="529">
        <f>'PUMP PRICES RETAIL VAT Incl'!F220</f>
        <v>170.35560972078991</v>
      </c>
      <c r="K221" s="529">
        <v>0</v>
      </c>
      <c r="L221" s="529">
        <f t="shared" si="19"/>
        <v>157.73667566739806</v>
      </c>
    </row>
    <row r="222" spans="2:12">
      <c r="B222" s="187">
        <v>216</v>
      </c>
      <c r="C222" s="528" t="str">
        <f>'PUMP PRICES RETAIL VAT Incl'!C221</f>
        <v>Ogembo</v>
      </c>
      <c r="D222" s="529">
        <f>'PUMP PRICES RETAIL VAT Incl'!D221</f>
        <v>170.50664204142566</v>
      </c>
      <c r="E222" s="529">
        <v>0</v>
      </c>
      <c r="F222" s="529">
        <f t="shared" si="20"/>
        <v>157.87652040872746</v>
      </c>
      <c r="G222" s="529">
        <f>'PUMP PRICES RETAIL VAT Incl'!E221</f>
        <v>173.46184080892991</v>
      </c>
      <c r="H222" s="529">
        <v>0</v>
      </c>
      <c r="I222" s="529">
        <f t="shared" si="18"/>
        <v>160.61281556382397</v>
      </c>
      <c r="J222" s="529">
        <f>'PUMP PRICES RETAIL VAT Incl'!F221</f>
        <v>170.66301302173684</v>
      </c>
      <c r="K222" s="529">
        <v>0</v>
      </c>
      <c r="L222" s="529">
        <f t="shared" si="19"/>
        <v>158.02130835346003</v>
      </c>
    </row>
    <row r="223" spans="2:12">
      <c r="B223" s="187">
        <v>217</v>
      </c>
      <c r="C223" s="528" t="str">
        <f>'PUMP PRICES RETAIL VAT Incl'!C222</f>
        <v>Nyangusu</v>
      </c>
      <c r="D223" s="529">
        <f>'PUMP PRICES RETAIL VAT Incl'!D222</f>
        <v>170.76614479221482</v>
      </c>
      <c r="E223" s="529">
        <v>0</v>
      </c>
      <c r="F223" s="529">
        <f t="shared" si="20"/>
        <v>158.11680073353222</v>
      </c>
      <c r="G223" s="529">
        <f>'PUMP PRICES RETAIL VAT Incl'!E222</f>
        <v>173.72134355971906</v>
      </c>
      <c r="H223" s="529">
        <v>0</v>
      </c>
      <c r="I223" s="529">
        <f t="shared" si="18"/>
        <v>160.85309588862876</v>
      </c>
      <c r="J223" s="529">
        <f>'PUMP PRICES RETAIL VAT Incl'!F222</f>
        <v>170.922515772526</v>
      </c>
      <c r="K223" s="529">
        <v>0</v>
      </c>
      <c r="L223" s="529">
        <f t="shared" si="19"/>
        <v>158.26158867826481</v>
      </c>
    </row>
    <row r="224" spans="2:12">
      <c r="B224" s="187">
        <v>218</v>
      </c>
      <c r="C224" s="528" t="str">
        <f>'PUMP PRICES RETAIL VAT Incl'!C223</f>
        <v>Sengera</v>
      </c>
      <c r="D224" s="529">
        <f>'PUMP PRICES RETAIL VAT Incl'!D223</f>
        <v>170.68429396697803</v>
      </c>
      <c r="E224" s="529">
        <v>0</v>
      </c>
      <c r="F224" s="529">
        <f t="shared" si="20"/>
        <v>158.04101293238705</v>
      </c>
      <c r="G224" s="529">
        <f>'PUMP PRICES RETAIL VAT Incl'!E223</f>
        <v>173.6394927344823</v>
      </c>
      <c r="H224" s="529">
        <v>0</v>
      </c>
      <c r="I224" s="529">
        <f t="shared" si="18"/>
        <v>160.77730808748359</v>
      </c>
      <c r="J224" s="529">
        <f>'PUMP PRICES RETAIL VAT Incl'!F223</f>
        <v>170.85066494728926</v>
      </c>
      <c r="K224" s="529">
        <v>0</v>
      </c>
      <c r="L224" s="529">
        <f t="shared" si="19"/>
        <v>158.19506013637894</v>
      </c>
    </row>
    <row r="225" spans="2:12">
      <c r="B225" s="187">
        <v>219</v>
      </c>
      <c r="C225" s="528" t="str">
        <f>'PUMP PRICES RETAIL VAT Incl'!C224</f>
        <v>Keumbu</v>
      </c>
      <c r="D225" s="529">
        <f>'PUMP PRICES RETAIL VAT Incl'!D224</f>
        <v>170.41281607864948</v>
      </c>
      <c r="E225" s="529">
        <v>0</v>
      </c>
      <c r="F225" s="529">
        <f t="shared" si="20"/>
        <v>157.78964451726804</v>
      </c>
      <c r="G225" s="529">
        <f>'PUMP PRICES RETAIL VAT Incl'!E224</f>
        <v>173.36801484615373</v>
      </c>
      <c r="H225" s="529">
        <v>0</v>
      </c>
      <c r="I225" s="529">
        <f t="shared" si="18"/>
        <v>160.52593967236456</v>
      </c>
      <c r="J225" s="529">
        <f>'PUMP PRICES RETAIL VAT Incl'!F224</f>
        <v>170.57918705896066</v>
      </c>
      <c r="K225" s="529">
        <v>0</v>
      </c>
      <c r="L225" s="529">
        <f t="shared" si="19"/>
        <v>157.94369172125985</v>
      </c>
    </row>
    <row r="226" spans="2:12">
      <c r="B226" s="187">
        <v>220</v>
      </c>
      <c r="C226" s="528" t="str">
        <f>'PUMP PRICES RETAIL VAT Incl'!C225</f>
        <v>Marani</v>
      </c>
      <c r="D226" s="529">
        <f>'PUMP PRICES RETAIL VAT Incl'!D225</f>
        <v>170.11738791524195</v>
      </c>
      <c r="E226" s="529">
        <v>0</v>
      </c>
      <c r="F226" s="529">
        <f t="shared" si="20"/>
        <v>157.51609992152032</v>
      </c>
      <c r="G226" s="529">
        <f>'PUMP PRICES RETAIL VAT Incl'!E225</f>
        <v>173.07258668274622</v>
      </c>
      <c r="H226" s="529">
        <v>0</v>
      </c>
      <c r="I226" s="529">
        <f t="shared" si="18"/>
        <v>160.25239507661686</v>
      </c>
      <c r="J226" s="529">
        <f>'PUMP PRICES RETAIL VAT Incl'!F225</f>
        <v>170.27375889555316</v>
      </c>
      <c r="K226" s="529">
        <v>0</v>
      </c>
      <c r="L226" s="529">
        <f t="shared" si="19"/>
        <v>157.66088786625292</v>
      </c>
    </row>
    <row r="227" spans="2:12">
      <c r="B227" s="187">
        <v>221</v>
      </c>
      <c r="C227" s="528" t="str">
        <f>'PUMP PRICES RETAIL VAT Incl'!C226</f>
        <v>Kerina</v>
      </c>
      <c r="D227" s="529">
        <f>'PUMP PRICES RETAIL VAT Incl'!D226</f>
        <v>170.48269176634676</v>
      </c>
      <c r="E227" s="529">
        <v>0</v>
      </c>
      <c r="F227" s="529">
        <f t="shared" si="20"/>
        <v>157.85434422809885</v>
      </c>
      <c r="G227" s="529">
        <f>'PUMP PRICES RETAIL VAT Incl'!E226</f>
        <v>173.437890533851</v>
      </c>
      <c r="H227" s="529">
        <v>0</v>
      </c>
      <c r="I227" s="529">
        <f t="shared" si="18"/>
        <v>160.59063938319537</v>
      </c>
      <c r="J227" s="529">
        <f>'PUMP PRICES RETAIL VAT Incl'!F226</f>
        <v>170.63906274665794</v>
      </c>
      <c r="K227" s="529">
        <v>0</v>
      </c>
      <c r="L227" s="529">
        <f t="shared" si="19"/>
        <v>157.99913217283142</v>
      </c>
    </row>
    <row r="228" spans="2:12">
      <c r="B228" s="187">
        <v>222</v>
      </c>
      <c r="C228" s="528" t="str">
        <f>'PUMP PRICES RETAIL VAT Incl'!C227</f>
        <v>Ikonge</v>
      </c>
      <c r="D228" s="529">
        <f>'PUMP PRICES RETAIL VAT Incl'!D227</f>
        <v>169.83393488937392</v>
      </c>
      <c r="E228" s="529">
        <v>0</v>
      </c>
      <c r="F228" s="529">
        <f t="shared" si="20"/>
        <v>157.25364341608696</v>
      </c>
      <c r="G228" s="529">
        <f>'PUMP PRICES RETAIL VAT Incl'!E227</f>
        <v>172.78913365687819</v>
      </c>
      <c r="H228" s="529">
        <v>0</v>
      </c>
      <c r="I228" s="529">
        <f t="shared" si="18"/>
        <v>159.9899385711835</v>
      </c>
      <c r="J228" s="529">
        <f>'PUMP PRICES RETAIL VAT Incl'!F227</f>
        <v>169.99030586968513</v>
      </c>
      <c r="K228" s="529">
        <v>0</v>
      </c>
      <c r="L228" s="529">
        <f t="shared" si="19"/>
        <v>157.39843136081956</v>
      </c>
    </row>
    <row r="229" spans="2:12">
      <c r="B229" s="187">
        <v>223</v>
      </c>
      <c r="C229" s="528" t="str">
        <f>'PUMP PRICES RETAIL VAT Incl'!C228</f>
        <v>Nyansiongo</v>
      </c>
      <c r="D229" s="529">
        <f>'PUMP PRICES RETAIL VAT Incl'!D228</f>
        <v>170.23516415309712</v>
      </c>
      <c r="E229" s="529">
        <v>0</v>
      </c>
      <c r="F229" s="529">
        <f t="shared" si="20"/>
        <v>157.62515199360843</v>
      </c>
      <c r="G229" s="529">
        <f>'PUMP PRICES RETAIL VAT Incl'!E228</f>
        <v>173.19036292060136</v>
      </c>
      <c r="H229" s="529">
        <v>0</v>
      </c>
      <c r="I229" s="529">
        <f t="shared" si="18"/>
        <v>160.36144714870494</v>
      </c>
      <c r="J229" s="529">
        <f>'PUMP PRICES RETAIL VAT Incl'!F228</f>
        <v>170.3915351334083</v>
      </c>
      <c r="K229" s="529">
        <v>0</v>
      </c>
      <c r="L229" s="529">
        <f t="shared" si="19"/>
        <v>157.769939938341</v>
      </c>
    </row>
  </sheetData>
  <mergeCells count="7">
    <mergeCell ref="D3:L3"/>
    <mergeCell ref="O5:R5"/>
    <mergeCell ref="S5:V5"/>
    <mergeCell ref="W5:Z5"/>
    <mergeCell ref="D4:F4"/>
    <mergeCell ref="G4:I4"/>
    <mergeCell ref="J4:L4"/>
  </mergeCells>
  <pageMargins left="0.7" right="0.7" top="0.75" bottom="0.75" header="0.3" footer="0.3"/>
  <pageSetup orientation="portrait" r:id="rId1"/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1-000000000000}">
  <sheetPr codeName="Sheet464">
    <tabColor rgb="FFFF0000"/>
  </sheetPr>
  <dimension ref="B2:L11"/>
  <sheetViews>
    <sheetView topLeftCell="B1" workbookViewId="0">
      <selection activeCell="E9" sqref="E9"/>
    </sheetView>
  </sheetViews>
  <sheetFormatPr defaultColWidth="9.1796875" defaultRowHeight="14.5"/>
  <cols>
    <col min="1" max="2" width="9.1796875" style="159"/>
    <col min="3" max="3" width="35.453125" style="159" customWidth="1"/>
    <col min="4" max="4" width="12.81640625" style="159" customWidth="1"/>
    <col min="5" max="5" width="9.1796875" style="159"/>
    <col min="6" max="6" width="11" style="159" customWidth="1"/>
    <col min="7" max="7" width="11.7265625" style="159" customWidth="1"/>
    <col min="8" max="8" width="13.54296875" style="159" customWidth="1"/>
    <col min="9" max="9" width="11.7265625" style="159" customWidth="1"/>
    <col min="10" max="10" width="12.7265625" style="159" customWidth="1"/>
    <col min="11" max="11" width="10.54296875" style="159" customWidth="1"/>
    <col min="12" max="12" width="10" style="159" customWidth="1"/>
    <col min="13" max="16384" width="9.1796875" style="159"/>
  </cols>
  <sheetData>
    <row r="2" spans="2:12" ht="15" thickBot="1"/>
    <row r="3" spans="2:12" ht="15" thickBot="1">
      <c r="B3" s="505"/>
      <c r="C3" s="506" t="str">
        <f>Mombasa!C4</f>
        <v>March 15 - April 14, 2023</v>
      </c>
      <c r="D3" s="1243" t="s">
        <v>532</v>
      </c>
      <c r="E3" s="1244"/>
      <c r="F3" s="1244"/>
      <c r="G3" s="1244"/>
      <c r="H3" s="1244"/>
      <c r="I3" s="1244"/>
      <c r="J3" s="1244"/>
      <c r="K3" s="1244"/>
      <c r="L3" s="1245"/>
    </row>
    <row r="4" spans="2:12" ht="15" thickBot="1">
      <c r="B4" s="505"/>
      <c r="C4" s="507"/>
      <c r="D4" s="1249" t="s">
        <v>15</v>
      </c>
      <c r="E4" s="1250"/>
      <c r="F4" s="1251"/>
      <c r="G4" s="1252" t="s">
        <v>16</v>
      </c>
      <c r="H4" s="1253"/>
      <c r="I4" s="1254"/>
      <c r="J4" s="1255" t="s">
        <v>160</v>
      </c>
      <c r="K4" s="1256"/>
      <c r="L4" s="1257"/>
    </row>
    <row r="5" spans="2:12" ht="44" thickBot="1">
      <c r="B5" s="508"/>
      <c r="C5" s="509"/>
      <c r="D5" s="510" t="s">
        <v>533</v>
      </c>
      <c r="E5" s="511" t="s">
        <v>478</v>
      </c>
      <c r="F5" s="512" t="s">
        <v>476</v>
      </c>
      <c r="G5" s="513" t="s">
        <v>533</v>
      </c>
      <c r="H5" s="513" t="s">
        <v>478</v>
      </c>
      <c r="I5" s="514" t="s">
        <v>476</v>
      </c>
      <c r="J5" s="515" t="s">
        <v>533</v>
      </c>
      <c r="K5" s="515" t="s">
        <v>478</v>
      </c>
      <c r="L5" s="516" t="s">
        <v>476</v>
      </c>
    </row>
    <row r="6" spans="2:12" ht="15" thickBot="1">
      <c r="B6" s="517"/>
      <c r="C6" s="518" t="s">
        <v>36</v>
      </c>
      <c r="D6" s="519" t="s">
        <v>163</v>
      </c>
      <c r="E6" s="519" t="s">
        <v>163</v>
      </c>
      <c r="F6" s="519" t="s">
        <v>163</v>
      </c>
      <c r="G6" s="520" t="s">
        <v>163</v>
      </c>
      <c r="H6" s="520" t="s">
        <v>163</v>
      </c>
      <c r="I6" s="520" t="s">
        <v>163</v>
      </c>
      <c r="J6" s="521" t="s">
        <v>163</v>
      </c>
      <c r="K6" s="521" t="s">
        <v>163</v>
      </c>
      <c r="L6" s="521" t="s">
        <v>163</v>
      </c>
    </row>
    <row r="7" spans="2:12" ht="15" thickBot="1">
      <c r="B7" s="522">
        <v>1</v>
      </c>
      <c r="C7" s="523" t="s">
        <v>31</v>
      </c>
      <c r="D7" s="524">
        <f>'W_S PRICES VAT Inc Publication'!D6</f>
        <v>157.35476139974949</v>
      </c>
      <c r="E7" s="524">
        <v>0</v>
      </c>
      <c r="F7" s="524">
        <f>(D7-E7)/1.08</f>
        <v>145.6988531479162</v>
      </c>
      <c r="G7" s="524">
        <f>'W_S PRICES VAT Inc Publication'!E6</f>
        <v>160.00515254759296</v>
      </c>
      <c r="H7" s="524">
        <v>0</v>
      </c>
      <c r="I7" s="524">
        <f>(G7-H7)/1.08</f>
        <v>148.15291902554901</v>
      </c>
      <c r="J7" s="524">
        <f>'W_S PRICES VAT Inc Publication'!F6</f>
        <v>157.19983679661823</v>
      </c>
      <c r="K7" s="1031">
        <v>0</v>
      </c>
      <c r="L7" s="524">
        <f>(J7-K7)/1.08</f>
        <v>145.55540444131316</v>
      </c>
    </row>
    <row r="8" spans="2:12">
      <c r="B8" s="525">
        <f>1+B7</f>
        <v>2</v>
      </c>
      <c r="C8" s="526" t="s">
        <v>32</v>
      </c>
      <c r="D8" s="524">
        <f>'W_S PRICES VAT Inc Publication'!D7</f>
        <v>160.14711008879789</v>
      </c>
      <c r="E8" s="524">
        <v>0</v>
      </c>
      <c r="F8" s="524">
        <f>(D8-E8)/1.08</f>
        <v>148.28436119333136</v>
      </c>
      <c r="G8" s="524">
        <f>'W_S PRICES VAT Inc Publication'!E7</f>
        <v>162.80878564016311</v>
      </c>
      <c r="H8" s="524">
        <v>0</v>
      </c>
      <c r="I8" s="524">
        <f>(G8-H8)/1.08</f>
        <v>150.74887559274362</v>
      </c>
      <c r="J8" s="524">
        <f>'W_S PRICES VAT Inc Publication'!F7</f>
        <v>160.00227473796545</v>
      </c>
      <c r="K8" s="524">
        <v>0</v>
      </c>
      <c r="L8" s="524">
        <f>(J8-K8)/1.08</f>
        <v>148.15025438700505</v>
      </c>
    </row>
    <row r="9" spans="2:12">
      <c r="B9" s="525">
        <f>1+B8</f>
        <v>3</v>
      </c>
      <c r="C9" s="527" t="s">
        <v>38</v>
      </c>
      <c r="D9" s="524">
        <f>'W_S PRICES VAT Inc Publication'!D8</f>
        <v>159.3413098489936</v>
      </c>
      <c r="E9" s="524">
        <v>0</v>
      </c>
      <c r="F9" s="524">
        <f>(D9-E9)/1.08</f>
        <v>147.53824986017926</v>
      </c>
      <c r="G9" s="524">
        <f>'W_S PRICES VAT Inc Publication'!E8</f>
        <v>162.29650861649787</v>
      </c>
      <c r="H9" s="524">
        <v>0</v>
      </c>
      <c r="I9" s="524">
        <f>(G9-H9)/1.08</f>
        <v>150.27454501527581</v>
      </c>
      <c r="J9" s="524">
        <f>'W_S PRICES VAT Inc Publication'!F8</f>
        <v>159.5076808293048</v>
      </c>
      <c r="K9" s="524">
        <v>0</v>
      </c>
      <c r="L9" s="524">
        <f>(J9-K9)/1.08</f>
        <v>147.6922970641711</v>
      </c>
    </row>
    <row r="10" spans="2:12">
      <c r="B10" s="525">
        <f>1+B9</f>
        <v>4</v>
      </c>
      <c r="C10" s="527" t="s">
        <v>39</v>
      </c>
      <c r="D10" s="524">
        <f>'W_S PRICES VAT Inc Publication'!D9</f>
        <v>160.05342984899357</v>
      </c>
      <c r="E10" s="524">
        <v>0</v>
      </c>
      <c r="F10" s="524">
        <f>(D10-E10)/1.08</f>
        <v>148.1976202305496</v>
      </c>
      <c r="G10" s="524">
        <f>'W_S PRICES VAT Inc Publication'!E9</f>
        <v>162.99862861649785</v>
      </c>
      <c r="H10" s="524">
        <v>0</v>
      </c>
      <c r="I10" s="524">
        <f>(G10-H10)/1.08</f>
        <v>150.92465612638688</v>
      </c>
      <c r="J10" s="524">
        <f>'W_S PRICES VAT Inc Publication'!F9</f>
        <v>160.20980082930481</v>
      </c>
      <c r="K10" s="524">
        <v>0</v>
      </c>
      <c r="L10" s="524">
        <f>(J10-K10)/1.08</f>
        <v>148.34240817528223</v>
      </c>
    </row>
    <row r="11" spans="2:12">
      <c r="B11" s="525">
        <f>1+B10</f>
        <v>5</v>
      </c>
      <c r="C11" s="224" t="s">
        <v>40</v>
      </c>
      <c r="D11" s="524">
        <f>'W_S PRICES VAT Inc Publication'!D10</f>
        <v>160.0497498489936</v>
      </c>
      <c r="E11" s="1031">
        <v>0</v>
      </c>
      <c r="F11" s="524">
        <f>(D11-E11)/1.08</f>
        <v>148.19421282314221</v>
      </c>
      <c r="G11" s="524">
        <f>'W_S PRICES VAT Inc Publication'!E10</f>
        <v>162.99494861649785</v>
      </c>
      <c r="H11" s="524">
        <v>0</v>
      </c>
      <c r="I11" s="524">
        <f>(G11-H11)/1.08</f>
        <v>150.92124871897948</v>
      </c>
      <c r="J11" s="524">
        <f>'W_S PRICES VAT Inc Publication'!F10</f>
        <v>160.20612082930481</v>
      </c>
      <c r="K11" s="524">
        <v>0</v>
      </c>
      <c r="L11" s="524">
        <f>(J11-K11)/1.08</f>
        <v>148.33900076787481</v>
      </c>
    </row>
  </sheetData>
  <mergeCells count="4">
    <mergeCell ref="D3:L3"/>
    <mergeCell ref="D4:F4"/>
    <mergeCell ref="G4:I4"/>
    <mergeCell ref="J4:L4"/>
  </mergeCells>
  <pageMargins left="0.7" right="0.7" top="0.75" bottom="0.75" header="0.3" footer="0.3"/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1-000000000000}">
  <sheetPr codeName="Sheet465">
    <tabColor rgb="FFFFFF00"/>
  </sheetPr>
  <dimension ref="B2:H39"/>
  <sheetViews>
    <sheetView topLeftCell="A10" zoomScale="75" zoomScaleNormal="75" workbookViewId="0">
      <selection activeCell="C34" sqref="C34"/>
    </sheetView>
  </sheetViews>
  <sheetFormatPr defaultColWidth="9.1796875" defaultRowHeight="14.5"/>
  <cols>
    <col min="1" max="1" width="3.7265625" style="159" customWidth="1"/>
    <col min="2" max="2" width="10.7265625" style="159" customWidth="1"/>
    <col min="3" max="3" width="29" style="159" bestFit="1" customWidth="1"/>
    <col min="4" max="5" width="20.1796875" style="159" bestFit="1" customWidth="1"/>
    <col min="6" max="6" width="11.54296875" style="159" customWidth="1"/>
    <col min="7" max="16384" width="9.1796875" style="159"/>
  </cols>
  <sheetData>
    <row r="2" spans="2:6" ht="15" thickBot="1"/>
    <row r="3" spans="2:6" ht="15" thickBot="1">
      <c r="B3" s="486"/>
      <c r="C3" s="1227" t="s">
        <v>224</v>
      </c>
      <c r="D3" s="1228"/>
      <c r="E3" s="487"/>
      <c r="F3" s="415"/>
    </row>
    <row r="4" spans="2:6">
      <c r="B4" s="442"/>
      <c r="C4" s="499"/>
      <c r="D4" s="444"/>
      <c r="E4" s="488" t="s">
        <v>225</v>
      </c>
      <c r="F4" s="446"/>
    </row>
    <row r="5" spans="2:6">
      <c r="B5" s="405"/>
      <c r="C5" s="447" t="s">
        <v>226</v>
      </c>
      <c r="D5" s="448"/>
      <c r="E5" s="449">
        <v>8.14</v>
      </c>
      <c r="F5" s="450"/>
    </row>
    <row r="6" spans="2:6">
      <c r="B6" s="405"/>
      <c r="C6" s="451"/>
      <c r="D6" s="500"/>
      <c r="E6" s="451"/>
      <c r="F6" s="450"/>
    </row>
    <row r="7" spans="2:6">
      <c r="B7" s="405"/>
      <c r="C7" s="451" t="s">
        <v>227</v>
      </c>
      <c r="D7" s="453">
        <v>0.4</v>
      </c>
      <c r="E7" s="454">
        <f>E5*D7</f>
        <v>3.2560000000000002</v>
      </c>
      <c r="F7" s="450" t="s">
        <v>228</v>
      </c>
    </row>
    <row r="8" spans="2:6">
      <c r="B8" s="405"/>
      <c r="C8" s="451" t="s">
        <v>229</v>
      </c>
      <c r="D8" s="453">
        <v>0.6</v>
      </c>
      <c r="E8" s="454">
        <f>E5*D8</f>
        <v>4.8840000000000003</v>
      </c>
      <c r="F8" s="450"/>
    </row>
    <row r="9" spans="2:6">
      <c r="B9" s="405"/>
      <c r="C9" s="451"/>
      <c r="D9" s="501"/>
      <c r="E9" s="454"/>
      <c r="F9" s="450"/>
    </row>
    <row r="10" spans="2:6">
      <c r="B10" s="405"/>
      <c r="C10" s="451"/>
      <c r="D10" s="500"/>
      <c r="E10" s="455" t="s">
        <v>230</v>
      </c>
      <c r="F10" s="450"/>
    </row>
    <row r="11" spans="2:6">
      <c r="B11" s="405"/>
      <c r="C11" s="222" t="s">
        <v>231</v>
      </c>
      <c r="D11" s="456" t="s">
        <v>232</v>
      </c>
      <c r="E11" s="457">
        <f>'[15]AGO Pump Prices'!G16</f>
        <v>106.66916666666667</v>
      </c>
      <c r="F11" s="450"/>
    </row>
    <row r="12" spans="2:6">
      <c r="B12" s="405"/>
      <c r="C12" s="451" t="s">
        <v>231</v>
      </c>
      <c r="D12" s="456" t="s">
        <v>233</v>
      </c>
      <c r="E12" s="457">
        <f>'[15]AGO Pump Prices'!H16</f>
        <v>104.19499999999999</v>
      </c>
      <c r="F12" s="450"/>
    </row>
    <row r="13" spans="2:6">
      <c r="B13" s="405"/>
      <c r="C13" s="451" t="s">
        <v>234</v>
      </c>
      <c r="D13" s="500"/>
      <c r="E13" s="458">
        <f>(E12-E11)/E11</f>
        <v>-2.3194768872604635E-2</v>
      </c>
      <c r="F13" s="450"/>
    </row>
    <row r="14" spans="2:6">
      <c r="B14" s="405"/>
      <c r="C14" s="502" t="s">
        <v>229</v>
      </c>
      <c r="D14" s="500"/>
      <c r="E14" s="458"/>
      <c r="F14" s="450"/>
    </row>
    <row r="15" spans="2:6">
      <c r="B15" s="405"/>
      <c r="C15" s="451" t="s">
        <v>235</v>
      </c>
      <c r="D15" s="500"/>
      <c r="E15" s="458">
        <v>4.4900000000000002E-2</v>
      </c>
      <c r="F15" s="459">
        <v>0.8</v>
      </c>
    </row>
    <row r="16" spans="2:6">
      <c r="B16" s="405"/>
      <c r="C16" s="451" t="s">
        <v>236</v>
      </c>
      <c r="D16" s="500"/>
      <c r="E16" s="458">
        <v>0.14000000000000001</v>
      </c>
      <c r="F16" s="459">
        <v>0.2</v>
      </c>
    </row>
    <row r="17" spans="2:8">
      <c r="B17" s="405"/>
      <c r="C17" s="451" t="s">
        <v>237</v>
      </c>
      <c r="D17" s="500"/>
      <c r="E17" s="458">
        <f>((33-28)/33)</f>
        <v>0.15151515151515152</v>
      </c>
      <c r="F17" s="459">
        <v>1</v>
      </c>
    </row>
    <row r="18" spans="2:8">
      <c r="B18" s="405"/>
      <c r="C18" s="451"/>
      <c r="D18" s="500"/>
      <c r="E18" s="454" t="s">
        <v>225</v>
      </c>
      <c r="F18" s="450"/>
    </row>
    <row r="19" spans="2:8">
      <c r="B19" s="405"/>
      <c r="C19" s="451"/>
      <c r="D19" s="500"/>
      <c r="E19" s="451"/>
      <c r="F19" s="450"/>
    </row>
    <row r="20" spans="2:8">
      <c r="B20" s="405"/>
      <c r="C20" s="451" t="s">
        <v>238</v>
      </c>
      <c r="D20" s="500"/>
      <c r="E20" s="457">
        <f>E7+E7*E13</f>
        <v>3.1804778325507996</v>
      </c>
      <c r="F20" s="450" t="str">
        <f>F7</f>
        <v>escalable</v>
      </c>
    </row>
    <row r="21" spans="2:8">
      <c r="B21" s="405"/>
      <c r="C21" s="451" t="s">
        <v>229</v>
      </c>
      <c r="D21" s="500"/>
      <c r="E21" s="457">
        <f>E8+(E15*E8*F15)+(E16*E8*F16)+(E17*E8*F17)</f>
        <v>5.936185280000001</v>
      </c>
      <c r="F21" s="450"/>
    </row>
    <row r="22" spans="2:8">
      <c r="B22" s="405"/>
      <c r="C22" s="451"/>
      <c r="D22" s="500"/>
      <c r="E22" s="451"/>
      <c r="F22" s="450"/>
    </row>
    <row r="23" spans="2:8">
      <c r="B23" s="405"/>
      <c r="C23" s="447" t="s">
        <v>239</v>
      </c>
      <c r="D23" s="448"/>
      <c r="E23" s="465">
        <f>E20+E21</f>
        <v>9.1166631125507998</v>
      </c>
      <c r="F23" s="450"/>
    </row>
    <row r="24" spans="2:8">
      <c r="B24" s="405"/>
      <c r="C24" s="451"/>
      <c r="D24" s="500"/>
      <c r="E24" s="451"/>
      <c r="F24" s="450"/>
    </row>
    <row r="25" spans="2:8">
      <c r="B25" s="405"/>
      <c r="C25" s="503" t="s">
        <v>240</v>
      </c>
      <c r="D25" s="500"/>
      <c r="E25" s="454">
        <v>487</v>
      </c>
      <c r="F25" s="450"/>
    </row>
    <row r="26" spans="2:8">
      <c r="B26" s="405"/>
      <c r="C26" s="503" t="s">
        <v>241</v>
      </c>
      <c r="D26" s="500"/>
      <c r="E26" s="469">
        <v>0.2</v>
      </c>
      <c r="F26" s="450"/>
    </row>
    <row r="27" spans="2:8">
      <c r="B27" s="460"/>
      <c r="C27" s="454"/>
      <c r="D27" s="452"/>
      <c r="E27" s="449" t="s">
        <v>242</v>
      </c>
      <c r="F27" s="462"/>
    </row>
    <row r="28" spans="2:8" ht="15" thickBot="1">
      <c r="B28" s="470"/>
      <c r="C28" s="471" t="s">
        <v>225</v>
      </c>
      <c r="D28" s="472" t="s">
        <v>243</v>
      </c>
      <c r="E28" s="471" t="s">
        <v>243</v>
      </c>
      <c r="F28" s="473"/>
      <c r="H28" s="504"/>
    </row>
    <row r="29" spans="2:8">
      <c r="B29" s="474"/>
      <c r="C29" s="475"/>
      <c r="D29" s="476"/>
      <c r="E29" s="475"/>
      <c r="F29" s="477"/>
    </row>
    <row r="30" spans="2:8">
      <c r="B30" s="478" t="s">
        <v>244</v>
      </c>
      <c r="C30" s="455">
        <f>E5</f>
        <v>8.14</v>
      </c>
      <c r="D30" s="479">
        <f>(C30*$E$25)/1000*$E$26*1.16</f>
        <v>0.91968976000000002</v>
      </c>
      <c r="E30" s="455">
        <f>-E282</f>
        <v>0</v>
      </c>
      <c r="F30" s="462"/>
    </row>
    <row r="31" spans="2:8">
      <c r="B31" s="478"/>
      <c r="C31" s="455"/>
      <c r="D31" s="464"/>
      <c r="E31" s="455"/>
      <c r="F31" s="462"/>
    </row>
    <row r="32" spans="2:8" ht="15" thickBot="1">
      <c r="B32" s="480" t="s">
        <v>245</v>
      </c>
      <c r="C32" s="365">
        <f>E23</f>
        <v>9.1166631125507998</v>
      </c>
      <c r="D32" s="481">
        <f>(C32*$E$25)/1000*$E$26*1.16</f>
        <v>1.0300370651084396</v>
      </c>
      <c r="E32" s="482">
        <f>D32-D30</f>
        <v>0.1103473051084396</v>
      </c>
      <c r="F32" s="498"/>
    </row>
    <row r="33" spans="3:5">
      <c r="C33" s="187"/>
      <c r="D33" s="187"/>
      <c r="E33" s="187"/>
    </row>
    <row r="34" spans="3:5">
      <c r="C34" s="187">
        <f>C32/1000</f>
        <v>9.1166631125507991E-3</v>
      </c>
      <c r="D34" s="187"/>
      <c r="E34" s="187"/>
    </row>
    <row r="35" spans="3:5">
      <c r="C35" s="187"/>
      <c r="D35" s="187"/>
      <c r="E35" s="187"/>
    </row>
    <row r="36" spans="3:5">
      <c r="C36" s="187"/>
      <c r="D36" s="187"/>
      <c r="E36" s="187"/>
    </row>
    <row r="37" spans="3:5">
      <c r="C37" s="187"/>
      <c r="D37" s="187"/>
      <c r="E37" s="187"/>
    </row>
    <row r="38" spans="3:5">
      <c r="C38" s="187"/>
      <c r="D38" s="187"/>
      <c r="E38" s="187"/>
    </row>
    <row r="39" spans="3:5">
      <c r="C39" s="187"/>
      <c r="D39" s="187"/>
      <c r="E39" s="187"/>
    </row>
  </sheetData>
  <mergeCells count="1">
    <mergeCell ref="C3:D3"/>
  </mergeCells>
  <pageMargins left="0.7" right="0.7" top="0.75" bottom="0.75" header="0.3" footer="0.3"/>
  <pageSetup orientation="portrait" r:id="rId1"/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1-000000000000}">
  <sheetPr codeName="Sheet466">
    <tabColor rgb="FFFFFF00"/>
  </sheetPr>
  <dimension ref="B2:F40"/>
  <sheetViews>
    <sheetView topLeftCell="A13" zoomScale="75" zoomScaleNormal="75" workbookViewId="0">
      <selection activeCell="I17" sqref="I17"/>
    </sheetView>
  </sheetViews>
  <sheetFormatPr defaultColWidth="9.1796875" defaultRowHeight="14.5"/>
  <cols>
    <col min="1" max="1" width="4.26953125" style="159" customWidth="1"/>
    <col min="2" max="2" width="14" style="159" customWidth="1"/>
    <col min="3" max="3" width="32" style="159" bestFit="1" customWidth="1"/>
    <col min="4" max="5" width="20.1796875" style="159" bestFit="1" customWidth="1"/>
    <col min="6" max="6" width="10.54296875" style="159" bestFit="1" customWidth="1"/>
    <col min="7" max="16384" width="9.1796875" style="159"/>
  </cols>
  <sheetData>
    <row r="2" spans="2:6" ht="15" thickBot="1"/>
    <row r="3" spans="2:6" ht="15" thickBot="1">
      <c r="B3" s="486"/>
      <c r="C3" s="1227" t="s">
        <v>246</v>
      </c>
      <c r="D3" s="1228"/>
      <c r="E3" s="487"/>
      <c r="F3" s="415"/>
    </row>
    <row r="4" spans="2:6">
      <c r="B4" s="442"/>
      <c r="C4" s="488"/>
      <c r="D4" s="489"/>
      <c r="E4" s="488" t="s">
        <v>225</v>
      </c>
      <c r="F4" s="490"/>
    </row>
    <row r="5" spans="2:6">
      <c r="B5" s="405"/>
      <c r="C5" s="463" t="s">
        <v>226</v>
      </c>
      <c r="D5" s="464"/>
      <c r="E5" s="449">
        <v>0.48</v>
      </c>
      <c r="F5" s="462"/>
    </row>
    <row r="6" spans="2:6">
      <c r="B6" s="405"/>
      <c r="C6" s="461"/>
      <c r="D6" s="452"/>
      <c r="E6" s="454"/>
      <c r="F6" s="462"/>
    </row>
    <row r="7" spans="2:6">
      <c r="B7" s="405"/>
      <c r="C7" s="461" t="s">
        <v>227</v>
      </c>
      <c r="D7" s="453">
        <v>0.4</v>
      </c>
      <c r="E7" s="454">
        <f>E5*D7</f>
        <v>0.192</v>
      </c>
      <c r="F7" s="462" t="s">
        <v>228</v>
      </c>
    </row>
    <row r="8" spans="2:6">
      <c r="B8" s="405"/>
      <c r="C8" s="461" t="s">
        <v>229</v>
      </c>
      <c r="D8" s="453">
        <v>0.6</v>
      </c>
      <c r="E8" s="454">
        <f>E5*D8</f>
        <v>0.28799999999999998</v>
      </c>
      <c r="F8" s="462"/>
    </row>
    <row r="9" spans="2:6">
      <c r="B9" s="405"/>
      <c r="C9" s="461"/>
      <c r="D9" s="453"/>
      <c r="E9" s="454"/>
      <c r="F9" s="462"/>
    </row>
    <row r="10" spans="2:6">
      <c r="B10" s="405"/>
      <c r="C10" s="461"/>
      <c r="D10" s="452"/>
      <c r="E10" s="455" t="s">
        <v>230</v>
      </c>
      <c r="F10" s="462"/>
    </row>
    <row r="11" spans="2:6">
      <c r="B11" s="405"/>
      <c r="C11" s="223" t="s">
        <v>231</v>
      </c>
      <c r="D11" s="456" t="str">
        <f>'[15]Bridging - Sept 2013'!D11</f>
        <v>Average 11/12'</v>
      </c>
      <c r="E11" s="457">
        <f>'[15]Bridging - Sept 2013'!E11</f>
        <v>106.66916666666667</v>
      </c>
      <c r="F11" s="462"/>
    </row>
    <row r="12" spans="2:6">
      <c r="B12" s="405"/>
      <c r="C12" s="461" t="s">
        <v>231</v>
      </c>
      <c r="D12" s="456" t="str">
        <f>'[15]Bridging - Sept 2013'!D12</f>
        <v>Average 12/13'</v>
      </c>
      <c r="E12" s="457">
        <f>'[15]Bridging - Sept 2013'!E12</f>
        <v>104.19499999999999</v>
      </c>
      <c r="F12" s="462"/>
    </row>
    <row r="13" spans="2:6">
      <c r="B13" s="405"/>
      <c r="C13" s="461" t="s">
        <v>234</v>
      </c>
      <c r="D13" s="452"/>
      <c r="E13" s="458">
        <f>(E12-E11)/E11</f>
        <v>-2.3194768872604635E-2</v>
      </c>
      <c r="F13" s="462"/>
    </row>
    <row r="14" spans="2:6">
      <c r="B14" s="405"/>
      <c r="C14" s="461"/>
      <c r="D14" s="452"/>
      <c r="E14" s="458"/>
      <c r="F14" s="462"/>
    </row>
    <row r="15" spans="2:6">
      <c r="B15" s="405"/>
      <c r="C15" s="461" t="s">
        <v>247</v>
      </c>
      <c r="D15" s="452"/>
      <c r="E15" s="458">
        <v>4.4900000000000002E-2</v>
      </c>
      <c r="F15" s="491">
        <v>0.8</v>
      </c>
    </row>
    <row r="16" spans="2:6">
      <c r="B16" s="405"/>
      <c r="C16" s="461" t="s">
        <v>248</v>
      </c>
      <c r="D16" s="452"/>
      <c r="E16" s="458">
        <v>0.14000000000000001</v>
      </c>
      <c r="F16" s="491">
        <v>0.2</v>
      </c>
    </row>
    <row r="17" spans="2:6">
      <c r="B17" s="405"/>
      <c r="C17" s="451" t="s">
        <v>237</v>
      </c>
      <c r="D17" s="452"/>
      <c r="E17" s="458">
        <f>(33-28)/33</f>
        <v>0.15151515151515152</v>
      </c>
      <c r="F17" s="491">
        <v>1</v>
      </c>
    </row>
    <row r="18" spans="2:6">
      <c r="B18" s="405"/>
      <c r="C18" s="461"/>
      <c r="D18" s="452"/>
      <c r="E18" s="454" t="s">
        <v>225</v>
      </c>
      <c r="F18" s="462"/>
    </row>
    <row r="19" spans="2:6">
      <c r="B19" s="405"/>
      <c r="C19" s="461"/>
      <c r="D19" s="452"/>
      <c r="E19" s="454"/>
      <c r="F19" s="462"/>
    </row>
    <row r="20" spans="2:6">
      <c r="B20" s="405"/>
      <c r="C20" s="461"/>
      <c r="D20" s="452"/>
      <c r="E20" s="454"/>
      <c r="F20" s="462"/>
    </row>
    <row r="21" spans="2:6">
      <c r="B21" s="405"/>
      <c r="C21" s="461" t="s">
        <v>238</v>
      </c>
      <c r="D21" s="452"/>
      <c r="E21" s="492">
        <f>E7+E7*E13</f>
        <v>0.18754660437645992</v>
      </c>
      <c r="F21" s="462" t="str">
        <f>F7</f>
        <v>escalable</v>
      </c>
    </row>
    <row r="22" spans="2:6">
      <c r="B22" s="405"/>
      <c r="C22" s="461" t="s">
        <v>229</v>
      </c>
      <c r="D22" s="452"/>
      <c r="E22" s="492">
        <f>E8+(E15*E8*F15)+(E16*E8*F16)+(E17*E8*F17)</f>
        <v>0.35004532363636365</v>
      </c>
      <c r="F22" s="462"/>
    </row>
    <row r="23" spans="2:6">
      <c r="B23" s="405"/>
      <c r="C23" s="461"/>
      <c r="D23" s="452"/>
      <c r="E23" s="454"/>
      <c r="F23" s="462"/>
    </row>
    <row r="24" spans="2:6">
      <c r="B24" s="405"/>
      <c r="C24" s="463" t="s">
        <v>239</v>
      </c>
      <c r="D24" s="464"/>
      <c r="E24" s="465">
        <f>E21+E22</f>
        <v>0.53759192801282363</v>
      </c>
      <c r="F24" s="462"/>
    </row>
    <row r="25" spans="2:6">
      <c r="B25" s="405"/>
      <c r="C25" s="461"/>
      <c r="D25" s="452"/>
      <c r="E25" s="454"/>
      <c r="F25" s="462"/>
    </row>
    <row r="26" spans="2:6">
      <c r="B26" s="405"/>
      <c r="C26" s="466" t="s">
        <v>249</v>
      </c>
      <c r="D26" s="452"/>
      <c r="E26" s="454"/>
      <c r="F26" s="462"/>
    </row>
    <row r="27" spans="2:6">
      <c r="B27" s="405"/>
      <c r="C27" s="455"/>
      <c r="D27" s="452"/>
      <c r="E27" s="469"/>
      <c r="F27" s="462"/>
    </row>
    <row r="28" spans="2:6">
      <c r="B28" s="405"/>
      <c r="C28" s="454"/>
      <c r="D28" s="452"/>
      <c r="E28" s="449" t="s">
        <v>242</v>
      </c>
      <c r="F28" s="462"/>
    </row>
    <row r="29" spans="2:6" ht="15" thickBot="1">
      <c r="B29" s="493"/>
      <c r="C29" s="471" t="s">
        <v>225</v>
      </c>
      <c r="D29" s="472" t="s">
        <v>243</v>
      </c>
      <c r="E29" s="471" t="s">
        <v>243</v>
      </c>
      <c r="F29" s="473"/>
    </row>
    <row r="30" spans="2:6">
      <c r="B30" s="404"/>
      <c r="C30" s="475"/>
      <c r="D30" s="476"/>
      <c r="E30" s="475"/>
      <c r="F30" s="477"/>
    </row>
    <row r="31" spans="2:6">
      <c r="B31" s="494" t="s">
        <v>244</v>
      </c>
      <c r="C31" s="455">
        <f>E5</f>
        <v>0.48</v>
      </c>
      <c r="D31" s="495">
        <f>C31*1.16</f>
        <v>0.55679999999999996</v>
      </c>
      <c r="E31" s="455">
        <f>-E283</f>
        <v>0</v>
      </c>
      <c r="F31" s="462"/>
    </row>
    <row r="32" spans="2:6">
      <c r="B32" s="494"/>
      <c r="C32" s="455"/>
      <c r="D32" s="464"/>
      <c r="E32" s="455"/>
      <c r="F32" s="462"/>
    </row>
    <row r="33" spans="2:6" ht="15" thickBot="1">
      <c r="B33" s="496" t="s">
        <v>245</v>
      </c>
      <c r="C33" s="365">
        <f>E24</f>
        <v>0.53759192801282363</v>
      </c>
      <c r="D33" s="497">
        <f>0.48*1.16</f>
        <v>0.55679999999999996</v>
      </c>
      <c r="E33" s="482">
        <f>D33-D31</f>
        <v>0</v>
      </c>
      <c r="F33" s="498"/>
    </row>
    <row r="34" spans="2:6">
      <c r="C34" s="187"/>
      <c r="D34" s="187"/>
      <c r="E34" s="187"/>
    </row>
    <row r="35" spans="2:6">
      <c r="C35" s="187"/>
      <c r="D35" s="187"/>
      <c r="E35" s="187"/>
    </row>
    <row r="36" spans="2:6">
      <c r="C36" s="187"/>
      <c r="D36" s="187"/>
      <c r="E36" s="187"/>
    </row>
    <row r="37" spans="2:6">
      <c r="C37" s="187"/>
      <c r="D37" s="187"/>
      <c r="E37" s="187"/>
    </row>
    <row r="38" spans="2:6">
      <c r="C38" s="187"/>
      <c r="D38" s="187"/>
      <c r="E38" s="187"/>
    </row>
    <row r="39" spans="2:6">
      <c r="C39" s="187"/>
      <c r="D39" s="187"/>
      <c r="E39" s="187"/>
    </row>
    <row r="40" spans="2:6">
      <c r="C40" s="187"/>
      <c r="D40" s="187"/>
      <c r="E40" s="187"/>
    </row>
  </sheetData>
  <mergeCells count="1">
    <mergeCell ref="C3:D3"/>
  </mergeCells>
  <pageMargins left="0.7" right="0.7" top="0.75" bottom="0.75" header="0.3" footer="0.3"/>
  <pageSetup orientation="portrait" r:id="rId1"/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1-000000000000}">
  <sheetPr codeName="Sheet467">
    <tabColor rgb="FFFFFF00"/>
  </sheetPr>
  <dimension ref="B2:K42"/>
  <sheetViews>
    <sheetView topLeftCell="A13" zoomScale="75" zoomScaleNormal="75" workbookViewId="0">
      <selection activeCell="E11" sqref="E11"/>
    </sheetView>
  </sheetViews>
  <sheetFormatPr defaultColWidth="9.1796875" defaultRowHeight="14.5"/>
  <cols>
    <col min="1" max="1" width="3.453125" style="159" customWidth="1"/>
    <col min="2" max="2" width="12.453125" style="159" customWidth="1"/>
    <col min="3" max="3" width="25" style="159" bestFit="1" customWidth="1"/>
    <col min="4" max="5" width="20.1796875" style="159" bestFit="1" customWidth="1"/>
    <col min="6" max="6" width="10.54296875" style="159" bestFit="1" customWidth="1"/>
    <col min="7" max="16384" width="9.1796875" style="159"/>
  </cols>
  <sheetData>
    <row r="2" spans="2:6" ht="15" thickBot="1"/>
    <row r="3" spans="2:6" ht="15" thickBot="1">
      <c r="B3" s="411"/>
      <c r="C3" s="1227" t="s">
        <v>250</v>
      </c>
      <c r="D3" s="1228"/>
      <c r="E3" s="440"/>
      <c r="F3" s="441"/>
    </row>
    <row r="4" spans="2:6">
      <c r="B4" s="442"/>
      <c r="C4" s="443"/>
      <c r="D4" s="444"/>
      <c r="E4" s="445" t="s">
        <v>225</v>
      </c>
      <c r="F4" s="446"/>
    </row>
    <row r="5" spans="2:6">
      <c r="B5" s="405"/>
      <c r="C5" s="447" t="s">
        <v>226</v>
      </c>
      <c r="D5" s="448"/>
      <c r="E5" s="449">
        <v>10.85</v>
      </c>
      <c r="F5" s="450"/>
    </row>
    <row r="6" spans="2:6">
      <c r="B6" s="405"/>
      <c r="C6" s="451"/>
      <c r="D6" s="452"/>
      <c r="E6" s="451"/>
      <c r="F6" s="450"/>
    </row>
    <row r="7" spans="2:6">
      <c r="B7" s="405"/>
      <c r="C7" s="451" t="s">
        <v>227</v>
      </c>
      <c r="D7" s="453">
        <v>0.4</v>
      </c>
      <c r="E7" s="454">
        <f>E5*D7</f>
        <v>4.34</v>
      </c>
      <c r="F7" s="450" t="s">
        <v>228</v>
      </c>
    </row>
    <row r="8" spans="2:6">
      <c r="B8" s="405"/>
      <c r="C8" s="451" t="s">
        <v>229</v>
      </c>
      <c r="D8" s="453">
        <v>0.6</v>
      </c>
      <c r="E8" s="454">
        <f>E5*D8</f>
        <v>6.51</v>
      </c>
      <c r="F8" s="450"/>
    </row>
    <row r="9" spans="2:6">
      <c r="B9" s="405"/>
      <c r="C9" s="451"/>
      <c r="D9" s="453"/>
      <c r="E9" s="454"/>
      <c r="F9" s="450"/>
    </row>
    <row r="10" spans="2:6">
      <c r="B10" s="405"/>
      <c r="C10" s="451"/>
      <c r="D10" s="452"/>
      <c r="E10" s="455" t="s">
        <v>230</v>
      </c>
      <c r="F10" s="450"/>
    </row>
    <row r="11" spans="2:6">
      <c r="B11" s="405"/>
      <c r="C11" s="222" t="s">
        <v>231</v>
      </c>
      <c r="D11" s="456" t="str">
        <f>'[15]Bridging - Sept 2013'!D11</f>
        <v>Average 11/12'</v>
      </c>
      <c r="E11" s="457">
        <f>'[15]Bridging - Sept 2013'!E11</f>
        <v>106.66916666666667</v>
      </c>
      <c r="F11" s="450"/>
    </row>
    <row r="12" spans="2:6">
      <c r="B12" s="405"/>
      <c r="C12" s="451" t="s">
        <v>231</v>
      </c>
      <c r="D12" s="456" t="str">
        <f>'[15]Bridging - Sept 2013'!D12</f>
        <v>Average 12/13'</v>
      </c>
      <c r="E12" s="457">
        <f>'[15]Bridging - Sept 2013'!E12</f>
        <v>104.19499999999999</v>
      </c>
      <c r="F12" s="450"/>
    </row>
    <row r="13" spans="2:6">
      <c r="B13" s="405"/>
      <c r="C13" s="451" t="s">
        <v>234</v>
      </c>
      <c r="D13" s="452"/>
      <c r="E13" s="458">
        <f>(E12-E11)/E11</f>
        <v>-2.3194768872604635E-2</v>
      </c>
      <c r="F13" s="450"/>
    </row>
    <row r="14" spans="2:6">
      <c r="B14" s="405"/>
      <c r="C14" s="451"/>
      <c r="D14" s="452"/>
      <c r="E14" s="458"/>
      <c r="F14" s="450"/>
    </row>
    <row r="15" spans="2:6">
      <c r="B15" s="405"/>
      <c r="C15" s="451" t="s">
        <v>247</v>
      </c>
      <c r="D15" s="452"/>
      <c r="E15" s="458">
        <v>4.4900000000000002E-2</v>
      </c>
      <c r="F15" s="459">
        <v>0.8</v>
      </c>
    </row>
    <row r="16" spans="2:6">
      <c r="B16" s="405"/>
      <c r="C16" s="451" t="s">
        <v>248</v>
      </c>
      <c r="D16" s="452"/>
      <c r="E16" s="458">
        <v>0.14000000000000001</v>
      </c>
      <c r="F16" s="459">
        <v>0.2</v>
      </c>
    </row>
    <row r="17" spans="2:11">
      <c r="B17" s="405"/>
      <c r="C17" s="451" t="s">
        <v>251</v>
      </c>
      <c r="D17" s="452"/>
      <c r="E17" s="458">
        <f>(33-28)/33</f>
        <v>0.15151515151515152</v>
      </c>
      <c r="F17" s="459">
        <v>1</v>
      </c>
    </row>
    <row r="18" spans="2:11">
      <c r="B18" s="405"/>
      <c r="C18" s="451"/>
      <c r="D18" s="452"/>
      <c r="E18" s="454" t="s">
        <v>225</v>
      </c>
      <c r="F18" s="450"/>
    </row>
    <row r="19" spans="2:11">
      <c r="B19" s="405"/>
      <c r="C19" s="451"/>
      <c r="D19" s="452"/>
      <c r="E19" s="451"/>
      <c r="F19" s="450"/>
    </row>
    <row r="20" spans="2:11">
      <c r="B20" s="460"/>
      <c r="C20" s="461" t="s">
        <v>238</v>
      </c>
      <c r="D20" s="452"/>
      <c r="E20" s="457">
        <f>E7+E7*E13</f>
        <v>4.2393347030928954</v>
      </c>
      <c r="F20" s="462" t="s">
        <v>252</v>
      </c>
    </row>
    <row r="21" spans="2:11">
      <c r="B21" s="460"/>
      <c r="C21" s="461" t="s">
        <v>229</v>
      </c>
      <c r="D21" s="452"/>
      <c r="E21" s="454">
        <f>E8+(E15*E8*F15)+(E16*20%*F16)+(E17*E8*F17)</f>
        <v>7.7358028363636366</v>
      </c>
      <c r="F21" s="462"/>
      <c r="J21" s="162"/>
    </row>
    <row r="22" spans="2:11">
      <c r="B22" s="460"/>
      <c r="C22" s="461"/>
      <c r="D22" s="452"/>
      <c r="E22" s="454"/>
      <c r="F22" s="462"/>
    </row>
    <row r="23" spans="2:11">
      <c r="B23" s="460"/>
      <c r="C23" s="461"/>
      <c r="D23" s="452"/>
      <c r="E23" s="454"/>
      <c r="F23" s="462"/>
    </row>
    <row r="24" spans="2:11">
      <c r="B24" s="460"/>
      <c r="C24" s="463" t="s">
        <v>239</v>
      </c>
      <c r="D24" s="464"/>
      <c r="E24" s="465">
        <f>E20+E21</f>
        <v>11.975137539456533</v>
      </c>
      <c r="F24" s="462"/>
      <c r="I24" s="159">
        <f>E24*56/1000</f>
        <v>0.67060770220956578</v>
      </c>
    </row>
    <row r="25" spans="2:11">
      <c r="B25" s="460"/>
      <c r="C25" s="466"/>
      <c r="D25" s="464"/>
      <c r="E25" s="467"/>
      <c r="F25" s="462"/>
      <c r="I25" s="159">
        <f>0.54*1000/40</f>
        <v>13.5</v>
      </c>
      <c r="K25" s="171">
        <f>0.54*10000</f>
        <v>5400</v>
      </c>
    </row>
    <row r="26" spans="2:11">
      <c r="B26" s="460"/>
      <c r="C26" s="466" t="s">
        <v>253</v>
      </c>
      <c r="D26" s="452"/>
      <c r="E26" s="455" t="s">
        <v>254</v>
      </c>
      <c r="F26" s="468">
        <v>100</v>
      </c>
    </row>
    <row r="27" spans="2:11">
      <c r="B27" s="460"/>
      <c r="C27" s="455"/>
      <c r="D27" s="452"/>
      <c r="E27" s="469"/>
      <c r="F27" s="462"/>
      <c r="J27" s="159">
        <f>E24*41/1000</f>
        <v>0.49098063911771783</v>
      </c>
      <c r="K27" s="159">
        <f>J27*10000</f>
        <v>4909.8063911771787</v>
      </c>
    </row>
    <row r="28" spans="2:11">
      <c r="B28" s="460"/>
      <c r="C28" s="454"/>
      <c r="D28" s="452"/>
      <c r="E28" s="449" t="s">
        <v>242</v>
      </c>
      <c r="F28" s="462"/>
    </row>
    <row r="29" spans="2:11" ht="15" thickBot="1">
      <c r="B29" s="470"/>
      <c r="C29" s="471" t="s">
        <v>225</v>
      </c>
      <c r="D29" s="472" t="s">
        <v>243</v>
      </c>
      <c r="E29" s="471" t="s">
        <v>243</v>
      </c>
      <c r="F29" s="473"/>
      <c r="J29" s="159">
        <f>E24*100/1000</f>
        <v>1.1975137539456533</v>
      </c>
      <c r="K29" s="159">
        <f>J29*10000</f>
        <v>11975.137539456533</v>
      </c>
    </row>
    <row r="30" spans="2:11">
      <c r="B30" s="474"/>
      <c r="C30" s="475"/>
      <c r="D30" s="476"/>
      <c r="E30" s="475"/>
      <c r="F30" s="477"/>
    </row>
    <row r="31" spans="2:11">
      <c r="B31" s="478" t="s">
        <v>244</v>
      </c>
      <c r="C31" s="455">
        <f>E5</f>
        <v>10.85</v>
      </c>
      <c r="D31" s="479">
        <f>C31*1.16*(F26/1000)</f>
        <v>1.2585999999999999</v>
      </c>
      <c r="E31" s="455">
        <f>-E283</f>
        <v>0</v>
      </c>
      <c r="F31" s="468"/>
    </row>
    <row r="32" spans="2:11">
      <c r="B32" s="478"/>
      <c r="C32" s="455"/>
      <c r="D32" s="464"/>
      <c r="E32" s="455"/>
      <c r="F32" s="468"/>
    </row>
    <row r="33" spans="2:6" ht="15" thickBot="1">
      <c r="B33" s="480" t="s">
        <v>245</v>
      </c>
      <c r="C33" s="365">
        <f>E24</f>
        <v>11.975137539456533</v>
      </c>
      <c r="D33" s="481">
        <f>C33*1.16*(F26/1000)</f>
        <v>1.3891159545769578</v>
      </c>
      <c r="E33" s="482">
        <f>D33-D31</f>
        <v>0.13051595457695786</v>
      </c>
      <c r="F33" s="483"/>
    </row>
    <row r="34" spans="2:6">
      <c r="C34" s="187"/>
      <c r="D34" s="187"/>
      <c r="E34" s="187"/>
    </row>
    <row r="35" spans="2:6">
      <c r="C35" s="484"/>
      <c r="D35" s="484"/>
      <c r="E35" s="485"/>
    </row>
    <row r="36" spans="2:6">
      <c r="C36" s="187"/>
      <c r="D36" s="187"/>
      <c r="E36" s="187"/>
    </row>
    <row r="37" spans="2:6">
      <c r="C37" s="187"/>
      <c r="D37" s="187"/>
      <c r="E37" s="187"/>
    </row>
    <row r="38" spans="2:6">
      <c r="C38" s="187"/>
      <c r="D38" s="187"/>
      <c r="E38" s="187"/>
    </row>
    <row r="39" spans="2:6">
      <c r="C39" s="187"/>
      <c r="D39" s="187"/>
      <c r="E39" s="187"/>
    </row>
    <row r="40" spans="2:6">
      <c r="C40" s="187"/>
      <c r="D40" s="187"/>
      <c r="E40" s="187"/>
    </row>
    <row r="41" spans="2:6">
      <c r="C41" s="187"/>
      <c r="D41" s="187"/>
      <c r="E41" s="187"/>
    </row>
    <row r="42" spans="2:6">
      <c r="C42" s="187"/>
      <c r="D42" s="187"/>
      <c r="E42" s="187"/>
    </row>
  </sheetData>
  <mergeCells count="1">
    <mergeCell ref="C3:D3"/>
  </mergeCells>
  <pageMargins left="0.7" right="0.7" top="0.75" bottom="0.75" header="0.3" footer="0.3"/>
  <pageSetup orientation="portrait" r:id="rId1"/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1-000000000000}">
  <sheetPr codeName="Sheet468">
    <tabColor rgb="FFFFFF00"/>
  </sheetPr>
  <dimension ref="A1:H19"/>
  <sheetViews>
    <sheetView workbookViewId="0">
      <selection activeCell="A3" sqref="A3"/>
    </sheetView>
  </sheetViews>
  <sheetFormatPr defaultRowHeight="14.5"/>
  <cols>
    <col min="1" max="1" width="16.54296875" customWidth="1"/>
    <col min="2" max="4" width="12" bestFit="1" customWidth="1"/>
    <col min="6" max="6" width="11.7265625" bestFit="1" customWidth="1"/>
    <col min="7" max="8" width="17" bestFit="1" customWidth="1"/>
  </cols>
  <sheetData>
    <row r="1" spans="1:8" ht="15" thickBot="1"/>
    <row r="2" spans="1:8" ht="15" thickBot="1">
      <c r="A2" s="58"/>
      <c r="B2" s="59">
        <v>2011</v>
      </c>
      <c r="C2" s="59">
        <v>2012</v>
      </c>
      <c r="D2" s="60">
        <v>2013</v>
      </c>
      <c r="E2" s="4"/>
      <c r="F2" s="58"/>
      <c r="G2" s="59" t="s">
        <v>255</v>
      </c>
      <c r="H2" s="60" t="s">
        <v>256</v>
      </c>
    </row>
    <row r="3" spans="1:8">
      <c r="A3" s="61" t="s">
        <v>257</v>
      </c>
      <c r="B3" s="62">
        <v>88.71</v>
      </c>
      <c r="C3" s="62">
        <v>107.9</v>
      </c>
      <c r="D3" s="63">
        <v>103.99</v>
      </c>
      <c r="F3" s="51" t="s">
        <v>258</v>
      </c>
      <c r="G3" s="64">
        <v>108.17</v>
      </c>
      <c r="H3" s="65">
        <v>101.07</v>
      </c>
    </row>
    <row r="4" spans="1:8">
      <c r="A4" s="51" t="s">
        <v>259</v>
      </c>
      <c r="B4" s="64">
        <v>91.72</v>
      </c>
      <c r="C4" s="64">
        <v>105.29</v>
      </c>
      <c r="D4" s="65">
        <v>106.2</v>
      </c>
      <c r="F4" s="51" t="s">
        <v>260</v>
      </c>
      <c r="G4" s="64">
        <v>110.94</v>
      </c>
      <c r="H4" s="65">
        <v>106.11</v>
      </c>
    </row>
    <row r="5" spans="1:8">
      <c r="A5" s="51" t="s">
        <v>261</v>
      </c>
      <c r="B5" s="64">
        <v>94.53</v>
      </c>
      <c r="C5" s="64">
        <v>105.12</v>
      </c>
      <c r="D5" s="65">
        <v>107.37</v>
      </c>
      <c r="F5" s="51" t="s">
        <v>262</v>
      </c>
      <c r="G5" s="64">
        <v>114.3</v>
      </c>
      <c r="H5" s="65">
        <v>105.85</v>
      </c>
    </row>
    <row r="6" spans="1:8">
      <c r="A6" s="51" t="s">
        <v>263</v>
      </c>
      <c r="B6" s="64">
        <f>'[16]PUMP PRICES SUMMARY'!$E$14</f>
        <v>105.44345208449153</v>
      </c>
      <c r="C6" s="64">
        <v>108.8</v>
      </c>
      <c r="D6" s="65">
        <v>106.44</v>
      </c>
      <c r="F6" s="51" t="s">
        <v>264</v>
      </c>
      <c r="G6" s="64">
        <v>110.98</v>
      </c>
      <c r="H6" s="65">
        <v>105.79</v>
      </c>
    </row>
    <row r="7" spans="1:8">
      <c r="A7" s="51" t="s">
        <v>265</v>
      </c>
      <c r="B7" s="64">
        <f>[17]Nairobi!$E$25</f>
        <v>108.01906484243555</v>
      </c>
      <c r="C7" s="64">
        <v>108.44</v>
      </c>
      <c r="D7" s="65">
        <v>101.06</v>
      </c>
      <c r="F7" s="51" t="s">
        <v>257</v>
      </c>
      <c r="G7" s="64">
        <v>107.9</v>
      </c>
      <c r="H7" s="65">
        <v>103.99</v>
      </c>
    </row>
    <row r="8" spans="1:8">
      <c r="A8" s="51" t="s">
        <v>266</v>
      </c>
      <c r="B8" s="64">
        <f>[18]Nairobi!$E$25</f>
        <v>106.29908892434156</v>
      </c>
      <c r="C8" s="64">
        <v>105.51</v>
      </c>
      <c r="D8" s="65">
        <v>99.16</v>
      </c>
      <c r="F8" s="51" t="s">
        <v>259</v>
      </c>
      <c r="G8" s="64">
        <v>105.29</v>
      </c>
      <c r="H8" s="65">
        <v>106.2</v>
      </c>
    </row>
    <row r="9" spans="1:8">
      <c r="A9" s="51" t="s">
        <v>267</v>
      </c>
      <c r="B9" s="64">
        <v>106.12</v>
      </c>
      <c r="C9" s="64">
        <v>97.5</v>
      </c>
      <c r="D9" s="65">
        <v>102.86</v>
      </c>
      <c r="F9" s="51" t="s">
        <v>261</v>
      </c>
      <c r="G9" s="64">
        <v>105.12</v>
      </c>
      <c r="H9" s="65">
        <v>107.37</v>
      </c>
    </row>
    <row r="10" spans="1:8">
      <c r="A10" s="51" t="s">
        <v>268</v>
      </c>
      <c r="B10" s="64">
        <v>108.97</v>
      </c>
      <c r="C10" s="64">
        <v>97.08</v>
      </c>
      <c r="D10" s="65">
        <v>104.44</v>
      </c>
      <c r="F10" s="51" t="s">
        <v>263</v>
      </c>
      <c r="G10" s="64">
        <v>108.8</v>
      </c>
      <c r="H10" s="65">
        <v>106.44</v>
      </c>
    </row>
    <row r="11" spans="1:8">
      <c r="A11" s="51" t="s">
        <v>258</v>
      </c>
      <c r="B11" s="64">
        <v>108.17</v>
      </c>
      <c r="C11" s="64">
        <v>101.07</v>
      </c>
      <c r="D11" s="65"/>
      <c r="F11" s="51" t="s">
        <v>265</v>
      </c>
      <c r="G11" s="64">
        <v>108.44</v>
      </c>
      <c r="H11" s="65">
        <v>101.06</v>
      </c>
    </row>
    <row r="12" spans="1:8">
      <c r="A12" s="51" t="s">
        <v>260</v>
      </c>
      <c r="B12" s="64">
        <v>110.94</v>
      </c>
      <c r="C12" s="64">
        <v>106.11</v>
      </c>
      <c r="D12" s="65"/>
      <c r="F12" s="51" t="s">
        <v>266</v>
      </c>
      <c r="G12" s="64">
        <v>105.51</v>
      </c>
      <c r="H12" s="65">
        <v>99.16</v>
      </c>
    </row>
    <row r="13" spans="1:8">
      <c r="A13" s="51" t="s">
        <v>262</v>
      </c>
      <c r="B13" s="64">
        <v>114.3</v>
      </c>
      <c r="C13" s="64">
        <v>105.85</v>
      </c>
      <c r="D13" s="65"/>
      <c r="F13" s="51" t="s">
        <v>267</v>
      </c>
      <c r="G13" s="64">
        <v>97.5</v>
      </c>
      <c r="H13" s="65">
        <v>102.86</v>
      </c>
    </row>
    <row r="14" spans="1:8" ht="15" thickBot="1">
      <c r="A14" s="66" t="s">
        <v>264</v>
      </c>
      <c r="B14" s="67">
        <v>110.98</v>
      </c>
      <c r="C14" s="67">
        <v>105.79</v>
      </c>
      <c r="D14" s="68"/>
      <c r="F14" s="51" t="s">
        <v>268</v>
      </c>
      <c r="G14" s="64">
        <v>97.08</v>
      </c>
      <c r="H14" s="65">
        <v>104.44</v>
      </c>
    </row>
    <row r="15" spans="1:8">
      <c r="A15" s="1"/>
      <c r="B15" s="69"/>
      <c r="C15" s="69"/>
      <c r="D15" s="69"/>
      <c r="F15" s="70"/>
      <c r="G15" s="1"/>
      <c r="H15" s="71"/>
    </row>
    <row r="16" spans="1:8">
      <c r="A16" s="1"/>
      <c r="B16" s="72"/>
      <c r="C16" s="73"/>
      <c r="D16" s="73"/>
      <c r="F16" s="74"/>
      <c r="G16" s="73">
        <f>AVERAGE(G3:G14)</f>
        <v>106.66916666666667</v>
      </c>
      <c r="H16" s="75">
        <f>AVERAGE(H3:H14)</f>
        <v>104.19499999999999</v>
      </c>
    </row>
    <row r="17" spans="6:8">
      <c r="F17" s="70"/>
      <c r="G17" s="1"/>
      <c r="H17" s="71"/>
    </row>
    <row r="18" spans="6:8">
      <c r="F18" s="70"/>
      <c r="G18" s="1"/>
      <c r="H18" s="71"/>
    </row>
    <row r="19" spans="6:8" ht="15" thickBot="1">
      <c r="F19" s="76"/>
      <c r="G19" s="77" t="s">
        <v>162</v>
      </c>
      <c r="H19" s="78">
        <f>(H16-G16)/G16</f>
        <v>-2.3194768872604635E-2</v>
      </c>
    </row>
  </sheetData>
  <pageMargins left="0.7" right="0.7" top="0.75" bottom="0.75" header="0.3" footer="0.3"/>
  <pageSetup orientation="portrait" r:id="rId1"/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1-000000000000}">
  <sheetPr codeName="Sheet469">
    <tabColor rgb="FFFFFF00"/>
  </sheetPr>
  <dimension ref="B4:O19"/>
  <sheetViews>
    <sheetView workbookViewId="0">
      <selection activeCell="I20" sqref="I20"/>
    </sheetView>
  </sheetViews>
  <sheetFormatPr defaultRowHeight="14.5"/>
  <cols>
    <col min="2" max="2" width="22.1796875" customWidth="1"/>
    <col min="7" max="7" width="8" customWidth="1"/>
    <col min="8" max="8" width="8.7265625" customWidth="1"/>
    <col min="9" max="9" width="8.1796875" customWidth="1"/>
    <col min="10" max="10" width="8.81640625" customWidth="1"/>
  </cols>
  <sheetData>
    <row r="4" spans="2:15" ht="15" thickBot="1"/>
    <row r="5" spans="2:15" ht="15" thickBot="1">
      <c r="B5" s="79" t="s">
        <v>269</v>
      </c>
      <c r="C5" s="80">
        <v>41153</v>
      </c>
      <c r="D5" s="80">
        <v>41183</v>
      </c>
      <c r="E5" s="80">
        <v>41214</v>
      </c>
      <c r="F5" s="80">
        <v>41244</v>
      </c>
      <c r="G5" s="80">
        <v>41275</v>
      </c>
      <c r="H5" s="80">
        <v>41306</v>
      </c>
      <c r="I5" s="80">
        <v>41334</v>
      </c>
      <c r="J5" s="80">
        <v>41365</v>
      </c>
      <c r="K5" s="80">
        <v>41395</v>
      </c>
      <c r="L5" s="80">
        <v>41426</v>
      </c>
      <c r="M5" s="80">
        <v>41456</v>
      </c>
      <c r="N5" s="80">
        <v>41487</v>
      </c>
      <c r="O5" s="57" t="s">
        <v>217</v>
      </c>
    </row>
    <row r="6" spans="2:15" ht="15" thickBot="1">
      <c r="B6" s="81" t="s">
        <v>270</v>
      </c>
      <c r="C6" s="82">
        <v>5.32</v>
      </c>
      <c r="D6" s="82">
        <v>4.1399999999999997</v>
      </c>
      <c r="E6" s="82">
        <v>3.25</v>
      </c>
      <c r="F6" s="83">
        <v>3.2</v>
      </c>
      <c r="G6" s="83">
        <v>3.67</v>
      </c>
      <c r="H6" s="83">
        <v>4.4400000000000004</v>
      </c>
      <c r="I6" s="83">
        <v>4.1100000000000003</v>
      </c>
      <c r="J6" s="83">
        <v>4.12</v>
      </c>
      <c r="K6" s="84">
        <v>4.05</v>
      </c>
      <c r="L6" s="84">
        <v>4.91</v>
      </c>
      <c r="M6" s="84">
        <v>6.02</v>
      </c>
      <c r="N6" s="84">
        <v>6.67</v>
      </c>
      <c r="O6" s="85">
        <f>AVERAGE(C6:N6)</f>
        <v>4.4916666666666663</v>
      </c>
    </row>
    <row r="8" spans="2:15">
      <c r="B8" s="1"/>
      <c r="C8" s="86"/>
      <c r="D8" s="86"/>
    </row>
    <row r="9" spans="2:15">
      <c r="B9" s="1"/>
      <c r="C9" s="86"/>
      <c r="D9" s="86"/>
      <c r="L9" s="1258" t="s">
        <v>271</v>
      </c>
      <c r="M9" s="1258"/>
      <c r="N9" s="1258"/>
      <c r="O9" s="1258"/>
    </row>
    <row r="10" spans="2:15">
      <c r="B10" s="1"/>
      <c r="C10" s="86"/>
      <c r="D10" s="86"/>
    </row>
    <row r="11" spans="2:15">
      <c r="B11" s="1"/>
      <c r="C11" s="87"/>
      <c r="D11" s="2"/>
    </row>
    <row r="12" spans="2:15">
      <c r="B12" s="1"/>
      <c r="C12" s="2"/>
      <c r="D12" s="2"/>
    </row>
    <row r="13" spans="2:15">
      <c r="B13" s="1"/>
    </row>
    <row r="14" spans="2:15">
      <c r="B14" s="1"/>
    </row>
    <row r="15" spans="2:15">
      <c r="B15" s="1"/>
    </row>
    <row r="16" spans="2:15">
      <c r="B16" s="1"/>
    </row>
    <row r="17" spans="2:2">
      <c r="B17" s="1"/>
    </row>
    <row r="18" spans="2:2">
      <c r="B18" s="1"/>
    </row>
    <row r="19" spans="2:2">
      <c r="B19" s="1"/>
    </row>
  </sheetData>
  <mergeCells count="1">
    <mergeCell ref="L9:O9"/>
  </mergeCells>
  <pageMargins left="0.7" right="0.7" top="0.75" bottom="0.75" header="0.3" footer="0.3"/>
  <pageSetup paperSize="9" orientation="portrait" r:id="rId1"/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1-000000000000}">
  <sheetPr codeName="Sheet470">
    <tabColor rgb="FFFFFF00"/>
  </sheetPr>
  <dimension ref="C1:E100"/>
  <sheetViews>
    <sheetView topLeftCell="A13" workbookViewId="0">
      <selection activeCell="G17" sqref="G17"/>
    </sheetView>
  </sheetViews>
  <sheetFormatPr defaultColWidth="9.1796875" defaultRowHeight="14.5"/>
  <cols>
    <col min="1" max="2" width="9.1796875" style="159"/>
    <col min="3" max="3" width="35" style="159" customWidth="1"/>
    <col min="4" max="5" width="14.453125" style="159" customWidth="1"/>
    <col min="6" max="16384" width="9.1796875" style="159"/>
  </cols>
  <sheetData>
    <row r="1" spans="3:5" ht="15" thickBot="1"/>
    <row r="2" spans="3:5" ht="15" thickBot="1">
      <c r="C2" s="1233" t="s">
        <v>366</v>
      </c>
      <c r="D2" s="1234"/>
      <c r="E2" s="1235"/>
    </row>
    <row r="3" spans="3:5" ht="15" thickBot="1">
      <c r="C3" s="421" t="s">
        <v>372</v>
      </c>
      <c r="D3" s="421" t="s">
        <v>367</v>
      </c>
      <c r="E3" s="422" t="s">
        <v>368</v>
      </c>
    </row>
    <row r="4" spans="3:5">
      <c r="C4" s="423">
        <v>42736</v>
      </c>
      <c r="D4" s="424">
        <v>-6.9999999999999999E-4</v>
      </c>
      <c r="E4" s="425">
        <v>-6.9999999999999999E-4</v>
      </c>
    </row>
    <row r="5" spans="3:5">
      <c r="C5" s="426">
        <v>42767</v>
      </c>
      <c r="D5" s="427">
        <v>-5.9999999999999995E-4</v>
      </c>
      <c r="E5" s="428">
        <v>-5.9999999999999995E-4</v>
      </c>
    </row>
    <row r="6" spans="3:5" ht="15" thickBot="1">
      <c r="C6" s="429">
        <v>42795</v>
      </c>
      <c r="D6" s="430">
        <v>-6.9999999999999999E-4</v>
      </c>
      <c r="E6" s="431">
        <v>-6.9999999999999999E-4</v>
      </c>
    </row>
    <row r="7" spans="3:5" ht="15" thickBot="1">
      <c r="C7" s="432" t="s">
        <v>369</v>
      </c>
      <c r="D7" s="433">
        <f>AVERAGE(D4:D6)</f>
        <v>-6.6666666666666664E-4</v>
      </c>
      <c r="E7" s="434">
        <f>AVERAGE(E4:E6)</f>
        <v>-6.6666666666666664E-4</v>
      </c>
    </row>
    <row r="8" spans="3:5" ht="15" thickBot="1">
      <c r="C8" s="253" t="s">
        <v>371</v>
      </c>
      <c r="D8" s="254"/>
      <c r="E8" s="255">
        <f>D7-E7</f>
        <v>0</v>
      </c>
    </row>
    <row r="9" spans="3:5" ht="15" thickBot="1">
      <c r="C9" s="435">
        <v>42826</v>
      </c>
      <c r="D9" s="424">
        <v>-5.9999999999999995E-4</v>
      </c>
      <c r="E9" s="424">
        <v>-5.9999999999999995E-4</v>
      </c>
    </row>
    <row r="10" spans="3:5" ht="15" thickBot="1">
      <c r="C10" s="436">
        <v>42856</v>
      </c>
      <c r="D10" s="427">
        <v>1E-3</v>
      </c>
      <c r="E10" s="424">
        <v>-5.9999999999999995E-4</v>
      </c>
    </row>
    <row r="11" spans="3:5" ht="15" thickBot="1">
      <c r="C11" s="221">
        <v>42887</v>
      </c>
      <c r="D11" s="437">
        <v>-1E-3</v>
      </c>
      <c r="E11" s="424">
        <v>-5.9999999999999995E-4</v>
      </c>
    </row>
    <row r="12" spans="3:5" ht="15" thickBot="1">
      <c r="C12" s="438" t="s">
        <v>480</v>
      </c>
      <c r="D12" s="433">
        <f>AVERAGE(D9:D11)</f>
        <v>-1.9999999999999998E-4</v>
      </c>
      <c r="E12" s="433">
        <f>AVERAGE(E9:E11)</f>
        <v>-5.9999999999999995E-4</v>
      </c>
    </row>
    <row r="13" spans="3:5">
      <c r="C13" s="435">
        <v>42917</v>
      </c>
      <c r="D13" s="424">
        <v>-8.0000000000000004E-4</v>
      </c>
      <c r="E13" s="424">
        <v>-8.0000000000000004E-4</v>
      </c>
    </row>
    <row r="14" spans="3:5">
      <c r="C14" s="436">
        <v>42948</v>
      </c>
      <c r="D14" s="427">
        <v>-1.1000000000000001E-3</v>
      </c>
      <c r="E14" s="427">
        <v>1.1000000000000001E-3</v>
      </c>
    </row>
    <row r="15" spans="3:5" ht="15" thickBot="1">
      <c r="C15" s="439">
        <v>42979</v>
      </c>
      <c r="D15" s="437">
        <v>-8.0000000000000004E-4</v>
      </c>
      <c r="E15" s="256"/>
    </row>
    <row r="16" spans="3:5" ht="15" thickBot="1">
      <c r="C16" s="438" t="s">
        <v>387</v>
      </c>
      <c r="D16" s="433">
        <f>AVERAGE(D13:D15)</f>
        <v>-9.0000000000000008E-4</v>
      </c>
      <c r="E16" s="433">
        <f>AVERAGE(E13:E15)</f>
        <v>1.5000000000000001E-4</v>
      </c>
    </row>
    <row r="17" spans="3:5">
      <c r="C17" s="435">
        <v>43009</v>
      </c>
      <c r="D17" s="424">
        <v>-8.9999999999999998E-4</v>
      </c>
      <c r="E17" s="424">
        <v>-8.9999999999999998E-4</v>
      </c>
    </row>
    <row r="18" spans="3:5">
      <c r="C18" s="436">
        <v>43040</v>
      </c>
      <c r="D18" s="427">
        <v>-8.9999999999999998E-4</v>
      </c>
      <c r="E18" s="427">
        <v>-8.9999999999999998E-4</v>
      </c>
    </row>
    <row r="19" spans="3:5" ht="15" thickBot="1">
      <c r="C19" s="439">
        <v>43070</v>
      </c>
      <c r="D19" s="437">
        <v>-8.0000000000000004E-4</v>
      </c>
      <c r="E19" s="427">
        <v>-8.0000000000000004E-4</v>
      </c>
    </row>
    <row r="20" spans="3:5" ht="15" thickBot="1">
      <c r="C20" s="438" t="s">
        <v>479</v>
      </c>
      <c r="D20" s="433">
        <f>AVERAGE(D17:D19)</f>
        <v>-8.6666666666666663E-4</v>
      </c>
      <c r="E20" s="433">
        <f>AVERAGE(E17:E19)</f>
        <v>-8.6666666666666663E-4</v>
      </c>
    </row>
    <row r="21" spans="3:5">
      <c r="C21" s="435">
        <v>43101</v>
      </c>
      <c r="D21" s="424">
        <v>-8.9999999999999998E-4</v>
      </c>
      <c r="E21" s="424">
        <v>-8.0000000000000004E-4</v>
      </c>
    </row>
    <row r="22" spans="3:5">
      <c r="C22" s="436">
        <v>43132</v>
      </c>
      <c r="D22" s="427">
        <v>-1.1000000000000001E-3</v>
      </c>
      <c r="E22" s="427">
        <v>-8.9999999999999998E-4</v>
      </c>
    </row>
    <row r="23" spans="3:5" ht="15" thickBot="1">
      <c r="C23" s="436">
        <v>43160</v>
      </c>
      <c r="D23" s="437">
        <v>-8.9999999999999998E-4</v>
      </c>
      <c r="E23" s="437">
        <v>-8.9999999999999998E-4</v>
      </c>
    </row>
    <row r="24" spans="3:5" ht="15" thickBot="1">
      <c r="C24" s="438" t="s">
        <v>471</v>
      </c>
      <c r="D24" s="433">
        <f>AVERAGE(D21:D23)</f>
        <v>-9.6666666666666656E-4</v>
      </c>
      <c r="E24" s="433">
        <f>AVERAGE(E21:E23)</f>
        <v>-8.6666666666666663E-4</v>
      </c>
    </row>
    <row r="25" spans="3:5">
      <c r="C25" s="435">
        <v>43191</v>
      </c>
      <c r="D25" s="424">
        <v>-8.9999999999999998E-4</v>
      </c>
      <c r="E25" s="424">
        <v>-8.0000000000000004E-4</v>
      </c>
    </row>
    <row r="26" spans="3:5">
      <c r="C26" s="436">
        <v>43221</v>
      </c>
      <c r="D26" s="427">
        <v>-1.1000000000000001E-3</v>
      </c>
      <c r="E26" s="427">
        <v>-8.9999999999999998E-4</v>
      </c>
    </row>
    <row r="27" spans="3:5" ht="15" thickBot="1">
      <c r="C27" s="436">
        <v>43252</v>
      </c>
      <c r="D27" s="437">
        <v>-1E-3</v>
      </c>
      <c r="E27" s="427">
        <v>-1E-3</v>
      </c>
    </row>
    <row r="28" spans="3:5" ht="15" thickBot="1">
      <c r="C28" s="438" t="s">
        <v>472</v>
      </c>
      <c r="D28" s="433">
        <f>AVERAGE(D25:D27)</f>
        <v>-1E-3</v>
      </c>
      <c r="E28" s="433">
        <f>AVERAGE(E25:E27)</f>
        <v>-9.0000000000000008E-4</v>
      </c>
    </row>
    <row r="29" spans="3:5">
      <c r="C29" s="435">
        <v>43282</v>
      </c>
      <c r="D29" s="424">
        <v>-8.9999999999999998E-4</v>
      </c>
      <c r="E29" s="424">
        <v>-8.0000000000000004E-4</v>
      </c>
    </row>
    <row r="30" spans="3:5">
      <c r="C30" s="436">
        <v>43313</v>
      </c>
      <c r="D30" s="427">
        <v>-8.9999999999999998E-4</v>
      </c>
      <c r="E30" s="427">
        <v>-8.9999999999999998E-4</v>
      </c>
    </row>
    <row r="31" spans="3:5" ht="15" thickBot="1">
      <c r="C31" s="436">
        <v>43344</v>
      </c>
      <c r="D31" s="437">
        <v>-1E-3</v>
      </c>
      <c r="E31" s="257"/>
    </row>
    <row r="32" spans="3:5" ht="15" thickBot="1">
      <c r="C32" s="438" t="s">
        <v>481</v>
      </c>
      <c r="D32" s="433">
        <f>AVERAGE(D29:D31)</f>
        <v>-9.3333333333333332E-4</v>
      </c>
      <c r="E32" s="433">
        <v>-1E-3</v>
      </c>
    </row>
    <row r="33" spans="3:5">
      <c r="C33" s="435">
        <v>43374</v>
      </c>
      <c r="D33" s="424">
        <v>-1.1000000000000001E-3</v>
      </c>
      <c r="E33" s="424">
        <v>1.1000000000000001E-3</v>
      </c>
    </row>
    <row r="34" spans="3:5">
      <c r="C34" s="436">
        <v>43405</v>
      </c>
      <c r="D34" s="427">
        <v>-1.1999999999999999E-3</v>
      </c>
      <c r="E34" s="427">
        <v>1.1999999999999999E-3</v>
      </c>
    </row>
    <row r="35" spans="3:5" ht="15" thickBot="1">
      <c r="C35" s="436">
        <v>43435</v>
      </c>
      <c r="D35" s="437">
        <v>-8.0000000000000004E-4</v>
      </c>
      <c r="E35" s="257">
        <v>0.08</v>
      </c>
    </row>
    <row r="36" spans="3:5" ht="15" thickBot="1">
      <c r="C36" s="438" t="s">
        <v>526</v>
      </c>
      <c r="D36" s="433">
        <f>AVERAGE(D33:D35)</f>
        <v>-1.0333333333333334E-3</v>
      </c>
      <c r="E36" s="433">
        <v>-1E-3</v>
      </c>
    </row>
    <row r="37" spans="3:5">
      <c r="C37" s="435">
        <v>43466</v>
      </c>
      <c r="D37" s="424">
        <v>-1.1000000000000001E-3</v>
      </c>
      <c r="E37" s="424">
        <v>1.6999999999999999E-3</v>
      </c>
    </row>
    <row r="38" spans="3:5">
      <c r="C38" s="436">
        <v>43497</v>
      </c>
      <c r="D38" s="427">
        <v>-1.1999999999999999E-3</v>
      </c>
      <c r="E38" s="427">
        <v>5.0000000000000001E-4</v>
      </c>
    </row>
    <row r="39" spans="3:5" ht="15" thickBot="1">
      <c r="C39" s="436">
        <v>43525</v>
      </c>
      <c r="D39" s="437">
        <v>-8.0000000000000004E-4</v>
      </c>
      <c r="E39" s="427">
        <v>1.1000000000000001E-3</v>
      </c>
    </row>
    <row r="40" spans="3:5" ht="15" thickBot="1">
      <c r="C40" s="438" t="s">
        <v>527</v>
      </c>
      <c r="D40" s="433">
        <f>AVERAGE(D37:D39)</f>
        <v>-1.0333333333333334E-3</v>
      </c>
      <c r="E40" s="433">
        <f>AVERAGE(E37:E39)</f>
        <v>1.1000000000000001E-3</v>
      </c>
    </row>
    <row r="41" spans="3:5">
      <c r="C41" s="436">
        <v>43556</v>
      </c>
      <c r="D41" s="424"/>
      <c r="E41" s="424">
        <v>1.2999999999999999E-3</v>
      </c>
    </row>
    <row r="42" spans="3:5">
      <c r="C42" s="436">
        <v>43586</v>
      </c>
      <c r="D42" s="427"/>
      <c r="E42" s="427">
        <v>8.0000000000000004E-4</v>
      </c>
    </row>
    <row r="43" spans="3:5" ht="15" thickBot="1">
      <c r="C43" s="436">
        <v>43617</v>
      </c>
      <c r="D43" s="437"/>
      <c r="E43" s="427">
        <v>5.0000000000000001E-4</v>
      </c>
    </row>
    <row r="44" spans="3:5" ht="15" thickBot="1">
      <c r="C44" s="438" t="s">
        <v>547</v>
      </c>
      <c r="D44" s="433"/>
      <c r="E44" s="433">
        <f>AVERAGE(E41:E43)</f>
        <v>8.6666666666666663E-4</v>
      </c>
    </row>
    <row r="45" spans="3:5">
      <c r="C45" s="436">
        <v>43647</v>
      </c>
      <c r="D45" s="424"/>
      <c r="E45" s="424">
        <v>2.0000000000000001E-4</v>
      </c>
    </row>
    <row r="46" spans="3:5">
      <c r="C46" s="436">
        <v>43678</v>
      </c>
      <c r="D46" s="427"/>
      <c r="E46" s="427">
        <v>5.0000000000000001E-4</v>
      </c>
    </row>
    <row r="47" spans="3:5" ht="15" thickBot="1">
      <c r="C47" s="436">
        <v>43709</v>
      </c>
      <c r="D47" s="437"/>
      <c r="E47" s="427">
        <v>-4.0000000000000002E-4</v>
      </c>
    </row>
    <row r="48" spans="3:5" ht="15" thickBot="1">
      <c r="C48" s="438" t="s">
        <v>546</v>
      </c>
      <c r="D48" s="433"/>
      <c r="E48" s="433">
        <f>AVERAGE(E45:E47)</f>
        <v>9.9999999999999991E-5</v>
      </c>
    </row>
    <row r="49" spans="3:5">
      <c r="C49" s="436">
        <v>43739</v>
      </c>
      <c r="D49" s="883">
        <v>2.9999999999999997E-4</v>
      </c>
      <c r="E49" s="424">
        <v>2.9999999999999997E-4</v>
      </c>
    </row>
    <row r="50" spans="3:5">
      <c r="C50" s="436">
        <v>43770</v>
      </c>
      <c r="D50" s="882">
        <v>-1E-4</v>
      </c>
      <c r="E50" s="427">
        <v>1E-4</v>
      </c>
    </row>
    <row r="51" spans="3:5" ht="15" thickBot="1">
      <c r="C51" s="436">
        <v>43800</v>
      </c>
      <c r="D51" s="882">
        <v>-4.0000000000000003E-5</v>
      </c>
      <c r="E51" s="427">
        <v>4.0000000000000003E-5</v>
      </c>
    </row>
    <row r="52" spans="3:5" ht="15" thickBot="1">
      <c r="C52" s="438" t="s">
        <v>545</v>
      </c>
      <c r="D52" s="884">
        <f>AVERAGE(D49:D51)</f>
        <v>5.3333333333333326E-5</v>
      </c>
      <c r="E52" s="433">
        <f>AVERAGE(E49:E51)</f>
        <v>1.4666666666666666E-4</v>
      </c>
    </row>
    <row r="53" spans="3:5">
      <c r="C53" s="436">
        <v>43831</v>
      </c>
      <c r="D53" s="883"/>
      <c r="E53" s="883">
        <v>2.0000000000000001E-4</v>
      </c>
    </row>
    <row r="54" spans="3:5">
      <c r="C54" s="436">
        <v>43862</v>
      </c>
      <c r="D54" s="882"/>
      <c r="E54" s="882">
        <v>8.0000000000000004E-4</v>
      </c>
    </row>
    <row r="55" spans="3:5">
      <c r="C55" s="1000">
        <v>43891</v>
      </c>
      <c r="D55" s="1001"/>
      <c r="E55" s="1001">
        <v>1E-4</v>
      </c>
    </row>
    <row r="56" spans="3:5" ht="15" thickBot="1">
      <c r="C56" s="1002" t="s">
        <v>650</v>
      </c>
      <c r="D56" s="1003"/>
      <c r="E56" s="1004">
        <f>AVERAGE(E53:E55)</f>
        <v>3.6666666666666667E-4</v>
      </c>
    </row>
    <row r="57" spans="3:5" ht="15" thickBot="1">
      <c r="C57" s="1005">
        <v>43922</v>
      </c>
      <c r="D57" s="882"/>
      <c r="E57" s="424">
        <v>5.9999999999999995E-4</v>
      </c>
    </row>
    <row r="58" spans="3:5" ht="15" thickBot="1">
      <c r="C58" s="1005">
        <v>43952</v>
      </c>
      <c r="D58" s="882"/>
      <c r="E58" s="424">
        <v>8.0000000000000004E-4</v>
      </c>
    </row>
    <row r="59" spans="3:5" ht="15" thickBot="1">
      <c r="C59" s="1005">
        <v>43983</v>
      </c>
      <c r="D59" s="882"/>
      <c r="E59" s="424">
        <v>-2.0000000000000001E-4</v>
      </c>
    </row>
    <row r="60" spans="3:5" s="392" customFormat="1" ht="15" thickBot="1">
      <c r="C60" s="1002" t="s">
        <v>660</v>
      </c>
      <c r="D60" s="1006"/>
      <c r="E60" s="1007">
        <f>AVERAGE(E57:E59)</f>
        <v>3.9999999999999996E-4</v>
      </c>
    </row>
    <row r="61" spans="3:5" ht="15" thickBot="1">
      <c r="C61" s="1005">
        <v>44013</v>
      </c>
      <c r="D61" s="1006"/>
      <c r="E61" s="1007">
        <v>2.9999999999999997E-4</v>
      </c>
    </row>
    <row r="62" spans="3:5" ht="15" thickBot="1">
      <c r="C62" s="1005">
        <v>44044</v>
      </c>
      <c r="D62" s="1006"/>
      <c r="E62" s="1007">
        <v>8.0000000000000004E-4</v>
      </c>
    </row>
    <row r="63" spans="3:5" ht="15" thickBot="1">
      <c r="C63" s="1005">
        <v>44075</v>
      </c>
      <c r="D63" s="1006"/>
      <c r="E63" s="1007">
        <v>8.9999999999999998E-4</v>
      </c>
    </row>
    <row r="64" spans="3:5" ht="15" thickBot="1">
      <c r="C64" s="1002" t="s">
        <v>666</v>
      </c>
      <c r="D64" s="1006"/>
      <c r="E64" s="1007">
        <f>AVERAGE(E61:E63)</f>
        <v>6.6666666666666664E-4</v>
      </c>
    </row>
    <row r="65" spans="3:5" ht="15" thickBot="1">
      <c r="C65" s="436">
        <v>44105</v>
      </c>
      <c r="D65" s="1006"/>
      <c r="E65" s="1007">
        <v>0</v>
      </c>
    </row>
    <row r="66" spans="3:5" ht="15" thickBot="1">
      <c r="C66" s="436">
        <v>44136</v>
      </c>
      <c r="D66" s="1006"/>
      <c r="E66" s="1007">
        <v>1.9E-3</v>
      </c>
    </row>
    <row r="67" spans="3:5" ht="15" thickBot="1">
      <c r="C67" s="436">
        <v>44166</v>
      </c>
      <c r="D67" s="1006"/>
      <c r="E67" s="1007">
        <f>-0.01%</f>
        <v>-1E-4</v>
      </c>
    </row>
    <row r="68" spans="3:5" ht="15" thickBot="1">
      <c r="C68" s="1002" t="s">
        <v>668</v>
      </c>
      <c r="D68" s="1006"/>
      <c r="E68" s="1007">
        <f>AVERAGE(E65:E67)</f>
        <v>5.9999999999999995E-4</v>
      </c>
    </row>
    <row r="69" spans="3:5" ht="15" thickBot="1">
      <c r="C69" s="436">
        <v>44197</v>
      </c>
      <c r="D69" s="1006"/>
      <c r="E69" s="1007">
        <v>0</v>
      </c>
    </row>
    <row r="70" spans="3:5" ht="15" thickBot="1">
      <c r="C70" s="436">
        <v>44228</v>
      </c>
      <c r="D70" s="1006"/>
      <c r="E70" s="1007">
        <v>6.9999999999999999E-4</v>
      </c>
    </row>
    <row r="71" spans="3:5" ht="15" thickBot="1">
      <c r="C71" s="436">
        <v>44256</v>
      </c>
      <c r="D71" s="1006"/>
      <c r="E71" s="1007">
        <v>1.6000000000000001E-3</v>
      </c>
    </row>
    <row r="72" spans="3:5" ht="15" thickBot="1">
      <c r="C72" s="1002" t="s">
        <v>669</v>
      </c>
      <c r="D72" s="1006"/>
      <c r="E72" s="1007">
        <f>AVERAGE(E69:E71)</f>
        <v>7.6666666666666669E-4</v>
      </c>
    </row>
    <row r="73" spans="3:5" ht="15" thickBot="1">
      <c r="C73" s="436">
        <v>44287</v>
      </c>
      <c r="D73" s="1006"/>
      <c r="E73" s="1007">
        <v>4.0000000000000002E-4</v>
      </c>
    </row>
    <row r="74" spans="3:5" ht="15" thickBot="1">
      <c r="C74" s="436">
        <v>44317</v>
      </c>
      <c r="D74" s="1006"/>
      <c r="E74" s="1007">
        <v>2.0000000000000001E-4</v>
      </c>
    </row>
    <row r="75" spans="3:5" ht="15" thickBot="1">
      <c r="C75" s="436">
        <v>44348</v>
      </c>
      <c r="D75" s="1006"/>
      <c r="E75" s="1007">
        <v>-4.0000000000000002E-4</v>
      </c>
    </row>
    <row r="76" spans="3:5" ht="15" thickBot="1">
      <c r="C76" s="1002" t="s">
        <v>794</v>
      </c>
      <c r="D76" s="1006"/>
      <c r="E76" s="1007">
        <f>AVERAGE(E73:E75)</f>
        <v>6.6666666666666683E-5</v>
      </c>
    </row>
    <row r="77" spans="3:5" ht="15" thickBot="1">
      <c r="C77" s="436">
        <v>44378</v>
      </c>
      <c r="D77" s="1006"/>
      <c r="E77" s="1007">
        <v>1E-3</v>
      </c>
    </row>
    <row r="78" spans="3:5" ht="15" thickBot="1">
      <c r="C78" s="436">
        <v>44409</v>
      </c>
      <c r="D78" s="1006"/>
      <c r="E78" s="1007">
        <v>-1E-4</v>
      </c>
    </row>
    <row r="79" spans="3:5" ht="15" thickBot="1">
      <c r="C79" s="436">
        <v>44440</v>
      </c>
      <c r="D79" s="1006"/>
      <c r="E79" s="1007">
        <v>1.2999999999999999E-3</v>
      </c>
    </row>
    <row r="80" spans="3:5" ht="15" thickBot="1">
      <c r="C80" s="1002" t="s">
        <v>710</v>
      </c>
      <c r="D80" s="1006"/>
      <c r="E80" s="1007">
        <f>AVERAGE(E77:E79)</f>
        <v>7.3333333333333323E-4</v>
      </c>
    </row>
    <row r="81" spans="3:5" ht="15" thickBot="1">
      <c r="C81" s="436">
        <v>44470</v>
      </c>
      <c r="D81" s="1006"/>
      <c r="E81" s="1007">
        <v>2.9999999999999997E-4</v>
      </c>
    </row>
    <row r="82" spans="3:5" ht="15" thickBot="1">
      <c r="C82" s="436">
        <v>44501</v>
      </c>
      <c r="D82" s="1006"/>
      <c r="E82" s="1007">
        <v>1.1000000000000001E-3</v>
      </c>
    </row>
    <row r="83" spans="3:5" ht="15" thickBot="1">
      <c r="C83" s="436">
        <v>44531</v>
      </c>
      <c r="D83" s="1006"/>
      <c r="E83" s="1007">
        <v>1E-3</v>
      </c>
    </row>
    <row r="84" spans="3:5" ht="15" thickBot="1">
      <c r="C84" s="1002" t="s">
        <v>795</v>
      </c>
      <c r="D84" s="1006"/>
      <c r="E84" s="1007">
        <f>AVERAGE(E81:E83)</f>
        <v>8.0000000000000004E-4</v>
      </c>
    </row>
    <row r="85" spans="3:5" ht="15" thickBot="1">
      <c r="C85" s="436">
        <v>44562</v>
      </c>
      <c r="D85" s="1006"/>
      <c r="E85" s="1007">
        <v>2.9999999999999997E-4</v>
      </c>
    </row>
    <row r="86" spans="3:5" ht="15" thickBot="1">
      <c r="C86" s="436">
        <v>44593</v>
      </c>
      <c r="D86" s="1006"/>
      <c r="E86" s="1007">
        <v>2.9999999999999997E-4</v>
      </c>
    </row>
    <row r="87" spans="3:5" ht="15" thickBot="1">
      <c r="C87" s="436">
        <v>44621</v>
      </c>
      <c r="D87" s="1006"/>
      <c r="E87" s="1007">
        <v>5.0000000000000001E-4</v>
      </c>
    </row>
    <row r="88" spans="3:5" ht="15" thickBot="1">
      <c r="C88" s="1002" t="s">
        <v>796</v>
      </c>
      <c r="D88" s="1006"/>
      <c r="E88" s="1007">
        <f>AVERAGE(E85:E87)</f>
        <v>3.6666666666666662E-4</v>
      </c>
    </row>
    <row r="89" spans="3:5" ht="15" thickBot="1">
      <c r="C89" s="436">
        <v>44652</v>
      </c>
      <c r="D89" s="1006"/>
      <c r="E89" s="1007">
        <v>5.9999999999999995E-4</v>
      </c>
    </row>
    <row r="90" spans="3:5" ht="15" thickBot="1">
      <c r="C90" s="436">
        <v>44682</v>
      </c>
      <c r="D90" s="1006"/>
      <c r="E90" s="1007">
        <v>2.9999999999999997E-4</v>
      </c>
    </row>
    <row r="91" spans="3:5" ht="15" thickBot="1">
      <c r="C91" s="436">
        <v>44713</v>
      </c>
      <c r="D91" s="1006"/>
      <c r="E91" s="1007">
        <v>6.9999999999999999E-4</v>
      </c>
    </row>
    <row r="92" spans="3:5" ht="15" thickBot="1">
      <c r="C92" s="1002" t="s">
        <v>799</v>
      </c>
      <c r="D92" s="1006"/>
      <c r="E92" s="1007">
        <f>AVERAGE(E89:E91)</f>
        <v>5.3333333333333325E-4</v>
      </c>
    </row>
    <row r="93" spans="3:5" ht="15" thickBot="1">
      <c r="C93" s="436">
        <v>44743</v>
      </c>
      <c r="D93" s="1006"/>
      <c r="E93" s="1007">
        <v>0</v>
      </c>
    </row>
    <row r="94" spans="3:5" ht="15" thickBot="1">
      <c r="C94" s="436">
        <v>44774</v>
      </c>
      <c r="D94" s="1006"/>
      <c r="E94" s="1007">
        <v>1E-4</v>
      </c>
    </row>
    <row r="95" spans="3:5" ht="15" thickBot="1">
      <c r="C95" s="436">
        <v>44805</v>
      </c>
      <c r="D95" s="1006"/>
      <c r="E95" s="1007">
        <v>4.0000000000000002E-4</v>
      </c>
    </row>
    <row r="96" spans="3:5" ht="15" thickBot="1">
      <c r="C96" s="1002" t="s">
        <v>804</v>
      </c>
      <c r="D96" s="1006"/>
      <c r="E96" s="1007">
        <f>AVERAGE(E93:E95)</f>
        <v>1.6666666666666666E-4</v>
      </c>
    </row>
    <row r="97" spans="3:5" ht="15" thickBot="1">
      <c r="C97" s="436">
        <v>44835</v>
      </c>
      <c r="D97" s="1006"/>
      <c r="E97" s="1007">
        <v>5.9999999999999995E-4</v>
      </c>
    </row>
    <row r="98" spans="3:5" ht="15" thickBot="1">
      <c r="C98" s="436">
        <v>44866</v>
      </c>
      <c r="D98" s="1006"/>
      <c r="E98" s="1007">
        <v>1E-4</v>
      </c>
    </row>
    <row r="99" spans="3:5" ht="15" thickBot="1">
      <c r="C99" s="436">
        <v>44896</v>
      </c>
      <c r="D99" s="1006"/>
      <c r="E99" s="1007">
        <v>6.9999999999999999E-4</v>
      </c>
    </row>
    <row r="100" spans="3:5">
      <c r="C100" s="1002" t="s">
        <v>816</v>
      </c>
      <c r="D100" s="1006"/>
      <c r="E100" s="1007">
        <f>AVERAGE(E97:E99)</f>
        <v>4.6666666666666666E-4</v>
      </c>
    </row>
  </sheetData>
  <mergeCells count="1">
    <mergeCell ref="C2:E2"/>
  </mergeCells>
  <pageMargins left="0.7" right="0.7" top="0.75" bottom="0.75" header="0.3" footer="0.3"/>
  <pageSetup paperSize="9" orientation="portrait" r:id="rId1"/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1-000000000000}">
  <sheetPr codeName="Sheet471"/>
  <dimension ref="B1:BQ52"/>
  <sheetViews>
    <sheetView topLeftCell="A31" workbookViewId="0">
      <selection activeCell="F26" sqref="F26"/>
    </sheetView>
  </sheetViews>
  <sheetFormatPr defaultColWidth="9.1796875" defaultRowHeight="14.5"/>
  <cols>
    <col min="1" max="1" width="1.26953125" style="4" customWidth="1"/>
    <col min="2" max="2" width="44.453125" style="4" customWidth="1"/>
    <col min="3" max="3" width="39.1796875" style="4" customWidth="1"/>
    <col min="4" max="6" width="13" style="4" customWidth="1"/>
    <col min="7" max="7" width="9.1796875" style="4"/>
    <col min="8" max="8" width="16.453125" style="5" customWidth="1"/>
    <col min="9" max="9" width="15.7265625" style="4" bestFit="1" customWidth="1"/>
    <col min="10" max="10" width="18" style="4" customWidth="1"/>
    <col min="11" max="11" width="9.26953125" style="4" bestFit="1" customWidth="1"/>
    <col min="12" max="16384" width="9.1796875" style="4"/>
  </cols>
  <sheetData>
    <row r="1" spans="2:14" ht="15" thickBot="1"/>
    <row r="2" spans="2:14" ht="30" customHeight="1">
      <c r="B2" s="1259" t="s">
        <v>482</v>
      </c>
      <c r="C2" s="1260"/>
      <c r="D2" s="1260"/>
      <c r="E2" s="1260"/>
      <c r="F2" s="1261"/>
    </row>
    <row r="3" spans="2:14">
      <c r="B3" s="51" t="s">
        <v>339</v>
      </c>
      <c r="C3" s="52" t="s">
        <v>344</v>
      </c>
      <c r="D3" s="132" t="s">
        <v>343</v>
      </c>
      <c r="E3" s="132" t="s">
        <v>338</v>
      </c>
      <c r="F3" s="53" t="s">
        <v>337</v>
      </c>
    </row>
    <row r="4" spans="2:14">
      <c r="B4" s="51"/>
      <c r="C4" s="52"/>
      <c r="D4" s="132" t="s">
        <v>342</v>
      </c>
      <c r="E4" s="132" t="s">
        <v>342</v>
      </c>
      <c r="F4" s="53" t="s">
        <v>342</v>
      </c>
    </row>
    <row r="5" spans="2:14">
      <c r="B5" s="103" t="s">
        <v>346</v>
      </c>
      <c r="C5" s="99" t="s">
        <v>340</v>
      </c>
      <c r="D5" s="115">
        <v>42.37</v>
      </c>
      <c r="E5" s="115">
        <v>47.56</v>
      </c>
      <c r="F5" s="133">
        <v>48.57</v>
      </c>
      <c r="G5" s="90"/>
      <c r="H5" s="137"/>
      <c r="I5" s="140"/>
      <c r="J5" s="140"/>
      <c r="K5" s="139"/>
    </row>
    <row r="6" spans="2:14">
      <c r="B6" s="104"/>
      <c r="C6" s="98"/>
      <c r="D6" s="116"/>
      <c r="E6" s="116"/>
      <c r="F6" s="117"/>
      <c r="G6" s="97"/>
      <c r="H6" s="15"/>
      <c r="I6" s="56"/>
    </row>
    <row r="7" spans="2:14">
      <c r="B7" s="105" t="s">
        <v>336</v>
      </c>
      <c r="C7" s="96" t="s">
        <v>467</v>
      </c>
      <c r="D7" s="118">
        <v>2.72</v>
      </c>
      <c r="E7" s="118">
        <v>2.72</v>
      </c>
      <c r="F7" s="119">
        <v>2.7248399999999999</v>
      </c>
      <c r="G7" s="90"/>
      <c r="L7" s="97"/>
      <c r="M7" s="97"/>
      <c r="N7" s="97"/>
    </row>
    <row r="8" spans="2:14">
      <c r="B8" s="105" t="s">
        <v>335</v>
      </c>
      <c r="C8" s="96" t="s">
        <v>468</v>
      </c>
      <c r="D8" s="118">
        <v>0</v>
      </c>
      <c r="E8" s="118">
        <v>0</v>
      </c>
      <c r="F8" s="119">
        <v>0</v>
      </c>
      <c r="G8" s="90"/>
      <c r="L8" s="97"/>
      <c r="M8" s="97"/>
      <c r="N8" s="97"/>
    </row>
    <row r="9" spans="2:14">
      <c r="B9" s="105" t="s">
        <v>334</v>
      </c>
      <c r="C9" s="96" t="s">
        <v>333</v>
      </c>
      <c r="D9" s="118">
        <v>8.4000000000000005E-2</v>
      </c>
      <c r="E9" s="118">
        <v>0.08</v>
      </c>
      <c r="F9" s="119">
        <v>8.0815166341679637E-2</v>
      </c>
      <c r="G9" s="90"/>
      <c r="L9" s="97"/>
      <c r="M9" s="97"/>
      <c r="N9" s="97"/>
    </row>
    <row r="10" spans="2:14">
      <c r="B10" s="105" t="s">
        <v>332</v>
      </c>
      <c r="C10" s="96" t="s">
        <v>469</v>
      </c>
      <c r="D10" s="118">
        <v>0.4</v>
      </c>
      <c r="E10" s="118">
        <v>0.23</v>
      </c>
      <c r="F10" s="119">
        <v>0.23462467647584409</v>
      </c>
      <c r="G10" s="90"/>
      <c r="J10" s="5"/>
      <c r="L10" s="97"/>
      <c r="M10" s="97"/>
      <c r="N10" s="97"/>
    </row>
    <row r="11" spans="2:14">
      <c r="B11" s="105" t="s">
        <v>331</v>
      </c>
      <c r="C11" s="96" t="s">
        <v>341</v>
      </c>
      <c r="D11" s="118">
        <v>0.62</v>
      </c>
      <c r="E11" s="118">
        <v>0.62</v>
      </c>
      <c r="F11" s="119">
        <v>0.62</v>
      </c>
      <c r="G11" s="90"/>
    </row>
    <row r="12" spans="2:14">
      <c r="B12" s="106" t="s">
        <v>330</v>
      </c>
      <c r="C12" s="96"/>
      <c r="D12" s="120">
        <f>SUM(D7:D11)</f>
        <v>3.8240000000000003</v>
      </c>
      <c r="E12" s="120">
        <f>SUM(E7:E11)</f>
        <v>3.6500000000000004</v>
      </c>
      <c r="F12" s="120">
        <f>SUM(F7:F11)</f>
        <v>3.6602798428175238</v>
      </c>
      <c r="G12" s="90"/>
    </row>
    <row r="13" spans="2:14">
      <c r="B13" s="46"/>
      <c r="C13" s="13"/>
      <c r="D13" s="101"/>
      <c r="E13" s="101"/>
      <c r="F13" s="107"/>
      <c r="L13" s="90"/>
      <c r="M13" s="90"/>
      <c r="N13" s="90"/>
    </row>
    <row r="14" spans="2:14">
      <c r="B14" s="108" t="s">
        <v>329</v>
      </c>
      <c r="C14" s="95" t="s">
        <v>328</v>
      </c>
      <c r="D14" s="121">
        <v>7</v>
      </c>
      <c r="E14" s="121">
        <v>7</v>
      </c>
      <c r="F14" s="122">
        <v>6.46</v>
      </c>
      <c r="I14" s="5"/>
      <c r="J14" s="5"/>
      <c r="L14" s="90"/>
      <c r="M14" s="90"/>
      <c r="N14" s="90"/>
    </row>
    <row r="15" spans="2:14">
      <c r="B15" s="108" t="s">
        <v>327</v>
      </c>
      <c r="C15" s="95" t="s">
        <v>326</v>
      </c>
      <c r="D15" s="121">
        <v>3.89</v>
      </c>
      <c r="E15" s="121">
        <v>3.89</v>
      </c>
      <c r="F15" s="122">
        <v>3.89</v>
      </c>
      <c r="J15" s="5"/>
      <c r="L15" s="90"/>
      <c r="M15" s="90"/>
      <c r="N15" s="90"/>
    </row>
    <row r="16" spans="2:14">
      <c r="B16" s="109" t="s">
        <v>325</v>
      </c>
      <c r="C16" s="94"/>
      <c r="D16" s="123">
        <f>SUM(D14:D15)</f>
        <v>10.89</v>
      </c>
      <c r="E16" s="123">
        <f>SUM(E14:E15)</f>
        <v>10.89</v>
      </c>
      <c r="F16" s="123">
        <f>SUM(F14:F15)</f>
        <v>10.35</v>
      </c>
      <c r="G16" s="90"/>
      <c r="I16" s="90"/>
      <c r="J16" s="97"/>
      <c r="L16" s="90"/>
      <c r="M16" s="90"/>
      <c r="N16" s="90"/>
    </row>
    <row r="17" spans="2:69">
      <c r="B17" s="46"/>
      <c r="C17" s="13"/>
      <c r="D17" s="101"/>
      <c r="E17" s="101"/>
      <c r="F17" s="107"/>
      <c r="I17" s="90"/>
      <c r="J17" s="90"/>
      <c r="L17" s="90"/>
      <c r="M17" s="90"/>
      <c r="N17" s="90"/>
    </row>
    <row r="18" spans="2:69">
      <c r="B18" s="46"/>
      <c r="C18" s="13"/>
      <c r="D18" s="101"/>
      <c r="E18" s="101"/>
      <c r="F18" s="107"/>
      <c r="I18" s="5"/>
      <c r="J18" s="90"/>
      <c r="L18" s="135"/>
      <c r="M18" s="135"/>
      <c r="N18" s="135"/>
    </row>
    <row r="19" spans="2:69">
      <c r="B19" s="110" t="s">
        <v>324</v>
      </c>
      <c r="C19" s="93" t="s">
        <v>323</v>
      </c>
      <c r="D19" s="145">
        <v>19.899999999999999</v>
      </c>
      <c r="E19" s="143">
        <v>10.31</v>
      </c>
      <c r="F19" s="145">
        <v>10.31</v>
      </c>
      <c r="G19" s="90"/>
      <c r="I19" s="5"/>
      <c r="J19" s="90"/>
      <c r="L19" s="97"/>
      <c r="M19" s="97"/>
      <c r="N19" s="97"/>
    </row>
    <row r="20" spans="2:69">
      <c r="B20" s="110" t="s">
        <v>322</v>
      </c>
      <c r="C20" s="93" t="s">
        <v>318</v>
      </c>
      <c r="D20" s="145">
        <v>18</v>
      </c>
      <c r="E20" s="143">
        <v>18</v>
      </c>
      <c r="F20" s="147">
        <v>0</v>
      </c>
      <c r="G20" s="90"/>
      <c r="I20" s="5"/>
      <c r="J20" s="5"/>
      <c r="L20" s="97"/>
      <c r="M20" s="97"/>
      <c r="N20" s="97"/>
    </row>
    <row r="21" spans="2:69">
      <c r="B21" s="110" t="s">
        <v>321</v>
      </c>
      <c r="C21" s="93" t="s">
        <v>318</v>
      </c>
      <c r="D21" s="145">
        <v>0.4</v>
      </c>
      <c r="E21" s="143">
        <v>0.4</v>
      </c>
      <c r="F21" s="147">
        <v>0.4</v>
      </c>
      <c r="G21" s="90"/>
      <c r="I21" s="90"/>
      <c r="J21" s="90"/>
    </row>
    <row r="22" spans="2:69">
      <c r="B22" s="110" t="s">
        <v>320</v>
      </c>
      <c r="C22" s="93" t="s">
        <v>318</v>
      </c>
      <c r="D22" s="145">
        <v>0.25</v>
      </c>
      <c r="E22" s="143">
        <v>0.25</v>
      </c>
      <c r="F22" s="147">
        <v>0.25</v>
      </c>
      <c r="G22" s="90"/>
      <c r="I22" s="5"/>
      <c r="J22" s="90"/>
    </row>
    <row r="23" spans="2:69">
      <c r="B23" s="110" t="s">
        <v>319</v>
      </c>
      <c r="C23" s="93" t="s">
        <v>318</v>
      </c>
      <c r="D23" s="145">
        <v>0.6</v>
      </c>
      <c r="E23" s="143">
        <v>0.66</v>
      </c>
      <c r="F23" s="147">
        <v>0.67875989324389085</v>
      </c>
      <c r="G23" s="90"/>
      <c r="I23" s="5"/>
      <c r="J23" s="90"/>
    </row>
    <row r="24" spans="2:69">
      <c r="B24" s="110" t="s">
        <v>470</v>
      </c>
      <c r="C24" s="93" t="s">
        <v>318</v>
      </c>
      <c r="D24" s="145">
        <v>0</v>
      </c>
      <c r="E24" s="143">
        <v>0</v>
      </c>
      <c r="F24" s="147">
        <v>18</v>
      </c>
      <c r="G24" s="90"/>
      <c r="I24" s="90"/>
      <c r="J24" s="90"/>
    </row>
    <row r="25" spans="2:69" ht="15" thickBot="1">
      <c r="B25" s="111" t="s">
        <v>317</v>
      </c>
      <c r="C25" s="92"/>
      <c r="D25" s="146">
        <f>SUM(D19:D24)</f>
        <v>39.15</v>
      </c>
      <c r="E25" s="144">
        <f>SUM(E19:E24)</f>
        <v>29.62</v>
      </c>
      <c r="F25" s="146">
        <f>SUM(F19:F24)</f>
        <v>29.638759893243893</v>
      </c>
      <c r="G25" s="90"/>
      <c r="I25" s="90"/>
      <c r="J25" s="90"/>
      <c r="K25" s="90"/>
    </row>
    <row r="26" spans="2:69" ht="15" thickBot="1">
      <c r="B26" s="112" t="s">
        <v>316</v>
      </c>
      <c r="C26" s="91"/>
      <c r="D26" s="124">
        <f>SUM(D5,D12,D16,D25)</f>
        <v>96.233999999999995</v>
      </c>
      <c r="E26" s="124">
        <f>SUM(E5,E12,E16,E25)</f>
        <v>91.72</v>
      </c>
      <c r="F26" s="124">
        <f>SUM(F5,F12,F16,F25)</f>
        <v>92.219039736061418</v>
      </c>
      <c r="H26" s="138">
        <f>Nairobi!D25</f>
        <v>157.60870952620402</v>
      </c>
      <c r="I26" s="130">
        <f>Nairobi!E25</f>
        <v>160.05876397446792</v>
      </c>
      <c r="J26" s="131">
        <f>Nairobi!F25</f>
        <v>157.48884737338091</v>
      </c>
    </row>
    <row r="27" spans="2:69" s="88" customFormat="1" ht="15" thickBot="1">
      <c r="B27" s="113"/>
      <c r="C27" s="100"/>
      <c r="D27" s="116"/>
      <c r="E27" s="116"/>
      <c r="F27" s="117"/>
      <c r="G27" s="4"/>
      <c r="H27" s="5"/>
      <c r="I27" s="90"/>
      <c r="J27" s="13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</row>
    <row r="28" spans="2:69">
      <c r="B28" s="114" t="s">
        <v>315</v>
      </c>
      <c r="C28" s="54"/>
      <c r="D28" s="127" t="s">
        <v>343</v>
      </c>
      <c r="E28" s="127" t="s">
        <v>338</v>
      </c>
      <c r="F28" s="127" t="s">
        <v>337</v>
      </c>
      <c r="I28" s="90">
        <f>J26-I26</f>
        <v>-2.5699166010870158</v>
      </c>
      <c r="J28" s="90"/>
    </row>
    <row r="29" spans="2:69" ht="15" thickBot="1">
      <c r="B29" s="134"/>
      <c r="C29" s="77"/>
      <c r="D29" s="128" t="s">
        <v>342</v>
      </c>
      <c r="E29" s="128" t="s">
        <v>342</v>
      </c>
      <c r="F29" s="128" t="s">
        <v>342</v>
      </c>
      <c r="H29" s="5">
        <f>F26-E26</f>
        <v>0.4990397360614196</v>
      </c>
      <c r="I29" s="90">
        <f>I28-0.5</f>
        <v>-3.0699166010870158</v>
      </c>
      <c r="J29" s="90"/>
    </row>
    <row r="30" spans="2:69">
      <c r="B30" s="55" t="s">
        <v>314</v>
      </c>
      <c r="C30" s="54"/>
      <c r="D30" s="141">
        <f>D5</f>
        <v>42.37</v>
      </c>
      <c r="E30" s="141">
        <f>E5</f>
        <v>47.56</v>
      </c>
      <c r="F30" s="148">
        <f>F5</f>
        <v>48.57</v>
      </c>
      <c r="I30" s="90"/>
      <c r="J30" s="90"/>
    </row>
    <row r="31" spans="2:69">
      <c r="B31" s="55" t="s">
        <v>313</v>
      </c>
      <c r="C31" s="54"/>
      <c r="D31" s="141">
        <f>D12</f>
        <v>3.8240000000000003</v>
      </c>
      <c r="E31" s="141">
        <f>E12</f>
        <v>3.6500000000000004</v>
      </c>
      <c r="F31" s="148">
        <f>F12</f>
        <v>3.6602798428175238</v>
      </c>
      <c r="I31" s="90"/>
      <c r="J31" s="90"/>
    </row>
    <row r="32" spans="2:69">
      <c r="B32" s="126" t="s">
        <v>345</v>
      </c>
      <c r="C32" s="54"/>
      <c r="D32" s="141">
        <f>D16</f>
        <v>10.89</v>
      </c>
      <c r="E32" s="141">
        <f>E16</f>
        <v>10.89</v>
      </c>
      <c r="F32" s="148">
        <f>F16</f>
        <v>10.35</v>
      </c>
      <c r="I32" s="90"/>
      <c r="J32" s="90"/>
    </row>
    <row r="33" spans="2:11" ht="15" thickBot="1">
      <c r="B33" s="89" t="s">
        <v>312</v>
      </c>
      <c r="C33" s="54"/>
      <c r="D33" s="142">
        <f>D25</f>
        <v>39.15</v>
      </c>
      <c r="E33" s="142">
        <f>E25</f>
        <v>29.62</v>
      </c>
      <c r="F33" s="149">
        <f>F25</f>
        <v>29.638759893243893</v>
      </c>
      <c r="J33" s="139"/>
      <c r="K33" s="139"/>
    </row>
    <row r="34" spans="2:11" ht="15" thickBot="1">
      <c r="B34" s="125" t="s">
        <v>311</v>
      </c>
      <c r="C34" s="129"/>
      <c r="D34" s="150">
        <f>SUM(D30:D33)</f>
        <v>96.233999999999995</v>
      </c>
      <c r="E34" s="150">
        <f>SUM(E30:E33)</f>
        <v>91.72</v>
      </c>
      <c r="F34" s="151">
        <f>SUM(F30:F33)</f>
        <v>92.219039736061418</v>
      </c>
      <c r="J34" s="139"/>
      <c r="K34" s="139"/>
    </row>
    <row r="35" spans="2:11">
      <c r="J35" s="139"/>
      <c r="K35" s="139"/>
    </row>
    <row r="36" spans="2:11">
      <c r="D36" s="152"/>
      <c r="E36" s="102"/>
      <c r="F36" s="102"/>
      <c r="J36" s="139"/>
      <c r="K36" s="139"/>
    </row>
    <row r="37" spans="2:11">
      <c r="C37" s="4" t="s">
        <v>484</v>
      </c>
      <c r="D37" s="153">
        <v>2.04</v>
      </c>
      <c r="J37" s="139"/>
    </row>
    <row r="38" spans="2:11">
      <c r="C38" s="4" t="s">
        <v>485</v>
      </c>
      <c r="D38" s="153">
        <f>-(7-6.39)</f>
        <v>-0.61000000000000032</v>
      </c>
      <c r="J38" s="139"/>
    </row>
    <row r="39" spans="2:11">
      <c r="C39" s="4" t="s">
        <v>483</v>
      </c>
      <c r="D39" s="153">
        <f>SUM(D37:D38)</f>
        <v>1.4299999999999997</v>
      </c>
    </row>
    <row r="40" spans="2:11">
      <c r="D40" s="154"/>
    </row>
    <row r="41" spans="2:11">
      <c r="D41" s="154"/>
    </row>
    <row r="42" spans="2:11">
      <c r="D42" s="154"/>
    </row>
    <row r="43" spans="2:11">
      <c r="D43" s="154"/>
    </row>
    <row r="44" spans="2:11">
      <c r="D44" s="154"/>
    </row>
    <row r="45" spans="2:11">
      <c r="D45" s="154"/>
    </row>
    <row r="46" spans="2:11">
      <c r="D46" s="154"/>
    </row>
    <row r="47" spans="2:11">
      <c r="D47" s="154"/>
    </row>
    <row r="48" spans="2:11">
      <c r="D48" s="154"/>
    </row>
    <row r="49" spans="4:4">
      <c r="D49" s="154"/>
    </row>
    <row r="50" spans="4:4">
      <c r="D50" s="154"/>
    </row>
    <row r="51" spans="4:4">
      <c r="D51" s="154"/>
    </row>
    <row r="52" spans="4:4">
      <c r="D52" s="154"/>
    </row>
  </sheetData>
  <mergeCells count="1">
    <mergeCell ref="B2:F2"/>
  </mergeCells>
  <pageMargins left="0.7" right="0.7" top="0.75" bottom="0.75" header="0.3" footer="0.3"/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1-000000000000}">
  <sheetPr codeName="Sheet472"/>
  <dimension ref="B1:BQ56"/>
  <sheetViews>
    <sheetView workbookViewId="0">
      <selection activeCell="G24" sqref="G24"/>
    </sheetView>
  </sheetViews>
  <sheetFormatPr defaultColWidth="9.1796875" defaultRowHeight="14.5"/>
  <cols>
    <col min="1" max="1" width="1.26953125" style="4" customWidth="1"/>
    <col min="2" max="2" width="44.453125" style="4" customWidth="1"/>
    <col min="3" max="3" width="39.1796875" style="4" customWidth="1"/>
    <col min="4" max="6" width="13" style="4" customWidth="1"/>
    <col min="7" max="7" width="9.1796875" style="4"/>
    <col min="8" max="8" width="16.453125" style="5" customWidth="1"/>
    <col min="9" max="9" width="15.7265625" style="4" bestFit="1" customWidth="1"/>
    <col min="10" max="10" width="18" style="4" customWidth="1"/>
    <col min="11" max="11" width="9.26953125" style="4" bestFit="1" customWidth="1"/>
    <col min="12" max="16384" width="9.1796875" style="4"/>
  </cols>
  <sheetData>
    <row r="1" spans="2:14" ht="15" thickBot="1"/>
    <row r="2" spans="2:14" ht="30" customHeight="1">
      <c r="B2" s="1259" t="s">
        <v>482</v>
      </c>
      <c r="C2" s="1260"/>
      <c r="D2" s="1260"/>
      <c r="E2" s="1260"/>
      <c r="F2" s="1261"/>
    </row>
    <row r="3" spans="2:14">
      <c r="B3" s="51" t="s">
        <v>339</v>
      </c>
      <c r="C3" s="52" t="s">
        <v>344</v>
      </c>
      <c r="D3" s="132" t="s">
        <v>343</v>
      </c>
      <c r="E3" s="132" t="s">
        <v>338</v>
      </c>
      <c r="F3" s="53" t="s">
        <v>337</v>
      </c>
    </row>
    <row r="4" spans="2:14">
      <c r="B4" s="51"/>
      <c r="C4" s="52"/>
      <c r="D4" s="132" t="s">
        <v>342</v>
      </c>
      <c r="E4" s="132" t="s">
        <v>342</v>
      </c>
      <c r="F4" s="53" t="s">
        <v>342</v>
      </c>
    </row>
    <row r="5" spans="2:14">
      <c r="B5" s="103" t="s">
        <v>346</v>
      </c>
      <c r="C5" s="99" t="s">
        <v>340</v>
      </c>
      <c r="D5" s="115">
        <v>41.44</v>
      </c>
      <c r="E5" s="115">
        <v>46.52</v>
      </c>
      <c r="F5" s="133">
        <v>47.51</v>
      </c>
      <c r="G5" s="90"/>
      <c r="H5" s="137"/>
      <c r="I5" s="140"/>
      <c r="J5" s="140"/>
      <c r="K5" s="139"/>
    </row>
    <row r="6" spans="2:14">
      <c r="B6" s="104"/>
      <c r="C6" s="98"/>
      <c r="D6" s="116"/>
      <c r="E6" s="116"/>
      <c r="F6" s="117"/>
      <c r="G6" s="97"/>
      <c r="H6" s="15"/>
      <c r="I6" s="56"/>
    </row>
    <row r="7" spans="2:14">
      <c r="B7" s="105" t="s">
        <v>336</v>
      </c>
      <c r="C7" s="96" t="s">
        <v>467</v>
      </c>
      <c r="D7" s="118">
        <v>2.35</v>
      </c>
      <c r="E7" s="118">
        <v>2.35</v>
      </c>
      <c r="F7" s="119">
        <v>2.35</v>
      </c>
      <c r="G7" s="90"/>
      <c r="L7" s="97"/>
      <c r="M7" s="97"/>
      <c r="N7" s="97"/>
    </row>
    <row r="8" spans="2:14">
      <c r="B8" s="105" t="s">
        <v>335</v>
      </c>
      <c r="C8" s="96" t="s">
        <v>468</v>
      </c>
      <c r="D8" s="118">
        <v>0</v>
      </c>
      <c r="E8" s="118">
        <v>0</v>
      </c>
      <c r="F8" s="119">
        <v>0</v>
      </c>
      <c r="G8" s="90"/>
      <c r="L8" s="97"/>
      <c r="M8" s="97"/>
      <c r="N8" s="97"/>
    </row>
    <row r="9" spans="2:14">
      <c r="B9" s="105" t="s">
        <v>334</v>
      </c>
      <c r="C9" s="96" t="s">
        <v>333</v>
      </c>
      <c r="D9" s="118">
        <v>0.08</v>
      </c>
      <c r="E9" s="118">
        <v>0.08</v>
      </c>
      <c r="F9" s="119">
        <v>0.08</v>
      </c>
      <c r="G9" s="90"/>
      <c r="L9" s="97"/>
      <c r="M9" s="97"/>
      <c r="N9" s="97"/>
    </row>
    <row r="10" spans="2:14">
      <c r="B10" s="105" t="s">
        <v>332</v>
      </c>
      <c r="C10" s="96" t="s">
        <v>469</v>
      </c>
      <c r="D10" s="118">
        <v>0.41</v>
      </c>
      <c r="E10" s="118">
        <v>0.23</v>
      </c>
      <c r="F10" s="119">
        <v>0.23</v>
      </c>
      <c r="G10" s="90"/>
      <c r="J10" s="5"/>
      <c r="L10" s="97"/>
      <c r="M10" s="97"/>
      <c r="N10" s="97"/>
    </row>
    <row r="11" spans="2:14">
      <c r="B11" s="105" t="s">
        <v>331</v>
      </c>
      <c r="C11" s="96" t="s">
        <v>341</v>
      </c>
      <c r="D11" s="118">
        <v>0.54</v>
      </c>
      <c r="E11" s="118">
        <v>0.54</v>
      </c>
      <c r="F11" s="119">
        <v>0.53759192801282363</v>
      </c>
      <c r="G11" s="90"/>
    </row>
    <row r="12" spans="2:14">
      <c r="B12" s="106" t="s">
        <v>330</v>
      </c>
      <c r="C12" s="96"/>
      <c r="D12" s="120">
        <f>SUM(D7:D11)</f>
        <v>3.3800000000000003</v>
      </c>
      <c r="E12" s="120">
        <f>SUM(E7:E11)</f>
        <v>3.2</v>
      </c>
      <c r="F12" s="155">
        <f>SUM(F7:F11)</f>
        <v>3.197591928012824</v>
      </c>
      <c r="G12" s="90"/>
    </row>
    <row r="13" spans="2:14">
      <c r="B13" s="46"/>
      <c r="C13" s="13"/>
      <c r="D13" s="101"/>
      <c r="E13" s="101"/>
      <c r="F13" s="107"/>
      <c r="L13" s="90"/>
      <c r="M13" s="90"/>
      <c r="N13" s="90"/>
    </row>
    <row r="14" spans="2:14">
      <c r="B14" s="108" t="s">
        <v>329</v>
      </c>
      <c r="C14" s="95" t="s">
        <v>328</v>
      </c>
      <c r="D14" s="121">
        <v>7</v>
      </c>
      <c r="E14" s="121">
        <v>7</v>
      </c>
      <c r="F14" s="122">
        <v>6.46</v>
      </c>
      <c r="I14" s="5"/>
      <c r="J14" s="5"/>
      <c r="L14" s="90"/>
      <c r="M14" s="90"/>
      <c r="N14" s="90"/>
    </row>
    <row r="15" spans="2:14">
      <c r="B15" s="108" t="s">
        <v>327</v>
      </c>
      <c r="C15" s="95" t="s">
        <v>326</v>
      </c>
      <c r="D15" s="121">
        <v>3.89</v>
      </c>
      <c r="E15" s="121">
        <v>3.89</v>
      </c>
      <c r="F15" s="122">
        <v>3.89</v>
      </c>
      <c r="J15" s="5"/>
      <c r="L15" s="90"/>
      <c r="M15" s="90"/>
      <c r="N15" s="90"/>
    </row>
    <row r="16" spans="2:14">
      <c r="B16" s="109" t="s">
        <v>325</v>
      </c>
      <c r="C16" s="94"/>
      <c r="D16" s="123">
        <f>SUM(D14:D15)</f>
        <v>10.89</v>
      </c>
      <c r="E16" s="123">
        <f>SUM(E14:E15)</f>
        <v>10.89</v>
      </c>
      <c r="F16" s="156">
        <f>SUM(F14:F15)</f>
        <v>10.35</v>
      </c>
      <c r="G16" s="90"/>
      <c r="I16" s="90"/>
      <c r="J16" s="97"/>
      <c r="L16" s="90"/>
      <c r="M16" s="90"/>
      <c r="N16" s="90"/>
    </row>
    <row r="17" spans="2:69">
      <c r="B17" s="46"/>
      <c r="C17" s="13"/>
      <c r="D17" s="101"/>
      <c r="E17" s="101"/>
      <c r="F17" s="107"/>
      <c r="I17" s="90"/>
      <c r="J17" s="90"/>
      <c r="L17" s="90"/>
      <c r="M17" s="90"/>
      <c r="N17" s="90"/>
    </row>
    <row r="18" spans="2:69">
      <c r="B18" s="46"/>
      <c r="C18" s="13"/>
      <c r="D18" s="101"/>
      <c r="E18" s="101"/>
      <c r="F18" s="107"/>
      <c r="I18" s="5"/>
      <c r="J18" s="90"/>
      <c r="L18" s="135"/>
      <c r="M18" s="135"/>
      <c r="N18" s="135"/>
    </row>
    <row r="19" spans="2:69">
      <c r="B19" s="110" t="s">
        <v>324</v>
      </c>
      <c r="C19" s="93" t="s">
        <v>323</v>
      </c>
      <c r="D19" s="145">
        <v>19.899999999999999</v>
      </c>
      <c r="E19" s="143">
        <v>10.31</v>
      </c>
      <c r="F19" s="147">
        <v>10.31</v>
      </c>
      <c r="G19" s="90"/>
      <c r="I19" s="5"/>
      <c r="J19" s="90"/>
      <c r="L19" s="97"/>
      <c r="M19" s="97"/>
      <c r="N19" s="97"/>
    </row>
    <row r="20" spans="2:69">
      <c r="B20" s="110" t="s">
        <v>322</v>
      </c>
      <c r="C20" s="93" t="s">
        <v>318</v>
      </c>
      <c r="D20" s="145">
        <v>18</v>
      </c>
      <c r="E20" s="143">
        <v>18</v>
      </c>
      <c r="F20" s="147">
        <v>0</v>
      </c>
      <c r="G20" s="90"/>
      <c r="I20" s="5"/>
      <c r="J20" s="5"/>
      <c r="L20" s="97"/>
      <c r="M20" s="97"/>
      <c r="N20" s="97"/>
    </row>
    <row r="21" spans="2:69">
      <c r="B21" s="110" t="s">
        <v>321</v>
      </c>
      <c r="C21" s="93" t="s">
        <v>318</v>
      </c>
      <c r="D21" s="145">
        <v>0.4</v>
      </c>
      <c r="E21" s="143">
        <v>0.4</v>
      </c>
      <c r="F21" s="147">
        <v>0.4</v>
      </c>
      <c r="G21" s="90"/>
      <c r="I21" s="90"/>
      <c r="J21" s="90"/>
    </row>
    <row r="22" spans="2:69">
      <c r="B22" s="110" t="s">
        <v>320</v>
      </c>
      <c r="C22" s="93" t="s">
        <v>318</v>
      </c>
      <c r="D22" s="145">
        <v>0.25</v>
      </c>
      <c r="E22" s="143">
        <v>0.25</v>
      </c>
      <c r="F22" s="147">
        <v>0.25</v>
      </c>
      <c r="G22" s="90"/>
      <c r="I22" s="5"/>
      <c r="J22" s="90"/>
    </row>
    <row r="23" spans="2:69">
      <c r="B23" s="110" t="s">
        <v>319</v>
      </c>
      <c r="C23" s="93" t="s">
        <v>318</v>
      </c>
      <c r="D23" s="145">
        <v>0.6</v>
      </c>
      <c r="E23" s="143">
        <v>0.66</v>
      </c>
      <c r="F23" s="147">
        <v>0.68</v>
      </c>
      <c r="G23" s="90"/>
      <c r="I23" s="5"/>
      <c r="J23" s="90"/>
    </row>
    <row r="24" spans="2:69">
      <c r="B24" s="110" t="s">
        <v>470</v>
      </c>
      <c r="C24" s="93" t="s">
        <v>318</v>
      </c>
      <c r="D24" s="145">
        <v>0</v>
      </c>
      <c r="E24" s="143">
        <v>0</v>
      </c>
      <c r="F24" s="147">
        <v>18</v>
      </c>
      <c r="G24" s="90"/>
      <c r="I24" s="90"/>
      <c r="J24" s="90"/>
    </row>
    <row r="25" spans="2:69">
      <c r="B25" s="110" t="s">
        <v>486</v>
      </c>
      <c r="C25" s="93" t="s">
        <v>318</v>
      </c>
      <c r="D25" s="145">
        <v>0.02</v>
      </c>
      <c r="E25" s="143">
        <v>0.03</v>
      </c>
      <c r="F25" s="147">
        <v>0.03</v>
      </c>
      <c r="G25" s="90"/>
      <c r="I25" s="90"/>
      <c r="J25" s="90"/>
    </row>
    <row r="26" spans="2:69">
      <c r="B26" s="110" t="s">
        <v>398</v>
      </c>
      <c r="C26" s="93" t="s">
        <v>318</v>
      </c>
      <c r="D26" s="145">
        <v>0.79</v>
      </c>
      <c r="E26" s="143">
        <v>0.88</v>
      </c>
      <c r="F26" s="147">
        <v>0.91</v>
      </c>
      <c r="G26" s="90"/>
      <c r="I26" s="90"/>
      <c r="J26" s="90"/>
    </row>
    <row r="27" spans="2:69">
      <c r="B27" s="110" t="s">
        <v>487</v>
      </c>
      <c r="C27" s="93" t="s">
        <v>323</v>
      </c>
      <c r="D27" s="145">
        <v>4.42</v>
      </c>
      <c r="E27" s="145">
        <v>4.82</v>
      </c>
      <c r="F27" s="147">
        <v>4.8600000000000003</v>
      </c>
      <c r="G27" s="90"/>
      <c r="I27" s="90"/>
      <c r="J27" s="90"/>
    </row>
    <row r="28" spans="2:69" ht="15" thickBot="1">
      <c r="B28" s="111" t="s">
        <v>317</v>
      </c>
      <c r="C28" s="92"/>
      <c r="D28" s="146">
        <f>SUM(D19:D27)</f>
        <v>44.38</v>
      </c>
      <c r="E28" s="146">
        <f>SUM(E19:E27)</f>
        <v>35.35</v>
      </c>
      <c r="F28" s="157">
        <f>SUM(F19:F27)</f>
        <v>35.440000000000005</v>
      </c>
      <c r="G28" s="90"/>
      <c r="I28" s="90"/>
      <c r="J28" s="90"/>
      <c r="K28" s="90"/>
    </row>
    <row r="29" spans="2:69" ht="15" thickBot="1">
      <c r="B29" s="112" t="s">
        <v>316</v>
      </c>
      <c r="C29" s="91"/>
      <c r="D29" s="124">
        <f>SUM(D5,D12,D16,D28)</f>
        <v>100.09</v>
      </c>
      <c r="E29" s="124">
        <f>SUM(E5,E12,E16,E28)</f>
        <v>95.960000000000008</v>
      </c>
      <c r="F29" s="158">
        <f>SUM(F5,F12,F16,F28)</f>
        <v>96.497591928012838</v>
      </c>
      <c r="H29" s="138">
        <f>'Nairobi_Price VAT Inclusive'!C60</f>
        <v>169.5747020168107</v>
      </c>
      <c r="I29" s="138">
        <f>'Nairobi_Price VAT Inclusive'!D60</f>
        <v>172.23637756817593</v>
      </c>
      <c r="J29" s="138">
        <f>'Nairobi_Price VAT Inclusive'!E60</f>
        <v>169.4298666659783</v>
      </c>
    </row>
    <row r="30" spans="2:69" s="88" customFormat="1" ht="15" thickBot="1">
      <c r="B30" s="113"/>
      <c r="C30" s="100"/>
      <c r="D30" s="116"/>
      <c r="E30" s="116"/>
      <c r="F30" s="117"/>
      <c r="G30" s="4"/>
      <c r="H30" s="5"/>
      <c r="I30" s="90"/>
      <c r="J30" s="13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</row>
    <row r="31" spans="2:69">
      <c r="B31" s="114" t="s">
        <v>315</v>
      </c>
      <c r="C31" s="54"/>
      <c r="D31" s="127" t="s">
        <v>343</v>
      </c>
      <c r="E31" s="127" t="s">
        <v>338</v>
      </c>
      <c r="F31" s="127" t="s">
        <v>337</v>
      </c>
      <c r="I31" s="90"/>
      <c r="J31" s="90"/>
    </row>
    <row r="32" spans="2:69" ht="15" thickBot="1">
      <c r="B32" s="134"/>
      <c r="C32" s="77"/>
      <c r="D32" s="128" t="s">
        <v>342</v>
      </c>
      <c r="E32" s="128" t="s">
        <v>342</v>
      </c>
      <c r="F32" s="128" t="s">
        <v>342</v>
      </c>
      <c r="I32" s="90"/>
      <c r="J32" s="90"/>
    </row>
    <row r="33" spans="2:11">
      <c r="B33" s="55" t="s">
        <v>314</v>
      </c>
      <c r="C33" s="54"/>
      <c r="D33" s="141">
        <f>D5-D34</f>
        <v>41.21</v>
      </c>
      <c r="E33" s="141">
        <f>E5-E34</f>
        <v>45.89</v>
      </c>
      <c r="F33" s="148">
        <f>F5-F34</f>
        <v>47.22</v>
      </c>
      <c r="I33" s="90"/>
      <c r="J33" s="90"/>
    </row>
    <row r="34" spans="2:11">
      <c r="B34" s="55" t="s">
        <v>488</v>
      </c>
      <c r="C34" s="54"/>
      <c r="D34" s="141">
        <v>0.23</v>
      </c>
      <c r="E34" s="141">
        <v>0.63</v>
      </c>
      <c r="F34" s="148">
        <v>0.28999999999999998</v>
      </c>
      <c r="I34" s="90"/>
      <c r="J34" s="90"/>
    </row>
    <row r="35" spans="2:11">
      <c r="B35" s="55" t="s">
        <v>313</v>
      </c>
      <c r="C35" s="54"/>
      <c r="D35" s="141">
        <f>D12</f>
        <v>3.3800000000000003</v>
      </c>
      <c r="E35" s="141">
        <f>E12</f>
        <v>3.2</v>
      </c>
      <c r="F35" s="148">
        <f>F12</f>
        <v>3.197591928012824</v>
      </c>
      <c r="I35" s="90"/>
      <c r="J35" s="90"/>
    </row>
    <row r="36" spans="2:11">
      <c r="B36" s="126" t="s">
        <v>345</v>
      </c>
      <c r="C36" s="54"/>
      <c r="D36" s="141">
        <f>D16</f>
        <v>10.89</v>
      </c>
      <c r="E36" s="141">
        <f>E16</f>
        <v>10.89</v>
      </c>
      <c r="F36" s="148">
        <f>F16</f>
        <v>10.35</v>
      </c>
      <c r="I36" s="90"/>
      <c r="J36" s="90"/>
    </row>
    <row r="37" spans="2:11" ht="15" thickBot="1">
      <c r="B37" s="89" t="s">
        <v>312</v>
      </c>
      <c r="C37" s="54"/>
      <c r="D37" s="142">
        <f>D28</f>
        <v>44.38</v>
      </c>
      <c r="E37" s="142">
        <f>E28</f>
        <v>35.35</v>
      </c>
      <c r="F37" s="149">
        <f>F28</f>
        <v>35.440000000000005</v>
      </c>
      <c r="J37" s="139"/>
      <c r="K37" s="139"/>
    </row>
    <row r="38" spans="2:11" ht="15" thickBot="1">
      <c r="B38" s="125" t="s">
        <v>311</v>
      </c>
      <c r="C38" s="129"/>
      <c r="D38" s="150">
        <f>SUM(D33:D37)</f>
        <v>100.09</v>
      </c>
      <c r="E38" s="150">
        <f>SUM(E33:E37)</f>
        <v>95.960000000000008</v>
      </c>
      <c r="F38" s="151">
        <f>SUM(F33:F37)</f>
        <v>96.497591928012838</v>
      </c>
      <c r="J38" s="139"/>
      <c r="K38" s="139"/>
    </row>
    <row r="39" spans="2:11">
      <c r="J39" s="139"/>
      <c r="K39" s="139"/>
    </row>
    <row r="40" spans="2:11">
      <c r="D40" s="152"/>
      <c r="E40" s="102"/>
      <c r="F40" s="102"/>
      <c r="J40" s="139"/>
      <c r="K40" s="139"/>
    </row>
    <row r="41" spans="2:11">
      <c r="C41" s="4" t="s">
        <v>484</v>
      </c>
      <c r="D41" s="153">
        <v>2.04</v>
      </c>
      <c r="J41" s="139"/>
    </row>
    <row r="42" spans="2:11">
      <c r="C42" s="4" t="s">
        <v>485</v>
      </c>
      <c r="D42" s="153">
        <f>-(7-6.39)</f>
        <v>-0.61000000000000032</v>
      </c>
      <c r="J42" s="139"/>
    </row>
    <row r="43" spans="2:11">
      <c r="C43" s="4" t="s">
        <v>483</v>
      </c>
      <c r="D43" s="153">
        <f>SUM(D41:D42)</f>
        <v>1.4299999999999997</v>
      </c>
    </row>
    <row r="44" spans="2:11">
      <c r="D44" s="154"/>
    </row>
    <row r="45" spans="2:11">
      <c r="D45" s="154"/>
    </row>
    <row r="46" spans="2:11">
      <c r="D46" s="154"/>
    </row>
    <row r="47" spans="2:11">
      <c r="D47" s="154"/>
    </row>
    <row r="48" spans="2:11">
      <c r="D48" s="154"/>
    </row>
    <row r="49" spans="4:4">
      <c r="D49" s="154"/>
    </row>
    <row r="50" spans="4:4">
      <c r="D50" s="154"/>
    </row>
    <row r="51" spans="4:4">
      <c r="D51" s="154"/>
    </row>
    <row r="52" spans="4:4">
      <c r="D52" s="154"/>
    </row>
    <row r="53" spans="4:4">
      <c r="D53" s="154"/>
    </row>
    <row r="54" spans="4:4">
      <c r="D54" s="154"/>
    </row>
    <row r="55" spans="4:4">
      <c r="D55" s="154"/>
    </row>
    <row r="56" spans="4:4">
      <c r="D56" s="154"/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472</vt:i4>
      </vt:variant>
      <vt:variant>
        <vt:lpstr>Named Ranges</vt:lpstr>
      </vt:variant>
      <vt:variant>
        <vt:i4>1</vt:i4>
      </vt:variant>
    </vt:vector>
  </HeadingPairs>
  <TitlesOfParts>
    <vt:vector size="473" baseType="lpstr">
      <vt:lpstr>Exchange Rates Feb 23</vt:lpstr>
      <vt:lpstr>PMS Import</vt:lpstr>
      <vt:lpstr>AGO Import</vt:lpstr>
      <vt:lpstr>DPK Import</vt:lpstr>
      <vt:lpstr>WEIGHTED AVERAGE COST</vt:lpstr>
      <vt:lpstr>RMS Cargos</vt:lpstr>
      <vt:lpstr>PMS SUMMARY</vt:lpstr>
      <vt:lpstr>AGO SUMMARY</vt:lpstr>
      <vt:lpstr>DPK SUMMARY</vt:lpstr>
      <vt:lpstr>VAT Breakdown for PMS_AGO_DPK</vt:lpstr>
      <vt:lpstr>VAT Breakdown for PUBLICATION</vt:lpstr>
      <vt:lpstr>Breakdown for PMS, AGO &amp; DPK</vt:lpstr>
      <vt:lpstr>Mombasa</vt:lpstr>
      <vt:lpstr>MOMBASA_PRICE VAT Inclusive</vt:lpstr>
      <vt:lpstr>Kilifi</vt:lpstr>
      <vt:lpstr>KILIFI_PRICE VAT Inclusive</vt:lpstr>
      <vt:lpstr>Likoni Mainland</vt:lpstr>
      <vt:lpstr>LIKONI_PRICE VAT Inclusive</vt:lpstr>
      <vt:lpstr>Lungalunga</vt:lpstr>
      <vt:lpstr>LUNGALUNGA_PRICE VAT Inclusive</vt:lpstr>
      <vt:lpstr>Kwale</vt:lpstr>
      <vt:lpstr>KWALE_PRICE VAT Inclusive</vt:lpstr>
      <vt:lpstr>Malindi</vt:lpstr>
      <vt:lpstr>MALINDI_PRICE VAT Inclusive</vt:lpstr>
      <vt:lpstr>Voi</vt:lpstr>
      <vt:lpstr>Voi_Price VAT Inclusive</vt:lpstr>
      <vt:lpstr>Taveta</vt:lpstr>
      <vt:lpstr>Taveta_Price VAT Inclusive</vt:lpstr>
      <vt:lpstr>Lamu</vt:lpstr>
      <vt:lpstr>Lamu_Price VAT Inclusive</vt:lpstr>
      <vt:lpstr>Hola</vt:lpstr>
      <vt:lpstr>Hola_Price VAT Inclusive</vt:lpstr>
      <vt:lpstr>Minjila</vt:lpstr>
      <vt:lpstr>Minjila_Price VAT Inclusive</vt:lpstr>
      <vt:lpstr>Samburu</vt:lpstr>
      <vt:lpstr>Samburu_Price VAT Inclusive</vt:lpstr>
      <vt:lpstr>Taru</vt:lpstr>
      <vt:lpstr>Taru_Price VAT Inclusive</vt:lpstr>
      <vt:lpstr>Mpeketoni</vt:lpstr>
      <vt:lpstr>Mpeketoni_Price VAT Inclusive</vt:lpstr>
      <vt:lpstr>Garsen</vt:lpstr>
      <vt:lpstr>Garsen_Price VAT Inclusive</vt:lpstr>
      <vt:lpstr>Mwatate</vt:lpstr>
      <vt:lpstr>Mwatate_Price VAT Inclusive</vt:lpstr>
      <vt:lpstr>Wundanyi</vt:lpstr>
      <vt:lpstr>Wundanyi_Price VAT Inclusive</vt:lpstr>
      <vt:lpstr>Kaloleni</vt:lpstr>
      <vt:lpstr>Kaloleni_Price VAT Inclusive</vt:lpstr>
      <vt:lpstr>Marereni</vt:lpstr>
      <vt:lpstr>Marereni_Price VAT Inclusive</vt:lpstr>
      <vt:lpstr>Nairobi</vt:lpstr>
      <vt:lpstr>Nairobi_Price VAT Inclusive</vt:lpstr>
      <vt:lpstr>Thika</vt:lpstr>
      <vt:lpstr>Thika_Price VAT Inclusive</vt:lpstr>
      <vt:lpstr>Machakos</vt:lpstr>
      <vt:lpstr>Machakos_Price VAT Inclusive</vt:lpstr>
      <vt:lpstr>Namanga</vt:lpstr>
      <vt:lpstr>Namanga_Price VAT Inclusive</vt:lpstr>
      <vt:lpstr>Kajiado</vt:lpstr>
      <vt:lpstr>Kajiado_Price VAT Inclusive</vt:lpstr>
      <vt:lpstr>Muranga</vt:lpstr>
      <vt:lpstr>Muranga_Price VAT Inclusive</vt:lpstr>
      <vt:lpstr>Embu</vt:lpstr>
      <vt:lpstr>Embu_Price VAT Inclusive</vt:lpstr>
      <vt:lpstr>Kerugoya</vt:lpstr>
      <vt:lpstr>Kerugoya_Price VAT Inclusive</vt:lpstr>
      <vt:lpstr>Kiganjo</vt:lpstr>
      <vt:lpstr>Kiganjo_Price VAT Inclusive</vt:lpstr>
      <vt:lpstr>Makuyu</vt:lpstr>
      <vt:lpstr>Makuyu_Price VAT Inclusive</vt:lpstr>
      <vt:lpstr>Sagana</vt:lpstr>
      <vt:lpstr>Sagana_Price VAT Inclusive</vt:lpstr>
      <vt:lpstr>Narok</vt:lpstr>
      <vt:lpstr>Narok_Price VAT Inclusive</vt:lpstr>
      <vt:lpstr>Nyeri</vt:lpstr>
      <vt:lpstr>Nyeri-Price VAT Inclusive</vt:lpstr>
      <vt:lpstr>Kitui</vt:lpstr>
      <vt:lpstr>Kitui_Price VAT Inclusive</vt:lpstr>
      <vt:lpstr>Mwingi</vt:lpstr>
      <vt:lpstr>Mwingi_Price VAT Inclusive</vt:lpstr>
      <vt:lpstr>Nanyuki</vt:lpstr>
      <vt:lpstr>Nanyuki_Price VAT Inclusive</vt:lpstr>
      <vt:lpstr>Mtito Andei</vt:lpstr>
      <vt:lpstr>Mtito Andei_Price VAT Inclusive</vt:lpstr>
      <vt:lpstr>Chuka</vt:lpstr>
      <vt:lpstr>Chuka_Price VAT Inclusive</vt:lpstr>
      <vt:lpstr>Nkubu</vt:lpstr>
      <vt:lpstr>Nkubu_Price VAT Inclusive</vt:lpstr>
      <vt:lpstr>Meru</vt:lpstr>
      <vt:lpstr>Meru-Price VAT Inclusive</vt:lpstr>
      <vt:lpstr>Isiolo</vt:lpstr>
      <vt:lpstr>Isiolo_Price VAT Inclusive</vt:lpstr>
      <vt:lpstr>Maua</vt:lpstr>
      <vt:lpstr>Maua_Price VAT Inclusive</vt:lpstr>
      <vt:lpstr>Garissa</vt:lpstr>
      <vt:lpstr>Garissa_Price VAT Inclusive</vt:lpstr>
      <vt:lpstr>Marsabit</vt:lpstr>
      <vt:lpstr>Marsabit_Price VAT Inclusive</vt:lpstr>
      <vt:lpstr>Liboi</vt:lpstr>
      <vt:lpstr>Liboi_Price VAT Inclusive</vt:lpstr>
      <vt:lpstr>Moyale</vt:lpstr>
      <vt:lpstr>Moyale_Price VAT Inclusive</vt:lpstr>
      <vt:lpstr>Sololo</vt:lpstr>
      <vt:lpstr>Sololo_Price VAT Inclusive</vt:lpstr>
      <vt:lpstr>Habaswein</vt:lpstr>
      <vt:lpstr>Habaswein_Price VAT Inclusive</vt:lpstr>
      <vt:lpstr>Dadaab</vt:lpstr>
      <vt:lpstr>Dadaab_Price VAT Inclusive</vt:lpstr>
      <vt:lpstr>Tarbaj</vt:lpstr>
      <vt:lpstr>Tarbaj_Price VAT Inclusive</vt:lpstr>
      <vt:lpstr>Elwak</vt:lpstr>
      <vt:lpstr>Elwak_Price VAT Inclusive</vt:lpstr>
      <vt:lpstr>Wajir</vt:lpstr>
      <vt:lpstr>Wajir_Price VAT Inclusive</vt:lpstr>
      <vt:lpstr>Mandera</vt:lpstr>
      <vt:lpstr>Mandera_Price VAT Inclusive</vt:lpstr>
      <vt:lpstr>Modogashe</vt:lpstr>
      <vt:lpstr>Modogashe_Price VAT Inclusive</vt:lpstr>
      <vt:lpstr>Matuu</vt:lpstr>
      <vt:lpstr>Matuu_Price VAT Inclusive</vt:lpstr>
      <vt:lpstr>Merti</vt:lpstr>
      <vt:lpstr>Merti_Price VAT Inclusive</vt:lpstr>
      <vt:lpstr>Oldonyiro</vt:lpstr>
      <vt:lpstr>Oldonyiro_Price VAT Inclusive</vt:lpstr>
      <vt:lpstr>Eldas</vt:lpstr>
      <vt:lpstr>Eldas_Price VAT Inclusive</vt:lpstr>
      <vt:lpstr>Bute</vt:lpstr>
      <vt:lpstr>Bute_Price VAT Inclusive</vt:lpstr>
      <vt:lpstr>Hadado</vt:lpstr>
      <vt:lpstr>Hadado_Price VAT Inclusive</vt:lpstr>
      <vt:lpstr>Mai Mahiu</vt:lpstr>
      <vt:lpstr>Mai Mahiu_Price VAT Inclusive</vt:lpstr>
      <vt:lpstr>Doldo</vt:lpstr>
      <vt:lpstr>Doldo_Price VAT Inclusive</vt:lpstr>
      <vt:lpstr>Lamuria</vt:lpstr>
      <vt:lpstr>Lamuria_Price VAT Inclusive</vt:lpstr>
      <vt:lpstr>Sipili</vt:lpstr>
      <vt:lpstr>Sipili_Price VAT Inclusive</vt:lpstr>
      <vt:lpstr>Marimanti</vt:lpstr>
      <vt:lpstr>Marimanti_Price VAT Inclusive</vt:lpstr>
      <vt:lpstr>Mutuobare</vt:lpstr>
      <vt:lpstr>Mutuobare_Price VAT Inclusive</vt:lpstr>
      <vt:lpstr>North Horr</vt:lpstr>
      <vt:lpstr>Nort Horr_Price VAT Inclusive</vt:lpstr>
      <vt:lpstr>Maikona</vt:lpstr>
      <vt:lpstr>Maikona_Price VAT Inclusive</vt:lpstr>
      <vt:lpstr>Kalacha</vt:lpstr>
      <vt:lpstr>Kalacha_Price VAT Inclusive</vt:lpstr>
      <vt:lpstr>Loyangalani</vt:lpstr>
      <vt:lpstr>Loyangalani_Price VAT Inclusive</vt:lpstr>
      <vt:lpstr>Turbi</vt:lpstr>
      <vt:lpstr>Turbi_Price VAT Inclusive</vt:lpstr>
      <vt:lpstr>Laisamis</vt:lpstr>
      <vt:lpstr>Laisamis_Price VAT Inclusive</vt:lpstr>
      <vt:lpstr>Merille</vt:lpstr>
      <vt:lpstr>Merille_Price VAT Inclusive</vt:lpstr>
      <vt:lpstr>Korr</vt:lpstr>
      <vt:lpstr>Korr_Price VAT Inclusive</vt:lpstr>
      <vt:lpstr>Nakuru</vt:lpstr>
      <vt:lpstr>Nakuru-Price VAT Inclusive</vt:lpstr>
      <vt:lpstr>Nyahururu</vt:lpstr>
      <vt:lpstr>Nyahururu_Price VAT Inclusive</vt:lpstr>
      <vt:lpstr>Archers Post</vt:lpstr>
      <vt:lpstr>ArchersPost_Price VAT Inclusive</vt:lpstr>
      <vt:lpstr>Lodosoit</vt:lpstr>
      <vt:lpstr>Lodosoit_Price VAT Inclusive</vt:lpstr>
      <vt:lpstr>Naivasha</vt:lpstr>
      <vt:lpstr>Naivasha_Price VAT Inclusive</vt:lpstr>
      <vt:lpstr>Gilgil</vt:lpstr>
      <vt:lpstr>Gilgil_Price VAT Inclusive</vt:lpstr>
      <vt:lpstr>Molo</vt:lpstr>
      <vt:lpstr>Molo_Price VAT Inclusive</vt:lpstr>
      <vt:lpstr>Olenguruone</vt:lpstr>
      <vt:lpstr>Olenguruone_Price VAT Inclusive</vt:lpstr>
      <vt:lpstr>Mogotio</vt:lpstr>
      <vt:lpstr>Mogotio_Price VAT Inclusive</vt:lpstr>
      <vt:lpstr>Kabarnet</vt:lpstr>
      <vt:lpstr>Kabarnet_Price VAT Inclusive</vt:lpstr>
      <vt:lpstr>Londiani</vt:lpstr>
      <vt:lpstr>Londiani_Price VAT Inclusive</vt:lpstr>
      <vt:lpstr>Marigat</vt:lpstr>
      <vt:lpstr>Marigat_Price VAT Inclusive</vt:lpstr>
      <vt:lpstr>Maralal</vt:lpstr>
      <vt:lpstr>Maralal_Price VAT Inclusive</vt:lpstr>
      <vt:lpstr>Wamba</vt:lpstr>
      <vt:lpstr>Wamba_Price VAT Inclusive</vt:lpstr>
      <vt:lpstr>Rumuruti</vt:lpstr>
      <vt:lpstr>Rumuruti_Price VAT Inclusive</vt:lpstr>
      <vt:lpstr>Eldoret</vt:lpstr>
      <vt:lpstr>Eldoret_Price VAT Inclusive</vt:lpstr>
      <vt:lpstr>Kiplombe</vt:lpstr>
      <vt:lpstr>Kiplombe_Price VAT Inclusive</vt:lpstr>
      <vt:lpstr>Iten</vt:lpstr>
      <vt:lpstr>Iten_Price VAT Inclusive</vt:lpstr>
      <vt:lpstr>Naiberi</vt:lpstr>
      <vt:lpstr>Naiberi_Price VAT Inclusive</vt:lpstr>
      <vt:lpstr>Kesses</vt:lpstr>
      <vt:lpstr>Kesses_Price VAT Inclusive</vt:lpstr>
      <vt:lpstr>Kapsabet</vt:lpstr>
      <vt:lpstr>Kapsabet_Price VAT Inclusive</vt:lpstr>
      <vt:lpstr>Kitale</vt:lpstr>
      <vt:lpstr>Kitale_Prive VAT Inclusive</vt:lpstr>
      <vt:lpstr>Kapenguria</vt:lpstr>
      <vt:lpstr>Kapenguria_Price VAT Inclusive</vt:lpstr>
      <vt:lpstr>Bungoma</vt:lpstr>
      <vt:lpstr>Bungoma_Price VAT Inclusive</vt:lpstr>
      <vt:lpstr>Moiben</vt:lpstr>
      <vt:lpstr>Moiben_Price VAT Inclusive</vt:lpstr>
      <vt:lpstr>Matunda</vt:lpstr>
      <vt:lpstr>Matunda_Price VAT Inclusive</vt:lpstr>
      <vt:lpstr>Burnt Forest</vt:lpstr>
      <vt:lpstr>Burnt Fores_Price VAT Inclusive</vt:lpstr>
      <vt:lpstr>Tambach</vt:lpstr>
      <vt:lpstr>Tambach_Price VAT Inclusive</vt:lpstr>
      <vt:lpstr>Kapsowar</vt:lpstr>
      <vt:lpstr>Kapsowar_Price VAT Inclusive</vt:lpstr>
      <vt:lpstr>Chebara</vt:lpstr>
      <vt:lpstr>Chebara_Price VAT Inclusive</vt:lpstr>
      <vt:lpstr>Kimwarer</vt:lpstr>
      <vt:lpstr>Kimwarer_Price VAT Inclusive</vt:lpstr>
      <vt:lpstr>Timboroa</vt:lpstr>
      <vt:lpstr>Timboroa_Price VAT Inclusive</vt:lpstr>
      <vt:lpstr>Nandi Hills</vt:lpstr>
      <vt:lpstr>Nandi Hills_Price VAT Inclusive</vt:lpstr>
      <vt:lpstr>Kaiboi</vt:lpstr>
      <vt:lpstr>Kaiboi_Price VAT Inclusive</vt:lpstr>
      <vt:lpstr>Kiminini</vt:lpstr>
      <vt:lpstr>Kiminini_Price VAT Inclusive</vt:lpstr>
      <vt:lpstr>Endebes</vt:lpstr>
      <vt:lpstr>Endebes_Price VAT Inclusive</vt:lpstr>
      <vt:lpstr>Saboti</vt:lpstr>
      <vt:lpstr>Saboti_Price VAT Inclusive</vt:lpstr>
      <vt:lpstr>Chepareria</vt:lpstr>
      <vt:lpstr>Chepareria_Price VAT Inclusive</vt:lpstr>
      <vt:lpstr>Lomut</vt:lpstr>
      <vt:lpstr>Lomut_Price VAT Inclusive</vt:lpstr>
      <vt:lpstr>Burgich</vt:lpstr>
      <vt:lpstr>Burgich_Price VAT Inclusive</vt:lpstr>
      <vt:lpstr>Sigor</vt:lpstr>
      <vt:lpstr>Sigor_Price VAT Inclusive</vt:lpstr>
      <vt:lpstr>Lodwar</vt:lpstr>
      <vt:lpstr>Lodwar_Price VAT Inclusive</vt:lpstr>
      <vt:lpstr>Kakuma</vt:lpstr>
      <vt:lpstr>Kakuma_Price VAT Inclusive</vt:lpstr>
      <vt:lpstr>Lokichar</vt:lpstr>
      <vt:lpstr>Lokichar_Price VAT Inclusive</vt:lpstr>
      <vt:lpstr>Kalokol</vt:lpstr>
      <vt:lpstr>Kalokol_Price VAT Inclusive</vt:lpstr>
      <vt:lpstr>Lokori</vt:lpstr>
      <vt:lpstr>Lokori_Price VAT Inclusive</vt:lpstr>
      <vt:lpstr>Lokitaung</vt:lpstr>
      <vt:lpstr>Lokitaung_Price VAT Inclusive</vt:lpstr>
      <vt:lpstr>Kapedo</vt:lpstr>
      <vt:lpstr>Kapedo_Price VAT Inclusive</vt:lpstr>
      <vt:lpstr>Webuye</vt:lpstr>
      <vt:lpstr>Webuye_Price VAT Inclusive</vt:lpstr>
      <vt:lpstr>Malaba</vt:lpstr>
      <vt:lpstr>Malaba_Price VAT Inclusive</vt:lpstr>
      <vt:lpstr>Lokichogio</vt:lpstr>
      <vt:lpstr>Lokichogio_Price VAT Inclusive</vt:lpstr>
      <vt:lpstr>Ziwa</vt:lpstr>
      <vt:lpstr>Ziwa_Price VAT INclusive</vt:lpstr>
      <vt:lpstr>Soy</vt:lpstr>
      <vt:lpstr>Soy_Price VAT Inclusive</vt:lpstr>
      <vt:lpstr>Moi's Bridge</vt:lpstr>
      <vt:lpstr>Moi's Bridge_Price VAT Inclusiv</vt:lpstr>
      <vt:lpstr>Turbo</vt:lpstr>
      <vt:lpstr>Turbo_Price VAT Inclusive</vt:lpstr>
      <vt:lpstr>Kibish</vt:lpstr>
      <vt:lpstr>Kibish _Prive VAT Inclusive</vt:lpstr>
      <vt:lpstr>Nakalale</vt:lpstr>
      <vt:lpstr>Nakalale_Price VAT Inclusive</vt:lpstr>
      <vt:lpstr>Loima</vt:lpstr>
      <vt:lpstr>Loima_Price VAT Inclusive</vt:lpstr>
      <vt:lpstr>Lokiriama</vt:lpstr>
      <vt:lpstr>Lokiriama_Price VAT Inclusive</vt:lpstr>
      <vt:lpstr>Kainuk</vt:lpstr>
      <vt:lpstr>Kainuk_Price VAT Inclusive</vt:lpstr>
      <vt:lpstr>Kacheliba</vt:lpstr>
      <vt:lpstr>Kacheliba_Price VAT Inclusive</vt:lpstr>
      <vt:lpstr>Kiwawa</vt:lpstr>
      <vt:lpstr>Kiwawa_Price VAT Inclusive</vt:lpstr>
      <vt:lpstr>Ortum</vt:lpstr>
      <vt:lpstr>Ortum_Price VAT Inclusive</vt:lpstr>
      <vt:lpstr>Kachibora</vt:lpstr>
      <vt:lpstr>Kachibora_Price VAT Inclusive</vt:lpstr>
      <vt:lpstr>Kwanza</vt:lpstr>
      <vt:lpstr>Kwanza_Price VAT Inclusive</vt:lpstr>
      <vt:lpstr>Kaplamai</vt:lpstr>
      <vt:lpstr>Kaplamai_Price VAT Inclusive</vt:lpstr>
      <vt:lpstr>Eldama Ravine</vt:lpstr>
      <vt:lpstr>Eldama Ravine_Price VAT Inclusi</vt:lpstr>
      <vt:lpstr>Tenges</vt:lpstr>
      <vt:lpstr>Tenges_Price VAT Inclusive</vt:lpstr>
      <vt:lpstr>Barwessa</vt:lpstr>
      <vt:lpstr>Barwessa_Price VAT Inclusive</vt:lpstr>
      <vt:lpstr>Kipsaraman</vt:lpstr>
      <vt:lpstr>Kipsaraman_Price VAT Inclusive</vt:lpstr>
      <vt:lpstr>Loruk</vt:lpstr>
      <vt:lpstr>Loruk_Price VAT Inclusive</vt:lpstr>
      <vt:lpstr>Kabartonjo</vt:lpstr>
      <vt:lpstr>Kabartonjo_Price VAT Inclusive</vt:lpstr>
      <vt:lpstr>Tindiret</vt:lpstr>
      <vt:lpstr>Tindiret_Price VAT Inclusive</vt:lpstr>
      <vt:lpstr>Olessos</vt:lpstr>
      <vt:lpstr>Olessos_Price VAT Inclusive</vt:lpstr>
      <vt:lpstr>Kobujoi</vt:lpstr>
      <vt:lpstr>Kobujoi_Price VAT Inclusive</vt:lpstr>
      <vt:lpstr>Serem</vt:lpstr>
      <vt:lpstr>Serem_Price VAT Inclusive</vt:lpstr>
      <vt:lpstr>Kabiyet</vt:lpstr>
      <vt:lpstr>Kabiyet_Price VAT Inclusive</vt:lpstr>
      <vt:lpstr>Cheptulu</vt:lpstr>
      <vt:lpstr>Cheptulu_Price VAT Inclusive</vt:lpstr>
      <vt:lpstr>Songor</vt:lpstr>
      <vt:lpstr>Songor_Price VAT Inclusive</vt:lpstr>
      <vt:lpstr>Kapcherop</vt:lpstr>
      <vt:lpstr>Kapcherop_Price VAT Inclusive</vt:lpstr>
      <vt:lpstr>Sambalat</vt:lpstr>
      <vt:lpstr>Sambalat_Price VAT Inclusive</vt:lpstr>
      <vt:lpstr>Arror</vt:lpstr>
      <vt:lpstr>Arror_Price VAT Inclusive</vt:lpstr>
      <vt:lpstr>Tot</vt:lpstr>
      <vt:lpstr>Tot_Price VAT Inclusive</vt:lpstr>
      <vt:lpstr>Kaptarakwa</vt:lpstr>
      <vt:lpstr>Kaptarakwa_Price VAT Inclusive</vt:lpstr>
      <vt:lpstr>Kapese</vt:lpstr>
      <vt:lpstr>Kapese_Price VAT Inclusive</vt:lpstr>
      <vt:lpstr>Kalemngorok</vt:lpstr>
      <vt:lpstr>Kalemngorok_Price VAT Inclusive</vt:lpstr>
      <vt:lpstr>Marich</vt:lpstr>
      <vt:lpstr>Marich_Price VAT Inclusive</vt:lpstr>
      <vt:lpstr>Alale</vt:lpstr>
      <vt:lpstr>Alale_Price VAT Inclusive</vt:lpstr>
      <vt:lpstr>Kunyao</vt:lpstr>
      <vt:lpstr>Kunyao_Price VAT Inclusive</vt:lpstr>
      <vt:lpstr>Asilong</vt:lpstr>
      <vt:lpstr>Asilong_Price VAT Inclusive</vt:lpstr>
      <vt:lpstr>Orolwo</vt:lpstr>
      <vt:lpstr>Orolwo_Price VAT Inclusive</vt:lpstr>
      <vt:lpstr>Serbit</vt:lpstr>
      <vt:lpstr>Serbit_Price VAT Inclusive</vt:lpstr>
      <vt:lpstr>Morpus</vt:lpstr>
      <vt:lpstr>Morpus_Price VAT Inclusive</vt:lpstr>
      <vt:lpstr>Chepkorniswo</vt:lpstr>
      <vt:lpstr>Chepkorniswo_Price VAT Inclusiv</vt:lpstr>
      <vt:lpstr>Kaibichbich</vt:lpstr>
      <vt:lpstr>Kaibishbish_Prive VAT Inclusive</vt:lpstr>
      <vt:lpstr>Keringet</vt:lpstr>
      <vt:lpstr>Keringet_Price VAT Inclusive</vt:lpstr>
      <vt:lpstr>Kisumu</vt:lpstr>
      <vt:lpstr>Kisumu_Price VAT Inclusive</vt:lpstr>
      <vt:lpstr>Kakamega</vt:lpstr>
      <vt:lpstr>Kakamega_Price VAT Inclusive</vt:lpstr>
      <vt:lpstr>Mumias</vt:lpstr>
      <vt:lpstr>Mumias_Price VAT Inclusive</vt:lpstr>
      <vt:lpstr>Siaya</vt:lpstr>
      <vt:lpstr>Siaya_Price VAT Inclusive</vt:lpstr>
      <vt:lpstr>Kericho</vt:lpstr>
      <vt:lpstr>Kericho_Price VAT Inclusive</vt:lpstr>
      <vt:lpstr>Nyamira</vt:lpstr>
      <vt:lpstr>Nyamira_Price VAT Inclusive</vt:lpstr>
      <vt:lpstr>Sondu</vt:lpstr>
      <vt:lpstr>Sondu_Price VAT Inclusive</vt:lpstr>
      <vt:lpstr>Oyugis</vt:lpstr>
      <vt:lpstr>Oyugis_Price VAT Inclusive</vt:lpstr>
      <vt:lpstr>Kisii</vt:lpstr>
      <vt:lpstr>Kisii_Price VAT Inclusive</vt:lpstr>
      <vt:lpstr>Keroka</vt:lpstr>
      <vt:lpstr>Keroka_Price VAT Inclusive</vt:lpstr>
      <vt:lpstr>Isebania</vt:lpstr>
      <vt:lpstr>Isebania_Price VAT Inclusive</vt:lpstr>
      <vt:lpstr>Sotik</vt:lpstr>
      <vt:lpstr>Sotik_Price VAT Inclusive</vt:lpstr>
      <vt:lpstr>Busia</vt:lpstr>
      <vt:lpstr>Busia_Price VAT Inclusive</vt:lpstr>
      <vt:lpstr>Homabay</vt:lpstr>
      <vt:lpstr>Homabay_Price VAT Inclusive</vt:lpstr>
      <vt:lpstr>Bondo</vt:lpstr>
      <vt:lpstr>Bondo_Price VAT Inclusive</vt:lpstr>
      <vt:lpstr>Migori</vt:lpstr>
      <vt:lpstr>Migori_Price VAT Inclusive</vt:lpstr>
      <vt:lpstr>Bomet</vt:lpstr>
      <vt:lpstr>Bomet_Price VAT Inclusive</vt:lpstr>
      <vt:lpstr>Muhoroni</vt:lpstr>
      <vt:lpstr>Muhoroni_Price VAT Inclusive</vt:lpstr>
      <vt:lpstr>Mbita</vt:lpstr>
      <vt:lpstr>Mbita_Price VAT Inclusive</vt:lpstr>
      <vt:lpstr>Mbale</vt:lpstr>
      <vt:lpstr>Mbale_Price VAT Inclusive</vt:lpstr>
      <vt:lpstr>Etago</vt:lpstr>
      <vt:lpstr>Etago_Price VAT Inclusive</vt:lpstr>
      <vt:lpstr>Magenche</vt:lpstr>
      <vt:lpstr>Magenche_Price VAT Inclusive</vt:lpstr>
      <vt:lpstr>Kilgoris</vt:lpstr>
      <vt:lpstr>Kilgoris_Price VAT Inclusive</vt:lpstr>
      <vt:lpstr>Malava</vt:lpstr>
      <vt:lpstr>Malava_VAT Price Inclusive</vt:lpstr>
      <vt:lpstr>Lugari</vt:lpstr>
      <vt:lpstr>Lugari_VAT Price VAT Inclusive</vt:lpstr>
      <vt:lpstr>Rodi Kopany</vt:lpstr>
      <vt:lpstr>Rodi Kopany_Price VAT Inclusive</vt:lpstr>
      <vt:lpstr>Ndhiwa</vt:lpstr>
      <vt:lpstr>Ndhiwa_Price VAT Inclusive</vt:lpstr>
      <vt:lpstr>Rangwe</vt:lpstr>
      <vt:lpstr>Rangwe_Price VAT Inclusive</vt:lpstr>
      <vt:lpstr>Sindo</vt:lpstr>
      <vt:lpstr>Sindo_Price VAT Inclusive</vt:lpstr>
      <vt:lpstr>Awasi</vt:lpstr>
      <vt:lpstr>Awasi_Price VAT Inclusive</vt:lpstr>
      <vt:lpstr>Ahero</vt:lpstr>
      <vt:lpstr>Ahero_Price VAT Inclusive</vt:lpstr>
      <vt:lpstr>Ugunja</vt:lpstr>
      <vt:lpstr>Ugunja_Price VAT Inclusive</vt:lpstr>
      <vt:lpstr>Asembo</vt:lpstr>
      <vt:lpstr>Asembo_Price VAT Inclusive</vt:lpstr>
      <vt:lpstr>Usenge</vt:lpstr>
      <vt:lpstr>Usenge_Price VAT Inclusive</vt:lpstr>
      <vt:lpstr>Harambee</vt:lpstr>
      <vt:lpstr>Harambee_Price VAT Inclusive</vt:lpstr>
      <vt:lpstr>Muhuru Bay</vt:lpstr>
      <vt:lpstr>Muhuru Bay_ Price VAT Inclusive</vt:lpstr>
      <vt:lpstr>Kehancha</vt:lpstr>
      <vt:lpstr>Kehancha_Price VAT Inclusive</vt:lpstr>
      <vt:lpstr>Ntimaru</vt:lpstr>
      <vt:lpstr>Ntimaru_Price VAT Inclusive</vt:lpstr>
      <vt:lpstr>Rongo</vt:lpstr>
      <vt:lpstr>Rongo_Price VAT Inclusive</vt:lpstr>
      <vt:lpstr>Kaspokwony</vt:lpstr>
      <vt:lpstr>Kaspokwony_Price VAT Inclusive</vt:lpstr>
      <vt:lpstr>Chwele</vt:lpstr>
      <vt:lpstr>Chwele_Price VAT Inclusive</vt:lpstr>
      <vt:lpstr>Kimilili</vt:lpstr>
      <vt:lpstr>Kimilili_Price VAT Inclusive</vt:lpstr>
      <vt:lpstr>Nambale</vt:lpstr>
      <vt:lpstr>Nambale_Price VAT Inclusive</vt:lpstr>
      <vt:lpstr>Sio Port</vt:lpstr>
      <vt:lpstr>Sio Port_Price VAT Inclusive</vt:lpstr>
      <vt:lpstr>Port Bunyala</vt:lpstr>
      <vt:lpstr>Port Bunyala_Price VAT Inclusiv</vt:lpstr>
      <vt:lpstr>Funyala</vt:lpstr>
      <vt:lpstr>Funyala_Price VAT Inclusive</vt:lpstr>
      <vt:lpstr>Ogembo</vt:lpstr>
      <vt:lpstr>Ogembe_Price VAT Inclusive</vt:lpstr>
      <vt:lpstr>Nyagusu</vt:lpstr>
      <vt:lpstr>Nyagusu_Price VAT Inclusive</vt:lpstr>
      <vt:lpstr>Sengera</vt:lpstr>
      <vt:lpstr>Sengera_Price VAT Inclusive</vt:lpstr>
      <vt:lpstr>Keumbu</vt:lpstr>
      <vt:lpstr>Keimbu_Price VAT Inclusive</vt:lpstr>
      <vt:lpstr>Marani</vt:lpstr>
      <vt:lpstr>Marani_Price NAT Inclusive</vt:lpstr>
      <vt:lpstr>Kerina</vt:lpstr>
      <vt:lpstr>Kerina_Price VAT Inclusive</vt:lpstr>
      <vt:lpstr>Ikonge</vt:lpstr>
      <vt:lpstr>Ikonge_Price VAT Inclusive</vt:lpstr>
      <vt:lpstr>Nyansiongo</vt:lpstr>
      <vt:lpstr>Nyansiongo_Price VAT Inclusive</vt:lpstr>
      <vt:lpstr>PUMP PRICES RETAIL ex VAT</vt:lpstr>
      <vt:lpstr>W_S PUMP PRICES Exc VAT </vt:lpstr>
      <vt:lpstr>PUMP PRICES RETAIL VAT Incl</vt:lpstr>
      <vt:lpstr>W_S PRICES VAT Inc Publication</vt:lpstr>
      <vt:lpstr>VAT Breakdown Retail VAT Inc</vt:lpstr>
      <vt:lpstr>VAT BREAKDOWN WHOLESALE</vt:lpstr>
      <vt:lpstr>Bridging - Sept 2013</vt:lpstr>
      <vt:lpstr>Delivery =&lt;40km-Sept 2013</vt:lpstr>
      <vt:lpstr>Delivery &gt;40km-Sept 2013</vt:lpstr>
      <vt:lpstr>AGO Pump Prices</vt:lpstr>
      <vt:lpstr>Kenya CPI</vt:lpstr>
      <vt:lpstr>KPC LOSSES</vt:lpstr>
      <vt:lpstr>BREAKDOWN</vt:lpstr>
      <vt:lpstr>Sheet3</vt:lpstr>
      <vt:lpstr>A</vt:lpstr>
    </vt:vector>
  </TitlesOfParts>
  <Company>Energy Regulatory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kaburu.mwirichia</dc:creator>
  <cp:lastModifiedBy>Leonard Yegon</cp:lastModifiedBy>
  <cp:lastPrinted>2020-04-13T09:39:08Z</cp:lastPrinted>
  <dcterms:created xsi:type="dcterms:W3CDTF">2010-12-16T14:22:31Z</dcterms:created>
  <dcterms:modified xsi:type="dcterms:W3CDTF">2023-03-14T17:32:49Z</dcterms:modified>
</cp:coreProperties>
</file>