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sin.ider\Desktop\"/>
    </mc:Choice>
  </mc:AlternateContent>
  <bookViews>
    <workbookView xWindow="0" yWindow="0" windowWidth="20400" windowHeight="89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R3" i="1"/>
  <c r="F24" i="1"/>
  <c r="G25" i="1"/>
  <c r="E25" i="1"/>
  <c r="E24" i="1"/>
  <c r="F22" i="1"/>
  <c r="G22" i="1"/>
  <c r="G3" i="1"/>
  <c r="F3" i="1"/>
  <c r="E4" i="1"/>
  <c r="F4" i="1" s="1"/>
  <c r="J4" i="1"/>
  <c r="J5" i="1" s="1"/>
  <c r="J6" i="1" s="1"/>
  <c r="J7" i="1" s="1"/>
  <c r="J8" i="1" s="1"/>
  <c r="J9" i="1" s="1"/>
  <c r="N3" i="1"/>
  <c r="Q3" i="1"/>
  <c r="H3" i="1"/>
  <c r="A11" i="1"/>
  <c r="D2" i="1"/>
  <c r="C2" i="1"/>
  <c r="A9" i="1"/>
  <c r="A7" i="1"/>
  <c r="B5" i="1"/>
  <c r="A5" i="1"/>
  <c r="G4" i="1" l="1"/>
  <c r="E5" i="1"/>
  <c r="N4" i="1"/>
  <c r="M3" i="1"/>
  <c r="Q4" i="1"/>
  <c r="K4" i="1"/>
  <c r="H4" i="1"/>
  <c r="I3" i="1"/>
  <c r="L3" i="1" s="1"/>
  <c r="P3" i="1" s="1"/>
  <c r="V36" i="1"/>
  <c r="V35" i="1"/>
  <c r="V34" i="1"/>
  <c r="V38" i="1"/>
  <c r="V39" i="1"/>
  <c r="R39" i="1"/>
  <c r="R38" i="1"/>
  <c r="Q39" i="1"/>
  <c r="Q38" i="1"/>
  <c r="D35" i="1"/>
  <c r="R35" i="1"/>
  <c r="Q35" i="1"/>
  <c r="K35" i="1"/>
  <c r="J35" i="1"/>
  <c r="I35" i="1"/>
  <c r="H35" i="1"/>
  <c r="J30" i="1"/>
  <c r="K30" i="1"/>
  <c r="C28" i="1"/>
  <c r="D28" i="1"/>
  <c r="C30" i="1"/>
  <c r="D30" i="1"/>
  <c r="F5" i="1" l="1"/>
  <c r="G5" i="1"/>
  <c r="E6" i="1"/>
  <c r="I4" i="1"/>
  <c r="L4" i="1" s="1"/>
  <c r="M4" i="1"/>
  <c r="N5" i="1"/>
  <c r="K5" i="1"/>
  <c r="M5" i="1" s="1"/>
  <c r="R4" i="1"/>
  <c r="I5" i="1"/>
  <c r="Q5" i="1"/>
  <c r="H5" i="1"/>
  <c r="C32" i="1"/>
  <c r="D32" i="1"/>
  <c r="C24" i="1"/>
  <c r="D24" i="1"/>
  <c r="C25" i="1"/>
  <c r="D25" i="1"/>
  <c r="C26" i="1"/>
  <c r="D26" i="1"/>
  <c r="C27" i="1"/>
  <c r="D27" i="1"/>
  <c r="C23" i="1"/>
  <c r="D2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F6" i="1" l="1"/>
  <c r="E7" i="1"/>
  <c r="G6" i="1"/>
  <c r="P4" i="1"/>
  <c r="N6" i="1"/>
  <c r="K6" i="1"/>
  <c r="M6" i="1" s="1"/>
  <c r="R5" i="1"/>
  <c r="L5" i="1"/>
  <c r="P5" i="1" s="1"/>
  <c r="Q6" i="1"/>
  <c r="H6" i="1"/>
  <c r="O35" i="1"/>
  <c r="Q36" i="1" s="1"/>
  <c r="R26" i="1"/>
  <c r="R24" i="1"/>
  <c r="R27" i="1"/>
  <c r="R25" i="1"/>
  <c r="V3" i="1"/>
  <c r="AF3" i="1"/>
  <c r="U3" i="1"/>
  <c r="O3" i="1"/>
  <c r="Q27" i="1"/>
  <c r="Q25" i="1"/>
  <c r="AG3" i="1"/>
  <c r="Y3" i="1"/>
  <c r="AA3" i="1" s="1"/>
  <c r="Q26" i="1"/>
  <c r="Q24" i="1"/>
  <c r="V26" i="1"/>
  <c r="V24" i="1"/>
  <c r="V23" i="1"/>
  <c r="V22" i="1"/>
  <c r="V20" i="1"/>
  <c r="V18" i="1"/>
  <c r="V16" i="1"/>
  <c r="V14" i="1"/>
  <c r="V12" i="1"/>
  <c r="V10" i="1"/>
  <c r="V8" i="1"/>
  <c r="V6" i="1"/>
  <c r="V4" i="1"/>
  <c r="V21" i="1"/>
  <c r="V19" i="1"/>
  <c r="V17" i="1"/>
  <c r="V15" i="1"/>
  <c r="V13" i="1"/>
  <c r="V11" i="1"/>
  <c r="V9" i="1"/>
  <c r="V7" i="1"/>
  <c r="V5" i="1"/>
  <c r="U4" i="1"/>
  <c r="U26" i="1"/>
  <c r="U24" i="1"/>
  <c r="U22" i="1"/>
  <c r="U20" i="1"/>
  <c r="U18" i="1"/>
  <c r="U16" i="1"/>
  <c r="U14" i="1"/>
  <c r="U12" i="1"/>
  <c r="U10" i="1"/>
  <c r="U8" i="1"/>
  <c r="U6" i="1"/>
  <c r="U27" i="1"/>
  <c r="U25" i="1"/>
  <c r="U23" i="1"/>
  <c r="U21" i="1"/>
  <c r="U19" i="1"/>
  <c r="U17" i="1"/>
  <c r="U15" i="1"/>
  <c r="U13" i="1"/>
  <c r="U11" i="1"/>
  <c r="U9" i="1"/>
  <c r="U7" i="1"/>
  <c r="U5" i="1"/>
  <c r="V27" i="1"/>
  <c r="V25" i="1"/>
  <c r="O4" i="1"/>
  <c r="O5" i="1"/>
  <c r="F7" i="1" l="1"/>
  <c r="G7" i="1"/>
  <c r="E8" i="1"/>
  <c r="O6" i="1"/>
  <c r="N7" i="1"/>
  <c r="K7" i="1"/>
  <c r="M7" i="1" s="1"/>
  <c r="Q7" i="1"/>
  <c r="H7" i="1"/>
  <c r="I6" i="1"/>
  <c r="L6" i="1" s="1"/>
  <c r="P6" i="1" s="1"/>
  <c r="R6" i="1"/>
  <c r="R36" i="1"/>
  <c r="R37" i="1" s="1"/>
  <c r="R40" i="1" s="1"/>
  <c r="AH3" i="1"/>
  <c r="Q37" i="1"/>
  <c r="Q40" i="1" s="1"/>
  <c r="V40" i="1" s="1"/>
  <c r="V41" i="1" s="1"/>
  <c r="AC3" i="1"/>
  <c r="Z3" i="1" s="1"/>
  <c r="F8" i="1" l="1"/>
  <c r="G8" i="1"/>
  <c r="E9" i="1"/>
  <c r="N8" i="1"/>
  <c r="K8" i="1"/>
  <c r="M8" i="1" s="1"/>
  <c r="I7" i="1"/>
  <c r="L7" i="1" s="1"/>
  <c r="P7" i="1" s="1"/>
  <c r="R7" i="1"/>
  <c r="O7" i="1"/>
  <c r="Q8" i="1"/>
  <c r="H8" i="1"/>
  <c r="AB3" i="1"/>
  <c r="AD3" i="1" s="1"/>
  <c r="X3" i="1" s="1"/>
  <c r="F9" i="1" l="1"/>
  <c r="G9" i="1"/>
  <c r="E10" i="1"/>
  <c r="N9" i="1"/>
  <c r="K9" i="1"/>
  <c r="M9" i="1" s="1"/>
  <c r="I8" i="1"/>
  <c r="L8" i="1" s="1"/>
  <c r="P8" i="1" s="1"/>
  <c r="R8" i="1"/>
  <c r="O8" i="1"/>
  <c r="Q9" i="1"/>
  <c r="H9" i="1"/>
  <c r="W4" i="1"/>
  <c r="Y4" i="1" s="1"/>
  <c r="AA4" i="1" s="1"/>
  <c r="AC4" i="1" s="1"/>
  <c r="F10" i="1" l="1"/>
  <c r="G10" i="1"/>
  <c r="E11" i="1"/>
  <c r="I9" i="1"/>
  <c r="L9" i="1" s="1"/>
  <c r="P9" i="1" s="1"/>
  <c r="R9" i="1"/>
  <c r="O9" i="1"/>
  <c r="Z4" i="1"/>
  <c r="AB4" i="1" s="1"/>
  <c r="AD4" i="1" s="1"/>
  <c r="W5" i="1" s="1"/>
  <c r="F11" i="1" l="1"/>
  <c r="G11" i="1"/>
  <c r="E12" i="1"/>
  <c r="X4" i="1"/>
  <c r="Y5" i="1"/>
  <c r="AA5" i="1" s="1"/>
  <c r="AC5" i="1" s="1"/>
  <c r="F12" i="1" l="1"/>
  <c r="G12" i="1"/>
  <c r="E13" i="1"/>
  <c r="Z5" i="1"/>
  <c r="AB5" i="1" s="1"/>
  <c r="AD5" i="1" s="1"/>
  <c r="W6" i="1" s="1"/>
  <c r="F13" i="1" l="1"/>
  <c r="E14" i="1"/>
  <c r="G13" i="1"/>
  <c r="X5" i="1"/>
  <c r="Y6" i="1"/>
  <c r="AA6" i="1" s="1"/>
  <c r="AC6" i="1" s="1"/>
  <c r="F14" i="1" l="1"/>
  <c r="G14" i="1"/>
  <c r="E15" i="1"/>
  <c r="Z6" i="1"/>
  <c r="AB6" i="1" s="1"/>
  <c r="AD6" i="1" s="1"/>
  <c r="W7" i="1" s="1"/>
  <c r="F15" i="1" l="1"/>
  <c r="G15" i="1"/>
  <c r="E16" i="1"/>
  <c r="X6" i="1"/>
  <c r="Y7" i="1"/>
  <c r="AA7" i="1" s="1"/>
  <c r="AC7" i="1" s="1"/>
  <c r="F16" i="1" l="1"/>
  <c r="G16" i="1"/>
  <c r="E17" i="1"/>
  <c r="Z7" i="1"/>
  <c r="AB7" i="1" s="1"/>
  <c r="AD7" i="1" s="1"/>
  <c r="F17" i="1" l="1"/>
  <c r="G17" i="1"/>
  <c r="E18" i="1"/>
  <c r="W8" i="1"/>
  <c r="X7" i="1"/>
  <c r="Y8" i="1"/>
  <c r="AA8" i="1" s="1"/>
  <c r="AC8" i="1" s="1"/>
  <c r="F18" i="1" l="1"/>
  <c r="G18" i="1"/>
  <c r="E19" i="1"/>
  <c r="Z8" i="1"/>
  <c r="AB8" i="1" s="1"/>
  <c r="AD8" i="1" s="1"/>
  <c r="W9" i="1" s="1"/>
  <c r="F19" i="1" l="1"/>
  <c r="E20" i="1"/>
  <c r="G19" i="1"/>
  <c r="X8" i="1"/>
  <c r="F20" i="1" l="1"/>
  <c r="G20" i="1"/>
  <c r="E21" i="1"/>
  <c r="Y9" i="1"/>
  <c r="AA9" i="1" s="1"/>
  <c r="AC9" i="1" s="1"/>
  <c r="Z9" i="1" s="1"/>
  <c r="AB9" i="1" s="1"/>
  <c r="AD9" i="1" s="1"/>
  <c r="F21" i="1" l="1"/>
  <c r="G21" i="1"/>
  <c r="W10" i="1"/>
  <c r="X9" i="1"/>
</calcChain>
</file>

<file path=xl/sharedStrings.xml><?xml version="1.0" encoding="utf-8"?>
<sst xmlns="http://schemas.openxmlformats.org/spreadsheetml/2006/main" count="78" uniqueCount="71">
  <si>
    <t>ft</t>
  </si>
  <si>
    <t>gt</t>
  </si>
  <si>
    <t>T K</t>
  </si>
  <si>
    <t>aaa=[0.0112,0.0198,0.0371,0.064]</t>
  </si>
  <si>
    <t>f1 a yukarda</t>
  </si>
  <si>
    <t>f2 b yuk</t>
  </si>
  <si>
    <t>geom türev</t>
  </si>
  <si>
    <t>df1a</t>
  </si>
  <si>
    <t>df2b</t>
  </si>
  <si>
    <t>f1a dan türev</t>
  </si>
  <si>
    <t>f2b dan türev</t>
  </si>
  <si>
    <t>ft bilinmiyor</t>
  </si>
  <si>
    <t>f1-x-x2-ft</t>
  </si>
  <si>
    <t>f2-x-x2-gt</t>
  </si>
  <si>
    <t>sağlama türevden</t>
  </si>
  <si>
    <t>df1=f2b-f1a/b-a</t>
  </si>
  <si>
    <t>ft olsun</t>
  </si>
  <si>
    <t>gt=</t>
  </si>
  <si>
    <t>df2=f2b-f1a/b-a</t>
  </si>
  <si>
    <t>gt çeliecek</t>
  </si>
  <si>
    <t>ft cekilecek</t>
  </si>
  <si>
    <t>ft=</t>
  </si>
  <si>
    <t>b olsun</t>
  </si>
  <si>
    <t>atılan ft</t>
  </si>
  <si>
    <t>no convergence</t>
  </si>
  <si>
    <t>a</t>
  </si>
  <si>
    <t>b</t>
  </si>
  <si>
    <t>Gag</t>
  </si>
  <si>
    <t>Gcu</t>
  </si>
  <si>
    <t>f1 sol</t>
  </si>
  <si>
    <t>f2 sol</t>
  </si>
  <si>
    <t>a-a^2</t>
  </si>
  <si>
    <t>b-b^2</t>
  </si>
  <si>
    <t>f11</t>
  </si>
  <si>
    <t>f2</t>
  </si>
  <si>
    <t>,=-42031,3758859352+ft*0,01940796</t>
  </si>
  <si>
    <t>,=-34186,2585200222+gy*0,00596399999999997</t>
  </si>
  <si>
    <t>,a/1-a</t>
  </si>
  <si>
    <t>b/(1-b)</t>
  </si>
  <si>
    <t>1-2a</t>
  </si>
  <si>
    <t>1-2b</t>
  </si>
  <si>
    <t>Gcu-gAg</t>
  </si>
  <si>
    <t>rt*ln(a/(1-a))</t>
  </si>
  <si>
    <t>rt*ln(b/(1-b))</t>
  </si>
  <si>
    <t>b-a</t>
  </si>
  <si>
    <t>bbb=[0.997,0.994,0.985,0.967]</t>
  </si>
  <si>
    <t>scan den okunanlar</t>
  </si>
  <si>
    <t>b 800K</t>
  </si>
  <si>
    <t>a 800K</t>
  </si>
  <si>
    <t>GAg</t>
  </si>
  <si>
    <t>GCu</t>
  </si>
  <si>
    <t>(1-2a/(1-2b)</t>
  </si>
  <si>
    <t>ln(a*(1-b)/(b*(1-a))</t>
  </si>
  <si>
    <t>(RT/(1-2b)) *yukardaki</t>
  </si>
  <si>
    <t>5 i 6 da yerine koy</t>
  </si>
  <si>
    <t>TÜREV YENİ</t>
  </si>
  <si>
    <t>atılan</t>
  </si>
  <si>
    <t>F2B-F1A/(B-A)</t>
  </si>
  <si>
    <t>,= sag taraf 1</t>
  </si>
  <si>
    <t xml:space="preserve"> df2b y eşit</t>
  </si>
  <si>
    <t>df2 s ys şit</t>
  </si>
  <si>
    <t>,= sag taraf 2</t>
  </si>
  <si>
    <t>fark</t>
  </si>
  <si>
    <t>f1</t>
  </si>
  <si>
    <t>bulunan ft den f1</t>
  </si>
  <si>
    <t>gt den</t>
  </si>
  <si>
    <t>Xcu</t>
  </si>
  <si>
    <t>grafik için</t>
  </si>
  <si>
    <t>t= 800 ft= 21538.3334781756 ve gt= 38270.9050728003 0.0198 0.994</t>
  </si>
  <si>
    <t>python bulunan</t>
  </si>
  <si>
    <t>TAM SONUÇ ALTTAKİ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</si>
</sst>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"/>
    <numFmt numFmtId="166" formatCode="0.0000"/>
    <numFmt numFmtId="167" formatCode="0.00000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ourier New"/>
      <family val="3"/>
      <charset val="162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theme="8" tint="-0.249977111117893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color theme="5" tint="-0.249977111117893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2" fillId="2" borderId="0" xfId="0" applyNumberFormat="1" applyFont="1" applyFill="1"/>
    <xf numFmtId="2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wrapText="1"/>
    </xf>
    <xf numFmtId="167" fontId="0" fillId="0" borderId="0" xfId="0" applyNumberFormat="1"/>
    <xf numFmtId="0" fontId="1" fillId="0" borderId="0" xfId="0" applyFont="1" applyAlignment="1">
      <alignment horizontal="left" vertical="center"/>
    </xf>
    <xf numFmtId="2" fontId="3" fillId="3" borderId="0" xfId="0" applyNumberFormat="1" applyFont="1" applyFill="1"/>
    <xf numFmtId="2" fontId="4" fillId="4" borderId="0" xfId="0" applyNumberFormat="1" applyFont="1" applyFill="1"/>
    <xf numFmtId="2" fontId="5" fillId="0" borderId="0" xfId="0" applyNumberFormat="1" applyFont="1" applyAlignment="1">
      <alignment horizontal="center"/>
    </xf>
    <xf numFmtId="164" fontId="0" fillId="0" borderId="0" xfId="0" applyNumberFormat="1" applyAlignment="1">
      <alignment wrapText="1"/>
    </xf>
    <xf numFmtId="164" fontId="6" fillId="0" borderId="0" xfId="0" applyNumberFormat="1" applyFont="1" applyAlignment="1">
      <alignment wrapText="1"/>
    </xf>
    <xf numFmtId="2" fontId="6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Sayfa1!$AN$2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522028522629914"/>
                  <c:y val="0.1206418045465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Sayfa1!$AM$3:$AM$6</c:f>
              <c:numCache>
                <c:formatCode>0.00</c:formatCode>
                <c:ptCount val="4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</c:numCache>
            </c:numRef>
          </c:xVal>
          <c:yVal>
            <c:numRef>
              <c:f>Sayfa1!$AN$3:$AN$6</c:f>
              <c:numCache>
                <c:formatCode>General</c:formatCode>
                <c:ptCount val="4"/>
                <c:pt idx="1">
                  <c:v>27110.6556724521</c:v>
                </c:pt>
                <c:pt idx="2">
                  <c:v>26470.540165542199</c:v>
                </c:pt>
                <c:pt idx="3">
                  <c:v>25804.985124374602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E3-44A2-A8EE-2ADBE36F88B0}"/>
            </c:ext>
          </c:extLst>
        </c:ser>
        <c:ser>
          <c:idx val="1"/>
          <c:order val="1"/>
          <c:tx>
            <c:strRef>
              <c:f>Sayfa1!$AO$2</c:f>
              <c:strCache>
                <c:ptCount val="1"/>
                <c:pt idx="0">
                  <c:v>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078887813579615"/>
                  <c:y val="-0.17114237429332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Sayfa1!$AM$3:$AM$6</c:f>
              <c:numCache>
                <c:formatCode>0.00</c:formatCode>
                <c:ptCount val="4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</c:numCache>
            </c:numRef>
          </c:xVal>
          <c:yVal>
            <c:numRef>
              <c:f>Sayfa1!$AO$3:$AO$6</c:f>
              <c:numCache>
                <c:formatCode>0.00</c:formatCode>
                <c:ptCount val="4"/>
                <c:pt idx="1">
                  <c:v>34315.677559968397</c:v>
                </c:pt>
                <c:pt idx="2">
                  <c:v>32135.084635884199</c:v>
                </c:pt>
                <c:pt idx="3">
                  <c:v>29854.8313844691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E3-44A2-A8EE-2ADBE36F8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10720"/>
        <c:axId val="2101004480"/>
      </c:scatterChart>
      <c:valAx>
        <c:axId val="2101010720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04480"/>
        <c:crosses val="autoZero"/>
        <c:crossBetween val="midCat"/>
      </c:valAx>
      <c:valAx>
        <c:axId val="21010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1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790753428548701"/>
          <c:y val="2.3651151108042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709184079262817"/>
                  <c:y val="-0.228142355719830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Sayfa1!$AM$3:$AM$6</c:f>
              <c:numCache>
                <c:formatCode>0.00</c:formatCode>
                <c:ptCount val="4"/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</c:numCache>
            </c:numRef>
          </c:xVal>
          <c:yVal>
            <c:numRef>
              <c:f>Sayfa1!$AO$3:$AO$6</c:f>
              <c:numCache>
                <c:formatCode>0.00</c:formatCode>
                <c:ptCount val="4"/>
                <c:pt idx="1">
                  <c:v>34315.677559968397</c:v>
                </c:pt>
                <c:pt idx="2">
                  <c:v>32135.084635884199</c:v>
                </c:pt>
                <c:pt idx="3">
                  <c:v>29854.8313844691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A-4D7B-9C9D-5FB845C3A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061263"/>
        <c:axId val="1120062095"/>
      </c:scatterChart>
      <c:valAx>
        <c:axId val="112006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062095"/>
        <c:crosses val="autoZero"/>
        <c:crossBetween val="midCat"/>
      </c:valAx>
      <c:valAx>
        <c:axId val="112006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06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Sayfa1!$H$2</c:f>
              <c:strCache>
                <c:ptCount val="1"/>
                <c:pt idx="0">
                  <c:v>f1 a yukarda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Sayfa1!$A$3:$A$27</c:f>
              <c:strCache>
                <c:ptCount val="10"/>
                <c:pt idx="0">
                  <c:v>0,01980</c:v>
                </c:pt>
                <c:pt idx="1">
                  <c:v>1-2a</c:v>
                </c:pt>
                <c:pt idx="2">
                  <c:v>0,96040</c:v>
                </c:pt>
                <c:pt idx="3">
                  <c:v>(1-2a/(1-2b)</c:v>
                </c:pt>
                <c:pt idx="4">
                  <c:v>-0,97206</c:v>
                </c:pt>
                <c:pt idx="5">
                  <c:v>ln(a*(1-b)/(b*(1-a))</c:v>
                </c:pt>
                <c:pt idx="6">
                  <c:v>-9,01205</c:v>
                </c:pt>
                <c:pt idx="7">
                  <c:v>(RT/(1-2b)) *yukardaki</c:v>
                </c:pt>
                <c:pt idx="8">
                  <c:v>60668,99103</c:v>
                </c:pt>
                <c:pt idx="9">
                  <c:v>5 i 6 da yerine koy</c:v>
                </c:pt>
              </c:strCache>
            </c:strRef>
          </c:xVal>
          <c:yVal>
            <c:numRef>
              <c:f>Sayfa1!$H$2:$H$27</c:f>
              <c:numCache>
                <c:formatCode>0.00</c:formatCode>
                <c:ptCount val="26"/>
                <c:pt idx="0">
                  <c:v>0</c:v>
                </c:pt>
                <c:pt idx="1">
                  <c:v>-41505.213365070449</c:v>
                </c:pt>
                <c:pt idx="2">
                  <c:v>-41505.21142427445</c:v>
                </c:pt>
                <c:pt idx="3">
                  <c:v>-41505.209483478451</c:v>
                </c:pt>
                <c:pt idx="4">
                  <c:v>-41505.207542682452</c:v>
                </c:pt>
                <c:pt idx="5">
                  <c:v>-41505.205601886446</c:v>
                </c:pt>
                <c:pt idx="6">
                  <c:v>-41505.203661090447</c:v>
                </c:pt>
                <c:pt idx="7">
                  <c:v>-41505.201720294448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C-4138-86F5-F1B3D0FD89AA}"/>
            </c:ext>
          </c:extLst>
        </c:ser>
        <c:ser>
          <c:idx val="1"/>
          <c:order val="1"/>
          <c:tx>
            <c:strRef>
              <c:f>Sayfa1!$I$2</c:f>
              <c:strCache>
                <c:ptCount val="1"/>
                <c:pt idx="0">
                  <c:v>f2 b yuk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Sayfa1!$A$3:$A$27</c:f>
              <c:strCache>
                <c:ptCount val="10"/>
                <c:pt idx="0">
                  <c:v>0,01980</c:v>
                </c:pt>
                <c:pt idx="1">
                  <c:v>1-2a</c:v>
                </c:pt>
                <c:pt idx="2">
                  <c:v>0,96040</c:v>
                </c:pt>
                <c:pt idx="3">
                  <c:v>(1-2a/(1-2b)</c:v>
                </c:pt>
                <c:pt idx="4">
                  <c:v>-0,97206</c:v>
                </c:pt>
                <c:pt idx="5">
                  <c:v>ln(a*(1-b)/(b*(1-a))</c:v>
                </c:pt>
                <c:pt idx="6">
                  <c:v>-9,01205</c:v>
                </c:pt>
                <c:pt idx="7">
                  <c:v>(RT/(1-2b)) *yukardaki</c:v>
                </c:pt>
                <c:pt idx="8">
                  <c:v>60668,99103</c:v>
                </c:pt>
                <c:pt idx="9">
                  <c:v>5 i 6 da yerine koy</c:v>
                </c:pt>
              </c:strCache>
            </c:strRef>
          </c:xVal>
          <c:yVal>
            <c:numRef>
              <c:f>Sayfa1!$I$2:$I$27</c:f>
              <c:numCache>
                <c:formatCode>0.00</c:formatCode>
                <c:ptCount val="26"/>
                <c:pt idx="0">
                  <c:v>0</c:v>
                </c:pt>
                <c:pt idx="1">
                  <c:v>-33981.599819054536</c:v>
                </c:pt>
                <c:pt idx="2">
                  <c:v>-33981.600398793969</c:v>
                </c:pt>
                <c:pt idx="3">
                  <c:v>-33981.600978533403</c:v>
                </c:pt>
                <c:pt idx="4">
                  <c:v>-33981.601558272836</c:v>
                </c:pt>
                <c:pt idx="5">
                  <c:v>-33981.602138012269</c:v>
                </c:pt>
                <c:pt idx="6">
                  <c:v>-33981.602717751703</c:v>
                </c:pt>
                <c:pt idx="7">
                  <c:v>-33981.603297491136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5C-4138-86F5-F1B3D0FD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541103"/>
        <c:axId val="1181545263"/>
      </c:scatterChart>
      <c:valAx>
        <c:axId val="118154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545263"/>
        <c:crosses val="autoZero"/>
        <c:crossBetween val="midCat"/>
      </c:valAx>
      <c:valAx>
        <c:axId val="11815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54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Sayfa1!$F$2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Sayfa1!$E$3:$E$22</c:f>
              <c:numCache>
                <c:formatCode>0.0000</c:formatCode>
                <c:ptCount val="20"/>
                <c:pt idx="0">
                  <c:v>1E-3</c:v>
                </c:pt>
                <c:pt idx="1">
                  <c:v>5.1000000000000004E-2</c:v>
                </c:pt>
                <c:pt idx="2">
                  <c:v>0.10100000000000001</c:v>
                </c:pt>
                <c:pt idx="3">
                  <c:v>0.15100000000000002</c:v>
                </c:pt>
                <c:pt idx="4">
                  <c:v>0.20100000000000001</c:v>
                </c:pt>
                <c:pt idx="5">
                  <c:v>0.251</c:v>
                </c:pt>
                <c:pt idx="6">
                  <c:v>0.30099999999999999</c:v>
                </c:pt>
                <c:pt idx="7">
                  <c:v>0.35099999999999998</c:v>
                </c:pt>
                <c:pt idx="8">
                  <c:v>0.40099999999999997</c:v>
                </c:pt>
                <c:pt idx="9">
                  <c:v>0.45099999999999996</c:v>
                </c:pt>
                <c:pt idx="10">
                  <c:v>0.501</c:v>
                </c:pt>
                <c:pt idx="11">
                  <c:v>0.55100000000000005</c:v>
                </c:pt>
                <c:pt idx="12">
                  <c:v>0.60100000000000009</c:v>
                </c:pt>
                <c:pt idx="13">
                  <c:v>0.65100000000000013</c:v>
                </c:pt>
                <c:pt idx="14">
                  <c:v>0.70100000000000018</c:v>
                </c:pt>
                <c:pt idx="15">
                  <c:v>0.75100000000000022</c:v>
                </c:pt>
                <c:pt idx="16">
                  <c:v>0.80100000000000027</c:v>
                </c:pt>
                <c:pt idx="17">
                  <c:v>0.85100000000000031</c:v>
                </c:pt>
                <c:pt idx="18">
                  <c:v>0.90100000000000036</c:v>
                </c:pt>
                <c:pt idx="19">
                  <c:v>0.99</c:v>
                </c:pt>
              </c:numCache>
            </c:numRef>
          </c:xVal>
          <c:yVal>
            <c:numRef>
              <c:f>Sayfa1!$F$3:$F$22</c:f>
              <c:numCache>
                <c:formatCode>0.00000</c:formatCode>
                <c:ptCount val="20"/>
                <c:pt idx="0">
                  <c:v>-41553.609501514853</c:v>
                </c:pt>
                <c:pt idx="1">
                  <c:v>-41173.889944345086</c:v>
                </c:pt>
                <c:pt idx="2">
                  <c:v>-40479.327204426721</c:v>
                </c:pt>
                <c:pt idx="3">
                  <c:v>-39729.691935442934</c:v>
                </c:pt>
                <c:pt idx="4">
                  <c:v>-38983.787582840203</c:v>
                </c:pt>
                <c:pt idx="5">
                  <c:v>-38269.010218357223</c:v>
                </c:pt>
                <c:pt idx="6">
                  <c:v>-37600.876816198317</c:v>
                </c:pt>
                <c:pt idx="7">
                  <c:v>-36988.988390299579</c:v>
                </c:pt>
                <c:pt idx="8">
                  <c:v>-36439.471852872302</c:v>
                </c:pt>
                <c:pt idx="9">
                  <c:v>-35956.141934077357</c:v>
                </c:pt>
                <c:pt idx="10">
                  <c:v>-35541.090129055956</c:v>
                </c:pt>
                <c:pt idx="11">
                  <c:v>-35194.967756161139</c:v>
                </c:pt>
                <c:pt idx="12">
                  <c:v>-34917.068641244892</c:v>
                </c:pt>
                <c:pt idx="13">
                  <c:v>-34705.239352969918</c:v>
                </c:pt>
                <c:pt idx="14">
                  <c:v>-34555.586611280494</c:v>
                </c:pt>
                <c:pt idx="15">
                  <c:v>-34461.87214452881</c:v>
                </c:pt>
                <c:pt idx="16">
                  <c:v>-34414.3178541425</c:v>
                </c:pt>
                <c:pt idx="17">
                  <c:v>-34397.084075831743</c:v>
                </c:pt>
                <c:pt idx="18">
                  <c:v>-34382.060445732393</c:v>
                </c:pt>
                <c:pt idx="19">
                  <c:v>-34076.945754805762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3-41BC-99B4-B59C5A00890C}"/>
            </c:ext>
          </c:extLst>
        </c:ser>
        <c:ser>
          <c:idx val="1"/>
          <c:order val="1"/>
          <c:tx>
            <c:strRef>
              <c:f>Sayfa1!$G$2</c:f>
              <c:strCache>
                <c:ptCount val="1"/>
                <c:pt idx="0">
                  <c:v>f2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Sayfa1!$E$3:$E$22</c:f>
              <c:numCache>
                <c:formatCode>0.0000</c:formatCode>
                <c:ptCount val="20"/>
                <c:pt idx="0">
                  <c:v>1E-3</c:v>
                </c:pt>
                <c:pt idx="1">
                  <c:v>5.1000000000000004E-2</c:v>
                </c:pt>
                <c:pt idx="2">
                  <c:v>0.10100000000000001</c:v>
                </c:pt>
                <c:pt idx="3">
                  <c:v>0.15100000000000002</c:v>
                </c:pt>
                <c:pt idx="4">
                  <c:v>0.20100000000000001</c:v>
                </c:pt>
                <c:pt idx="5">
                  <c:v>0.251</c:v>
                </c:pt>
                <c:pt idx="6">
                  <c:v>0.30099999999999999</c:v>
                </c:pt>
                <c:pt idx="7">
                  <c:v>0.35099999999999998</c:v>
                </c:pt>
                <c:pt idx="8">
                  <c:v>0.40099999999999997</c:v>
                </c:pt>
                <c:pt idx="9">
                  <c:v>0.45099999999999996</c:v>
                </c:pt>
                <c:pt idx="10">
                  <c:v>0.501</c:v>
                </c:pt>
                <c:pt idx="11">
                  <c:v>0.55100000000000005</c:v>
                </c:pt>
                <c:pt idx="12">
                  <c:v>0.60100000000000009</c:v>
                </c:pt>
                <c:pt idx="13">
                  <c:v>0.65100000000000013</c:v>
                </c:pt>
                <c:pt idx="14">
                  <c:v>0.70100000000000018</c:v>
                </c:pt>
                <c:pt idx="15">
                  <c:v>0.75100000000000022</c:v>
                </c:pt>
                <c:pt idx="16">
                  <c:v>0.80100000000000027</c:v>
                </c:pt>
                <c:pt idx="17">
                  <c:v>0.85100000000000031</c:v>
                </c:pt>
                <c:pt idx="18">
                  <c:v>0.90100000000000036</c:v>
                </c:pt>
                <c:pt idx="19">
                  <c:v>0.99</c:v>
                </c:pt>
              </c:numCache>
            </c:numRef>
          </c:xVal>
          <c:yVal>
            <c:numRef>
              <c:f>Sayfa1!$G$3:$G$22</c:f>
              <c:numCache>
                <c:formatCode>0.00000</c:formatCode>
                <c:ptCount val="20"/>
                <c:pt idx="0">
                  <c:v>-41546.411576644852</c:v>
                </c:pt>
                <c:pt idx="1">
                  <c:v>-40825.168857475081</c:v>
                </c:pt>
                <c:pt idx="2">
                  <c:v>-39825.108605556721</c:v>
                </c:pt>
                <c:pt idx="3">
                  <c:v>-38806.001474572935</c:v>
                </c:pt>
                <c:pt idx="4">
                  <c:v>-37826.650909970202</c:v>
                </c:pt>
                <c:pt idx="5">
                  <c:v>-36914.452983487223</c:v>
                </c:pt>
                <c:pt idx="6">
                  <c:v>-36084.92466932832</c:v>
                </c:pt>
                <c:pt idx="7">
                  <c:v>-35347.666981429575</c:v>
                </c:pt>
                <c:pt idx="8">
                  <c:v>-34708.806832002301</c:v>
                </c:pt>
                <c:pt idx="9">
                  <c:v>-34172.158951207362</c:v>
                </c:pt>
                <c:pt idx="10">
                  <c:v>-33739.814834185956</c:v>
                </c:pt>
                <c:pt idx="11">
                  <c:v>-33412.425799291137</c:v>
                </c:pt>
                <c:pt idx="12">
                  <c:v>-33189.285672374892</c:v>
                </c:pt>
                <c:pt idx="13">
                  <c:v>-33068.241022099915</c:v>
                </c:pt>
                <c:pt idx="14">
                  <c:v>-33045.398568410492</c:v>
                </c:pt>
                <c:pt idx="15">
                  <c:v>-33114.520039658812</c:v>
                </c:pt>
                <c:pt idx="16">
                  <c:v>-33265.827337272502</c:v>
                </c:pt>
                <c:pt idx="17">
                  <c:v>-33483.480796961747</c:v>
                </c:pt>
                <c:pt idx="18">
                  <c:v>-33739.370054862397</c:v>
                </c:pt>
                <c:pt idx="19">
                  <c:v>-34005.614967805763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3-41BC-99B4-B59C5A008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67888"/>
        <c:axId val="408562896"/>
      </c:scatterChart>
      <c:valAx>
        <c:axId val="4085678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62896"/>
        <c:crosses val="autoZero"/>
        <c:crossBetween val="midCat"/>
      </c:valAx>
      <c:valAx>
        <c:axId val="408562896"/>
        <c:scaling>
          <c:orientation val="minMax"/>
          <c:max val="-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390526</xdr:colOff>
      <xdr:row>16</xdr:row>
      <xdr:rowOff>85726</xdr:rowOff>
    </xdr:from>
    <xdr:to>
      <xdr:col>35</xdr:col>
      <xdr:colOff>57151</xdr:colOff>
      <xdr:row>28</xdr:row>
      <xdr:rowOff>4762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438150</xdr:colOff>
      <xdr:row>10</xdr:row>
      <xdr:rowOff>19050</xdr:rowOff>
    </xdr:from>
    <xdr:to>
      <xdr:col>39</xdr:col>
      <xdr:colOff>542924</xdr:colOff>
      <xdr:row>21</xdr:row>
      <xdr:rowOff>71437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209551</xdr:colOff>
      <xdr:row>5</xdr:row>
      <xdr:rowOff>176211</xdr:rowOff>
    </xdr:from>
    <xdr:to>
      <xdr:col>35</xdr:col>
      <xdr:colOff>542926</xdr:colOff>
      <xdr:row>14</xdr:row>
      <xdr:rowOff>123824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105171</xdr:colOff>
      <xdr:row>4</xdr:row>
      <xdr:rowOff>109142</xdr:rowOff>
    </xdr:from>
    <xdr:to>
      <xdr:col>8</xdr:col>
      <xdr:colOff>529828</xdr:colOff>
      <xdr:row>20</xdr:row>
      <xdr:rowOff>156171</xdr:rowOff>
    </xdr:to>
    <xdr:graphicFrame macro="">
      <xdr:nvGraphicFramePr>
        <xdr:cNvPr id="5" name="Grafi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Z1" zoomScale="91" zoomScaleNormal="91" workbookViewId="0">
      <selection activeCell="AO6" sqref="AO6"/>
    </sheetView>
  </sheetViews>
  <sheetFormatPr defaultRowHeight="15" x14ac:dyDescent="0.25"/>
  <cols>
    <col min="1" max="1" width="15.5703125" style="4" customWidth="1"/>
    <col min="2" max="2" width="13" style="4" customWidth="1"/>
    <col min="3" max="3" width="12.28515625" style="1" bestFit="1" customWidth="1"/>
    <col min="4" max="4" width="11.28515625" style="1" bestFit="1" customWidth="1"/>
    <col min="5" max="5" width="11.28515625" style="1" customWidth="1"/>
    <col min="6" max="6" width="26.42578125" style="1" customWidth="1"/>
    <col min="7" max="7" width="23.28515625" style="1" customWidth="1"/>
    <col min="8" max="8" width="12.42578125" style="1" customWidth="1"/>
    <col min="9" max="9" width="14" style="1" customWidth="1"/>
    <col min="10" max="10" width="12.42578125" style="1" customWidth="1"/>
    <col min="11" max="14" width="11.7109375" style="1" customWidth="1"/>
    <col min="15" max="15" width="11.5703125" style="1" bestFit="1" customWidth="1"/>
    <col min="16" max="16" width="11.5703125" style="1" customWidth="1"/>
    <col min="17" max="17" width="15.7109375" style="1" customWidth="1"/>
    <col min="18" max="18" width="14.85546875" style="1" customWidth="1"/>
    <col min="19" max="19" width="2.42578125" style="1" customWidth="1"/>
    <col min="20" max="20" width="3.140625" style="1" customWidth="1"/>
    <col min="21" max="21" width="12.28515625" style="1" customWidth="1"/>
    <col min="22" max="22" width="12.28515625" style="1" bestFit="1" customWidth="1"/>
    <col min="23" max="23" width="26.42578125" style="1" customWidth="1"/>
    <col min="24" max="24" width="29" style="1" customWidth="1"/>
    <col min="25" max="25" width="25.28515625" style="6" customWidth="1"/>
    <col min="26" max="26" width="11.28515625" style="6" customWidth="1"/>
    <col min="27" max="27" width="10.85546875" style="6" customWidth="1"/>
    <col min="28" max="28" width="11.42578125" customWidth="1"/>
    <col min="29" max="29" width="12.7109375" style="6" customWidth="1"/>
    <col min="30" max="30" width="12.5703125" style="1" customWidth="1"/>
    <col min="31" max="31" width="11.28515625" style="1" customWidth="1"/>
    <col min="32" max="32" width="12.28515625" style="1" customWidth="1"/>
    <col min="33" max="33" width="17.42578125" style="1" customWidth="1"/>
    <col min="34" max="34" width="11" style="1" customWidth="1"/>
    <col min="35" max="35" width="4.85546875" style="1" customWidth="1"/>
    <col min="36" max="37" width="9.140625" style="1"/>
    <col min="38" max="38" width="8.140625" style="1" customWidth="1"/>
    <col min="39" max="39" width="13" style="1" customWidth="1"/>
    <col min="40" max="40" width="12.140625" style="1" customWidth="1"/>
    <col min="41" max="41" width="12.7109375" style="1" customWidth="1"/>
    <col min="42" max="16384" width="9.140625" style="1"/>
  </cols>
  <sheetData>
    <row r="1" spans="1:42" x14ac:dyDescent="0.25">
      <c r="A1" s="4">
        <v>800</v>
      </c>
      <c r="C1" s="15" t="s">
        <v>49</v>
      </c>
      <c r="D1" s="15" t="s">
        <v>50</v>
      </c>
      <c r="E1" s="1" t="s">
        <v>67</v>
      </c>
      <c r="F1" s="1" t="s">
        <v>64</v>
      </c>
      <c r="G1" s="1" t="s">
        <v>65</v>
      </c>
      <c r="J1" s="1" t="s">
        <v>0</v>
      </c>
      <c r="K1" s="1" t="s">
        <v>1</v>
      </c>
      <c r="L1" s="1" t="s">
        <v>55</v>
      </c>
      <c r="M1" s="1" t="s">
        <v>59</v>
      </c>
      <c r="N1" s="1" t="s">
        <v>60</v>
      </c>
      <c r="O1" s="1" t="s">
        <v>6</v>
      </c>
      <c r="P1" s="1" t="s">
        <v>62</v>
      </c>
      <c r="U1" s="1" t="s">
        <v>11</v>
      </c>
      <c r="W1" s="4" t="s">
        <v>16</v>
      </c>
      <c r="X1" s="4" t="s">
        <v>22</v>
      </c>
      <c r="Y1" s="6" t="s">
        <v>14</v>
      </c>
      <c r="AC1" s="6" t="s">
        <v>17</v>
      </c>
      <c r="AD1" s="1" t="s">
        <v>21</v>
      </c>
      <c r="AP1" s="1" t="s">
        <v>46</v>
      </c>
    </row>
    <row r="2" spans="1:42" x14ac:dyDescent="0.25">
      <c r="A2" s="4" t="s">
        <v>48</v>
      </c>
      <c r="B2" s="4" t="s">
        <v>47</v>
      </c>
      <c r="C2" s="1">
        <f>A$1</f>
        <v>800</v>
      </c>
      <c r="D2" s="1">
        <f>A$1</f>
        <v>800</v>
      </c>
      <c r="E2" s="1" t="s">
        <v>66</v>
      </c>
      <c r="F2" s="1" t="s">
        <v>63</v>
      </c>
      <c r="G2" s="1" t="s">
        <v>34</v>
      </c>
      <c r="H2" s="1" t="s">
        <v>4</v>
      </c>
      <c r="I2" s="1" t="s">
        <v>5</v>
      </c>
      <c r="J2" s="1" t="s">
        <v>56</v>
      </c>
      <c r="K2" s="1" t="s">
        <v>70</v>
      </c>
      <c r="L2" s="1" t="s">
        <v>57</v>
      </c>
      <c r="M2" s="1" t="s">
        <v>58</v>
      </c>
      <c r="N2" s="1" t="s">
        <v>61</v>
      </c>
      <c r="Q2" s="1" t="s">
        <v>7</v>
      </c>
      <c r="R2" s="1" t="s">
        <v>8</v>
      </c>
      <c r="U2" s="1" t="s">
        <v>12</v>
      </c>
      <c r="V2" s="1" t="s">
        <v>13</v>
      </c>
      <c r="W2" s="4" t="s">
        <v>23</v>
      </c>
      <c r="X2" s="4"/>
      <c r="Y2" s="6" t="s">
        <v>19</v>
      </c>
      <c r="Z2" s="6" t="s">
        <v>20</v>
      </c>
      <c r="AA2" s="6" t="s">
        <v>0</v>
      </c>
      <c r="AB2" s="6" t="s">
        <v>1</v>
      </c>
      <c r="AC2" s="6" t="s">
        <v>15</v>
      </c>
      <c r="AD2" s="6" t="s">
        <v>18</v>
      </c>
      <c r="AE2" s="6"/>
      <c r="AF2" s="1" t="s">
        <v>9</v>
      </c>
      <c r="AG2" s="1" t="s">
        <v>10</v>
      </c>
      <c r="AM2" s="1" t="s">
        <v>2</v>
      </c>
      <c r="AN2" s="1" t="s">
        <v>0</v>
      </c>
      <c r="AO2" s="1" t="s">
        <v>1</v>
      </c>
      <c r="AP2" s="1" t="s">
        <v>3</v>
      </c>
    </row>
    <row r="3" spans="1:42" x14ac:dyDescent="0.25">
      <c r="A3" s="4">
        <v>1.9800000000000002E-2</v>
      </c>
      <c r="B3" s="4">
        <v>0.99399999999999999</v>
      </c>
      <c r="C3" s="1">
        <f>-7209.512+118.202013*C$2-23.8463314*C$2*LN(C$2)-(1.790585*10^-3)*C$2^2-(0.398587*10^-6)*C$2^3-12011*(C$2^-1)</f>
        <v>-41535.739524636752</v>
      </c>
      <c r="D3" s="3">
        <f>-7770.458+130.485235*D$2-24.112392*D$2*LN(D$2)-(2.65684*10^-3)*D$2^2+(0.129223*10^-6)*D$2^3+52478*(D$2^-1)</f>
        <v>-33896.47060026104</v>
      </c>
      <c r="E3" s="10">
        <v>1E-3</v>
      </c>
      <c r="F3" s="16">
        <f>E3*D$3+(1-E3)*C$3+8.314*A$1*((E3*LN(E3))+((1-E3)*(LN(1-E3))))+27110.6*(E3*(1-E3))</f>
        <v>-41553.609501514853</v>
      </c>
      <c r="G3" s="16">
        <f>E3*D$3+(1-E3)*C$3+8.314*A$1*((E3*LN(E3))+((1-E3)*(LN(1-E3))))+34315.73*(E3*(1-E3))</f>
        <v>-41546.411576644852</v>
      </c>
      <c r="H3" s="1">
        <f>8.314*A$1*(((1-A$3)*LN(1-A$3))+(A$3*LN(A$3)))+(1-A$3)*C3+A$3*D3+J3*A$3*(1-A$3)</f>
        <v>-41505.213365070449</v>
      </c>
      <c r="I3" s="1">
        <f>8.314*A$1*(((1-B$3)*LN(1-B$3))+(B$3*LN(B$3)))+(1-B$3)*C3+B$3*D3+K3*B$3*(1-B$3)</f>
        <v>-33981.599819054536</v>
      </c>
      <c r="J3" s="18">
        <v>27110.6556724521</v>
      </c>
      <c r="K3" s="18">
        <f t="shared" ref="K3:K9" si="0">A$11+(J3*A$7)</f>
        <v>34315.677559968375</v>
      </c>
      <c r="L3" s="1">
        <f>(I3-H3)/(B$3-A$3)</f>
        <v>7722.8634223115514</v>
      </c>
      <c r="M3" s="1">
        <f>D3-C3+8.314*A$1*LN((B$3/(1-B$3)))+K3*(1-2*B$3)</f>
        <v>7722.863422311515</v>
      </c>
      <c r="N3" s="1">
        <f>D3-C3+8.314*A$1*LN((A$3/(1-A$3)))+J3*(1-2*A$3)</f>
        <v>7722.863422311515</v>
      </c>
      <c r="O3" s="13">
        <f t="shared" ref="O3:O9" si="1">(((A$3-B$3)*(C$3-D$3))+8.314*C$2*((LN(((B$3/(1-B$3))^B$3)/((A$3/(1-A$3))^A$3)))+LN((1-B$3)/(1-A$3)))+K3*B$3-J3*A$3+K3*B$3*B$3-J3*A$3*A$3)/(B$3-A$3)</f>
        <v>77307.130168751886</v>
      </c>
      <c r="P3" s="13">
        <f>L3-M3</f>
        <v>3.637978807091713E-11</v>
      </c>
      <c r="Q3" s="1">
        <f>D$3-C$3+8.314*C$2*LN((A$3/(1-A$3)))+J3*(1-2*A$3)</f>
        <v>7722.863422311515</v>
      </c>
      <c r="R3" s="1">
        <f>D$3-C$3+8.314*C$2*LN((B$3/(1-B$3)))+K3*(1--2*B$3)</f>
        <v>144161.99740074578</v>
      </c>
      <c r="U3" s="7">
        <f t="shared" ref="U3:U27" si="2">(8.314*C$2*(((1-A$3)*LN(1-A$3))+(A$3*LN(A$3)))+(1-A$3)*C3+A$3*D3)/(A$3*(1-A$3))</f>
        <v>-2165677.1698795324</v>
      </c>
      <c r="V3" s="7">
        <f t="shared" ref="V3:V27" si="3">(8.314*C$2*(((1-B$3)*LN(1-B$3))+(B$3*LN(B$3)))+(1-B$3)*C3+B$3*D3)/(B$3*(1-B$3))</f>
        <v>-5732102.3675422799</v>
      </c>
      <c r="W3" s="4">
        <v>-21666666</v>
      </c>
      <c r="X3" s="4" t="e">
        <f>AD3</f>
        <v>#REF!</v>
      </c>
      <c r="Y3" s="8">
        <f t="shared" ref="Y3:Y9" si="4">Q3/((1-B$3)*B$3)</f>
        <v>1294913.3840227211</v>
      </c>
      <c r="Z3" s="8">
        <f t="shared" ref="Z3:Z9" si="5">-R3/((1-A$3)*A$3)</f>
        <v>-7427983.023498903</v>
      </c>
      <c r="AA3" s="8" t="e">
        <f>Y3+#REF!*((A$3*(1-A$3))/(B$3*(1-B$3)))</f>
        <v>#REF!</v>
      </c>
      <c r="AB3" s="8" t="e">
        <f t="shared" ref="AB3:AB9" si="6">Z3+AC3*((B$3*(1-B$3))/(A$3*(1-A$3)))</f>
        <v>#REF!</v>
      </c>
      <c r="AC3" s="8" t="e">
        <f t="shared" ref="AC3:AC9" si="7">AA3-(1/((B$3-A$3)*(B$3*(1-B$3))))*(((A$3-B$3)*(C3-D3))+(8.314*C$2*((LN(((B$3/(1-B$3))^B$3)/((A$3/(1-A$3))^A$3)))+LN((1-B$3)/(1-A$3)))))</f>
        <v>#REF!</v>
      </c>
      <c r="AD3" s="7" t="e">
        <f t="shared" ref="AD3:AD9" si="8">AB3+(1/((B$3-A$3)*(A$3*(1-A$3))))*(((A$3-B$3)*(C3-D3))+(8.314*C$2*((LN(((B$3/(1-B$3))^B$3)/((A$3/(1-A$3))^A$3)))+LN((1-B$3)/(1-A$3)))))</f>
        <v>#REF!</v>
      </c>
      <c r="AE3" s="7"/>
      <c r="AF3" s="7">
        <f>8.314*C$2*(((1-A$3)*LN(1-A$3))+(A$3*LN(A$3)))+(1-A$3)*C3+A$3*D3+J3*A$3*(1-A$3)</f>
        <v>-41505.213365070449</v>
      </c>
      <c r="AG3" s="1">
        <f>8.314*C$2*(((1-B$3)*LN(1-B$3))+(B$3*LN(B$3)))+(1-B$3)*C3+B$3*D3+K3*B$3*(1-B$3)</f>
        <v>-33981.599819054536</v>
      </c>
      <c r="AH3" s="5">
        <f>(AG3-AF3)/(B$3-A$3)</f>
        <v>7722.8634223115514</v>
      </c>
      <c r="AM3" s="2"/>
      <c r="AN3" s="2"/>
      <c r="AO3" s="2"/>
      <c r="AP3" s="1" t="s">
        <v>45</v>
      </c>
    </row>
    <row r="4" spans="1:42" x14ac:dyDescent="0.25">
      <c r="A4" s="4" t="s">
        <v>39</v>
      </c>
      <c r="B4" s="4" t="s">
        <v>40</v>
      </c>
      <c r="C4" s="1">
        <f t="shared" ref="C4:C30" si="9">-7209.512+118.202013*C$2-23.8463314*C$2*LN(C$2)-(1.790585*10^-3)*C$2^2-(0.398587*10^-6)*C$2^3-12011*(C$2^-1)</f>
        <v>-41535.739524636752</v>
      </c>
      <c r="D4" s="3">
        <f t="shared" ref="D4:D30" si="10">-7770.458+130.485235*D$2-24.112392*D$2*LN(D$2)-(2.65684*10^-3)*D$2^2+(0.129223*10^-6)*D$2^3+52478*(D$2^-1)</f>
        <v>-33896.47060026104</v>
      </c>
      <c r="E4" s="10">
        <f>0.05+E3</f>
        <v>5.1000000000000004E-2</v>
      </c>
      <c r="F4" s="16">
        <f t="shared" ref="F4:F22" si="11">E4*D$3+(1-E4)*C$3+8.314*A$1*((E4*LN(E4))+((1-E4)*(LN(1-E4))))+27110.6*(E4*(1-E4))</f>
        <v>-41173.889944345086</v>
      </c>
      <c r="G4" s="16">
        <f t="shared" ref="G4:G22" si="12">E4*D$3+(1-E4)*C$3+8.314*A$1*((E4*LN(E4))+((1-E4)*(LN(1-E4))))+34315.73*(E4*(1-E4))</f>
        <v>-40825.168857475081</v>
      </c>
      <c r="H4" s="1">
        <f>8.314*A$1*(((1-A$3)*LN(1-A$3))+(A$3*LN(A$3)))+(1-A$3)*C4+A$3*D4+J4*A$3*(1-A$3)</f>
        <v>-41505.21142427445</v>
      </c>
      <c r="I4" s="1">
        <f>8.314*A$1*(((1-B$3)*LN(1-B$3))+(B$3*LN(B$3)))+(1-B$3)*C4+B$3*D4+K4*B$3*(1-B$3)</f>
        <v>-33981.600398793969</v>
      </c>
      <c r="J4" s="13">
        <f>J3+0.1</f>
        <v>27110.755672452098</v>
      </c>
      <c r="K4" s="13">
        <f t="shared" si="0"/>
        <v>34315.580353490644</v>
      </c>
      <c r="L4" s="14">
        <f>(I4-H4)/(B$3-A$3)</f>
        <v>7722.8608350241029</v>
      </c>
      <c r="M4" s="14">
        <f t="shared" ref="M4:M9" si="13">D4-C4+8.314*A$1*LN((B$3/(1-B$3)))+K4*(1-2*B$3)</f>
        <v>7722.9594623115117</v>
      </c>
      <c r="N4" s="14">
        <f t="shared" ref="N4:N9" si="14">D4-C4+8.314*A$1*LN((A$3/(1-A$3)))+J4*(1-2*A$3)</f>
        <v>7722.9594623115117</v>
      </c>
      <c r="O4" s="14">
        <f t="shared" si="1"/>
        <v>77306.93032688956</v>
      </c>
      <c r="P4" s="13">
        <f t="shared" ref="P4:P9" si="15">L4-M4</f>
        <v>-9.862728740881721E-2</v>
      </c>
      <c r="Q4" s="1">
        <f t="shared" ref="Q4:Q9" si="16">D$3-C$3+8.314*C$2*LN((A$3/(1-A$3)))+J4*(1-2*A$3)</f>
        <v>7722.9594623115117</v>
      </c>
      <c r="R4" s="1">
        <f t="shared" ref="R4:R9" si="17">D$3-C$3+8.314*C$2*LN((B$3/(1-B$3)))+K4*(1--2*B$3)</f>
        <v>144161.70694779031</v>
      </c>
      <c r="U4" s="1">
        <f t="shared" si="2"/>
        <v>-2165677.1698795324</v>
      </c>
      <c r="V4" s="1">
        <f t="shared" si="3"/>
        <v>-5732102.3675422799</v>
      </c>
      <c r="W4" s="1" t="e">
        <f>AD3</f>
        <v>#REF!</v>
      </c>
      <c r="X4" s="4" t="e">
        <f>AD4</f>
        <v>#VALUE!</v>
      </c>
      <c r="Y4" s="8">
        <f t="shared" si="4"/>
        <v>1294929.4873091055</v>
      </c>
      <c r="Z4" s="8">
        <f t="shared" si="5"/>
        <v>-7427968.0578376241</v>
      </c>
      <c r="AA4" s="8" t="e">
        <f t="shared" ref="AA4:AA9" si="18">Y4+A4*((A$3*(1-A$3))/(B$3*(1-B$3)))</f>
        <v>#VALUE!</v>
      </c>
      <c r="AB4" s="8" t="e">
        <f t="shared" si="6"/>
        <v>#VALUE!</v>
      </c>
      <c r="AC4" s="8" t="e">
        <f t="shared" si="7"/>
        <v>#VALUE!</v>
      </c>
      <c r="AD4" s="7" t="e">
        <f t="shared" si="8"/>
        <v>#VALUE!</v>
      </c>
      <c r="AM4" s="1">
        <v>800</v>
      </c>
      <c r="AN4" s="12">
        <v>27110.6556724521</v>
      </c>
      <c r="AO4" s="1">
        <v>34315.677559968397</v>
      </c>
    </row>
    <row r="5" spans="1:42" x14ac:dyDescent="0.25">
      <c r="A5" s="4">
        <f>1-2*A$3</f>
        <v>0.96040000000000003</v>
      </c>
      <c r="B5" s="4">
        <f>1-2*B$3</f>
        <v>-0.98799999999999999</v>
      </c>
      <c r="C5" s="1">
        <f t="shared" si="9"/>
        <v>-41535.739524636752</v>
      </c>
      <c r="D5" s="3">
        <f t="shared" si="10"/>
        <v>-33896.47060026104</v>
      </c>
      <c r="E5" s="10">
        <f t="shared" ref="E5:E6" si="19">0.05+E4</f>
        <v>0.10100000000000001</v>
      </c>
      <c r="F5" s="16">
        <f t="shared" si="11"/>
        <v>-40479.327204426721</v>
      </c>
      <c r="G5" s="16">
        <f t="shared" si="12"/>
        <v>-39825.108605556721</v>
      </c>
      <c r="H5" s="1">
        <f>8.314*A$1*(((1-A$3)*LN(1-A$3))+(A$3*LN(A$3)))+(1-A$3)*C5+A$3*D5+J5*A$3*(1-A$3)</f>
        <v>-41505.209483478451</v>
      </c>
      <c r="I5" s="1">
        <f>8.314*A$1*(((1-B$3)*LN(1-B$3))+(B$3*LN(B$3)))+(1-B$3)*C5+B$3*D5+K5*B$3*(1-B$3)</f>
        <v>-33981.600978533403</v>
      </c>
      <c r="J5" s="13">
        <f t="shared" ref="J5:J9" si="20">J4+0.1</f>
        <v>27110.855672452097</v>
      </c>
      <c r="K5" s="1">
        <f t="shared" si="0"/>
        <v>34315.483147012914</v>
      </c>
      <c r="L5" s="1">
        <f t="shared" ref="L5:L9" si="21">(I5-H5)/(B$3-A$3)</f>
        <v>7722.8582477366544</v>
      </c>
      <c r="M5" s="1">
        <f t="shared" si="13"/>
        <v>7723.0555023115085</v>
      </c>
      <c r="N5" s="1">
        <f t="shared" si="14"/>
        <v>7723.0555023115121</v>
      </c>
      <c r="O5" s="13">
        <f t="shared" si="1"/>
        <v>77306.730485027205</v>
      </c>
      <c r="P5" s="13">
        <f t="shared" si="15"/>
        <v>-0.19725457485401421</v>
      </c>
      <c r="Q5" s="1">
        <f t="shared" si="16"/>
        <v>7723.0555023115121</v>
      </c>
      <c r="R5" s="1">
        <f t="shared" si="17"/>
        <v>144161.41649483485</v>
      </c>
      <c r="U5" s="1">
        <f t="shared" si="2"/>
        <v>-2165677.1698795324</v>
      </c>
      <c r="V5" s="1">
        <f t="shared" si="3"/>
        <v>-5732102.3675422799</v>
      </c>
      <c r="W5" s="1" t="e">
        <f t="shared" ref="W5:W10" si="22">AD4</f>
        <v>#VALUE!</v>
      </c>
      <c r="X5" s="4">
        <f t="shared" ref="X5:X9" si="23">AD5</f>
        <v>-7030019.7626704993</v>
      </c>
      <c r="Y5" s="8">
        <f t="shared" si="4"/>
        <v>1294945.5905954905</v>
      </c>
      <c r="Z5" s="8">
        <f t="shared" si="5"/>
        <v>-7427953.0921763461</v>
      </c>
      <c r="AA5" s="8">
        <f t="shared" si="18"/>
        <v>1294948.7159148708</v>
      </c>
      <c r="AB5" s="8">
        <f t="shared" si="6"/>
        <v>-7444946.5099503649</v>
      </c>
      <c r="AC5" s="8">
        <f t="shared" si="7"/>
        <v>-55299.72709950502</v>
      </c>
      <c r="AD5" s="7">
        <f t="shared" si="8"/>
        <v>-7030019.7626704993</v>
      </c>
      <c r="AM5" s="1">
        <v>900</v>
      </c>
      <c r="AN5" s="12">
        <v>26470.540165542199</v>
      </c>
      <c r="AO5" s="1">
        <v>32135.084635884199</v>
      </c>
    </row>
    <row r="6" spans="1:42" x14ac:dyDescent="0.25">
      <c r="A6" s="4" t="s">
        <v>51</v>
      </c>
      <c r="C6" s="1">
        <f t="shared" si="9"/>
        <v>-41535.739524636752</v>
      </c>
      <c r="D6" s="3">
        <f t="shared" si="10"/>
        <v>-33896.47060026104</v>
      </c>
      <c r="E6" s="10">
        <f t="shared" si="19"/>
        <v>0.15100000000000002</v>
      </c>
      <c r="F6" s="16">
        <f t="shared" si="11"/>
        <v>-39729.691935442934</v>
      </c>
      <c r="G6" s="16">
        <f t="shared" si="12"/>
        <v>-38806.001474572935</v>
      </c>
      <c r="H6" s="1">
        <f t="shared" ref="H6:H9" si="24">8.314*A$1*(((1-A$3)*LN(1-A$3))+(A$3*LN(A$3)))+(1-A$3)*C6+A$3*D6+J6*A$3*(1-A$3)</f>
        <v>-41505.207542682452</v>
      </c>
      <c r="I6" s="1">
        <f t="shared" ref="I6:I9" si="25">8.314*A$1*(((1-B$3)*LN(1-B$3))+(B$3*LN(B$3)))+(1-B$3)*C6+B$3*D6+K6*B$3*(1-B$3)</f>
        <v>-33981.601558272836</v>
      </c>
      <c r="J6" s="13">
        <f t="shared" si="20"/>
        <v>27110.955672452095</v>
      </c>
      <c r="K6" s="1">
        <f t="shared" si="0"/>
        <v>34315.385940535183</v>
      </c>
      <c r="L6" s="1">
        <f t="shared" si="21"/>
        <v>7722.855660449206</v>
      </c>
      <c r="M6" s="1">
        <f t="shared" si="13"/>
        <v>7723.1515423115052</v>
      </c>
      <c r="N6" s="1">
        <f t="shared" si="14"/>
        <v>7723.1515423115088</v>
      </c>
      <c r="O6" s="13">
        <f t="shared" si="1"/>
        <v>77306.53064316485</v>
      </c>
      <c r="P6" s="13">
        <f t="shared" si="15"/>
        <v>-0.29588186229921121</v>
      </c>
      <c r="Q6" s="1">
        <f t="shared" si="16"/>
        <v>7723.1515423115088</v>
      </c>
      <c r="R6" s="1">
        <f t="shared" si="17"/>
        <v>144161.12604187938</v>
      </c>
      <c r="U6" s="1">
        <f t="shared" si="2"/>
        <v>-2165677.1698795324</v>
      </c>
      <c r="V6" s="1">
        <f t="shared" si="3"/>
        <v>-5732102.3675422799</v>
      </c>
      <c r="W6" s="1">
        <f t="shared" si="22"/>
        <v>-7030019.7626704993</v>
      </c>
      <c r="X6" s="4" t="e">
        <f t="shared" si="23"/>
        <v>#VALUE!</v>
      </c>
      <c r="Y6" s="8">
        <f t="shared" si="4"/>
        <v>1294961.6938818749</v>
      </c>
      <c r="Z6" s="8">
        <f t="shared" si="5"/>
        <v>-7427938.1265150672</v>
      </c>
      <c r="AA6" s="8" t="e">
        <f t="shared" si="18"/>
        <v>#VALUE!</v>
      </c>
      <c r="AB6" s="8" t="e">
        <f t="shared" si="6"/>
        <v>#VALUE!</v>
      </c>
      <c r="AC6" s="8" t="e">
        <f t="shared" si="7"/>
        <v>#VALUE!</v>
      </c>
      <c r="AD6" s="7" t="e">
        <f t="shared" si="8"/>
        <v>#VALUE!</v>
      </c>
      <c r="AM6" s="1">
        <v>1000</v>
      </c>
      <c r="AN6" s="12">
        <v>25804.985124374602</v>
      </c>
      <c r="AO6" s="1">
        <v>29854.8313844691</v>
      </c>
    </row>
    <row r="7" spans="1:42" x14ac:dyDescent="0.25">
      <c r="A7" s="4">
        <f>A5/B5</f>
        <v>-0.97206477732793528</v>
      </c>
      <c r="C7" s="1">
        <f t="shared" si="9"/>
        <v>-41535.739524636752</v>
      </c>
      <c r="D7" s="3">
        <f t="shared" si="10"/>
        <v>-33896.47060026104</v>
      </c>
      <c r="E7" s="10">
        <f t="shared" ref="E7:E14" si="26">0.05+E6</f>
        <v>0.20100000000000001</v>
      </c>
      <c r="F7" s="16">
        <f t="shared" si="11"/>
        <v>-38983.787582840203</v>
      </c>
      <c r="G7" s="16">
        <f t="shared" si="12"/>
        <v>-37826.650909970202</v>
      </c>
      <c r="H7" s="1">
        <f t="shared" si="24"/>
        <v>-41505.205601886446</v>
      </c>
      <c r="I7" s="1">
        <f t="shared" si="25"/>
        <v>-33981.602138012269</v>
      </c>
      <c r="J7" s="13">
        <f t="shared" si="20"/>
        <v>27111.055672452094</v>
      </c>
      <c r="K7" s="1">
        <f t="shared" si="0"/>
        <v>34315.288734057453</v>
      </c>
      <c r="L7" s="1">
        <f t="shared" si="21"/>
        <v>7722.8530731617502</v>
      </c>
      <c r="M7" s="1">
        <f t="shared" si="13"/>
        <v>7723.2475823115019</v>
      </c>
      <c r="N7" s="1">
        <f t="shared" si="14"/>
        <v>7723.2475823115092</v>
      </c>
      <c r="O7" s="13">
        <f t="shared" si="1"/>
        <v>77306.330801302523</v>
      </c>
      <c r="P7" s="13">
        <f t="shared" si="15"/>
        <v>-0.39450914975168416</v>
      </c>
      <c r="Q7" s="1">
        <f t="shared" si="16"/>
        <v>7723.2475823115092</v>
      </c>
      <c r="R7" s="1">
        <f t="shared" si="17"/>
        <v>144160.83558892395</v>
      </c>
      <c r="U7" s="1">
        <f t="shared" si="2"/>
        <v>-2165677.1698795324</v>
      </c>
      <c r="V7" s="1">
        <f t="shared" si="3"/>
        <v>-5732102.3675422799</v>
      </c>
      <c r="W7" s="1" t="e">
        <f t="shared" si="22"/>
        <v>#VALUE!</v>
      </c>
      <c r="X7" s="4">
        <f t="shared" si="23"/>
        <v>-7029981.8668426117</v>
      </c>
      <c r="Y7" s="8">
        <f t="shared" si="4"/>
        <v>1294977.79716826</v>
      </c>
      <c r="Z7" s="8">
        <f t="shared" si="5"/>
        <v>-7427923.1608537901</v>
      </c>
      <c r="AA7" s="8">
        <f t="shared" si="18"/>
        <v>1294974.633889535</v>
      </c>
      <c r="AB7" s="8">
        <f t="shared" si="6"/>
        <v>-7444908.6141224774</v>
      </c>
      <c r="AC7" s="8">
        <f t="shared" si="7"/>
        <v>-55273.809124840889</v>
      </c>
      <c r="AD7" s="7">
        <f t="shared" si="8"/>
        <v>-7029981.8668426117</v>
      </c>
      <c r="AM7" s="12"/>
    </row>
    <row r="8" spans="1:42" x14ac:dyDescent="0.25">
      <c r="A8" s="4" t="s">
        <v>52</v>
      </c>
      <c r="C8" s="1">
        <f t="shared" si="9"/>
        <v>-41535.739524636752</v>
      </c>
      <c r="D8" s="3">
        <f t="shared" si="10"/>
        <v>-33896.47060026104</v>
      </c>
      <c r="E8" s="10">
        <f t="shared" si="26"/>
        <v>0.251</v>
      </c>
      <c r="F8" s="16">
        <f t="shared" si="11"/>
        <v>-38269.010218357223</v>
      </c>
      <c r="G8" s="16">
        <f t="shared" si="12"/>
        <v>-36914.452983487223</v>
      </c>
      <c r="H8" s="1">
        <f t="shared" si="24"/>
        <v>-41505.203661090447</v>
      </c>
      <c r="I8" s="1">
        <f t="shared" si="25"/>
        <v>-33981.602717751703</v>
      </c>
      <c r="J8" s="13">
        <f t="shared" si="20"/>
        <v>27111.155672452092</v>
      </c>
      <c r="K8" s="1">
        <f t="shared" si="0"/>
        <v>34315.191527579722</v>
      </c>
      <c r="L8" s="1">
        <f t="shared" si="21"/>
        <v>7722.8504858743017</v>
      </c>
      <c r="M8" s="1">
        <f t="shared" si="13"/>
        <v>7723.3436223115059</v>
      </c>
      <c r="N8" s="1">
        <f t="shared" si="14"/>
        <v>7723.3436223115095</v>
      </c>
      <c r="O8" s="13">
        <f t="shared" si="1"/>
        <v>77306.130959440183</v>
      </c>
      <c r="P8" s="13">
        <f t="shared" si="15"/>
        <v>-0.49313643720415712</v>
      </c>
      <c r="Q8" s="1">
        <f t="shared" si="16"/>
        <v>7723.3436223115095</v>
      </c>
      <c r="R8" s="1">
        <f t="shared" si="17"/>
        <v>144160.54513596848</v>
      </c>
      <c r="U8" s="1">
        <f t="shared" si="2"/>
        <v>-2165677.1698795324</v>
      </c>
      <c r="V8" s="1">
        <f t="shared" si="3"/>
        <v>-5732102.3675422799</v>
      </c>
      <c r="W8" s="1">
        <f t="shared" si="22"/>
        <v>-7029981.8668426117</v>
      </c>
      <c r="X8" s="4" t="e">
        <f t="shared" si="23"/>
        <v>#VALUE!</v>
      </c>
      <c r="Y8" s="8">
        <f t="shared" si="4"/>
        <v>1294993.900454645</v>
      </c>
      <c r="Z8" s="8">
        <f t="shared" si="5"/>
        <v>-7427908.1951925121</v>
      </c>
      <c r="AA8" s="8" t="e">
        <f t="shared" si="18"/>
        <v>#VALUE!</v>
      </c>
      <c r="AB8" s="8" t="e">
        <f t="shared" si="6"/>
        <v>#VALUE!</v>
      </c>
      <c r="AC8" s="8" t="e">
        <f t="shared" si="7"/>
        <v>#VALUE!</v>
      </c>
      <c r="AD8" s="7" t="e">
        <f t="shared" si="8"/>
        <v>#VALUE!</v>
      </c>
      <c r="AL8" s="1">
        <v>800</v>
      </c>
      <c r="AM8" s="12">
        <v>27110.6556724521</v>
      </c>
      <c r="AN8" s="1">
        <v>34315.677559968397</v>
      </c>
    </row>
    <row r="9" spans="1:42" x14ac:dyDescent="0.25">
      <c r="A9" s="4">
        <f>LN((A$3*(1-B$3))/(B$3*(1-A$3)))</f>
        <v>-9.0120524322034754</v>
      </c>
      <c r="C9" s="1">
        <f t="shared" si="9"/>
        <v>-41535.739524636752</v>
      </c>
      <c r="D9" s="3">
        <f t="shared" si="10"/>
        <v>-33896.47060026104</v>
      </c>
      <c r="E9" s="10">
        <f t="shared" si="26"/>
        <v>0.30099999999999999</v>
      </c>
      <c r="F9" s="16">
        <f t="shared" si="11"/>
        <v>-37600.876816198317</v>
      </c>
      <c r="G9" s="16">
        <f t="shared" si="12"/>
        <v>-36084.92466932832</v>
      </c>
      <c r="H9" s="1">
        <f t="shared" si="24"/>
        <v>-41505.201720294448</v>
      </c>
      <c r="I9" s="1">
        <f t="shared" si="25"/>
        <v>-33981.603297491136</v>
      </c>
      <c r="J9" s="13">
        <f t="shared" si="20"/>
        <v>27111.255672452091</v>
      </c>
      <c r="K9" s="1">
        <f t="shared" si="0"/>
        <v>34315.094321101991</v>
      </c>
      <c r="L9" s="1">
        <f t="shared" si="21"/>
        <v>7722.8478985868533</v>
      </c>
      <c r="M9" s="1">
        <f t="shared" si="13"/>
        <v>7723.4396623115026</v>
      </c>
      <c r="N9" s="1">
        <f t="shared" si="14"/>
        <v>7723.4396623115063</v>
      </c>
      <c r="O9" s="13">
        <f t="shared" si="1"/>
        <v>77305.931117577842</v>
      </c>
      <c r="P9" s="13">
        <f t="shared" si="15"/>
        <v>-0.59176372464935412</v>
      </c>
      <c r="Q9" s="1">
        <f t="shared" si="16"/>
        <v>7723.4396623115063</v>
      </c>
      <c r="R9" s="1">
        <f t="shared" si="17"/>
        <v>144160.25468301302</v>
      </c>
      <c r="U9" s="1">
        <f t="shared" si="2"/>
        <v>-2165677.1698795324</v>
      </c>
      <c r="V9" s="1">
        <f t="shared" si="3"/>
        <v>-5732102.3675422799</v>
      </c>
      <c r="W9" s="1" t="e">
        <f t="shared" si="22"/>
        <v>#VALUE!</v>
      </c>
      <c r="X9" s="4">
        <f t="shared" si="23"/>
        <v>-7029950.078537602</v>
      </c>
      <c r="Y9" s="8">
        <f t="shared" si="4"/>
        <v>1295010.0037410294</v>
      </c>
      <c r="Z9" s="8">
        <f t="shared" si="5"/>
        <v>-7427893.2295312341</v>
      </c>
      <c r="AA9" s="8">
        <f t="shared" si="18"/>
        <v>1294980.6768541881</v>
      </c>
      <c r="AB9" s="8">
        <f t="shared" si="6"/>
        <v>-7444876.8258174676</v>
      </c>
      <c r="AC9" s="8">
        <f t="shared" si="7"/>
        <v>-55267.766160187777</v>
      </c>
      <c r="AD9" s="7">
        <f t="shared" si="8"/>
        <v>-7029950.078537602</v>
      </c>
      <c r="AL9" s="1">
        <v>900</v>
      </c>
      <c r="AM9" s="12">
        <v>26470.540165542199</v>
      </c>
      <c r="AN9" s="1">
        <v>32135.084635884199</v>
      </c>
    </row>
    <row r="10" spans="1:42" x14ac:dyDescent="0.25">
      <c r="A10" s="4" t="s">
        <v>53</v>
      </c>
      <c r="C10" s="1">
        <f t="shared" si="9"/>
        <v>-41535.739524636752</v>
      </c>
      <c r="D10" s="3">
        <f t="shared" si="10"/>
        <v>-33896.47060026104</v>
      </c>
      <c r="E10" s="10">
        <f t="shared" si="26"/>
        <v>0.35099999999999998</v>
      </c>
      <c r="F10" s="16">
        <f t="shared" si="11"/>
        <v>-36988.988390299579</v>
      </c>
      <c r="G10" s="16">
        <f t="shared" si="12"/>
        <v>-35347.666981429575</v>
      </c>
      <c r="O10" s="13"/>
      <c r="P10" s="13"/>
      <c r="U10" s="1">
        <f t="shared" si="2"/>
        <v>-2165677.1698795324</v>
      </c>
      <c r="V10" s="1">
        <f t="shared" si="3"/>
        <v>-5732102.3675422799</v>
      </c>
      <c r="W10" s="1">
        <f t="shared" si="22"/>
        <v>-7029950.078537602</v>
      </c>
      <c r="AL10" s="1">
        <v>1000</v>
      </c>
      <c r="AM10" s="12">
        <v>25804.985124374602</v>
      </c>
      <c r="AN10" s="1">
        <v>29854.8313844691</v>
      </c>
    </row>
    <row r="11" spans="1:42" x14ac:dyDescent="0.25">
      <c r="A11" s="4">
        <f>A$9*8.314*A$1/(B$5)</f>
        <v>60668.991029424855</v>
      </c>
      <c r="C11" s="1">
        <f t="shared" si="9"/>
        <v>-41535.739524636752</v>
      </c>
      <c r="D11" s="3">
        <f t="shared" si="10"/>
        <v>-33896.47060026104</v>
      </c>
      <c r="E11" s="10">
        <f t="shared" si="26"/>
        <v>0.40099999999999997</v>
      </c>
      <c r="F11" s="16">
        <f t="shared" si="11"/>
        <v>-36439.471852872302</v>
      </c>
      <c r="G11" s="16">
        <f t="shared" si="12"/>
        <v>-34708.806832002301</v>
      </c>
      <c r="U11" s="1">
        <f t="shared" si="2"/>
        <v>-2165677.1698795324</v>
      </c>
      <c r="V11" s="1">
        <f t="shared" si="3"/>
        <v>-5732102.3675422799</v>
      </c>
    </row>
    <row r="12" spans="1:42" x14ac:dyDescent="0.25">
      <c r="A12" s="4" t="s">
        <v>54</v>
      </c>
      <c r="C12" s="1">
        <f t="shared" si="9"/>
        <v>-41535.739524636752</v>
      </c>
      <c r="D12" s="3">
        <f t="shared" si="10"/>
        <v>-33896.47060026104</v>
      </c>
      <c r="E12" s="10">
        <f t="shared" si="26"/>
        <v>0.45099999999999996</v>
      </c>
      <c r="F12" s="16">
        <f t="shared" si="11"/>
        <v>-35956.141934077357</v>
      </c>
      <c r="G12" s="16">
        <f t="shared" si="12"/>
        <v>-34172.158951207362</v>
      </c>
      <c r="U12" s="1">
        <f t="shared" si="2"/>
        <v>-2165677.1698795324</v>
      </c>
      <c r="V12" s="1">
        <f t="shared" si="3"/>
        <v>-5732102.3675422799</v>
      </c>
    </row>
    <row r="13" spans="1:42" x14ac:dyDescent="0.25">
      <c r="C13" s="1">
        <f t="shared" si="9"/>
        <v>-41535.739524636752</v>
      </c>
      <c r="D13" s="3">
        <f t="shared" si="10"/>
        <v>-33896.47060026104</v>
      </c>
      <c r="E13" s="10">
        <f t="shared" si="26"/>
        <v>0.501</v>
      </c>
      <c r="F13" s="16">
        <f t="shared" si="11"/>
        <v>-35541.090129055956</v>
      </c>
      <c r="G13" s="16">
        <f t="shared" si="12"/>
        <v>-33739.814834185956</v>
      </c>
      <c r="U13" s="1">
        <f t="shared" si="2"/>
        <v>-2165677.1698795324</v>
      </c>
      <c r="V13" s="1">
        <f t="shared" si="3"/>
        <v>-5732102.3675422799</v>
      </c>
      <c r="W13" s="1" t="s">
        <v>24</v>
      </c>
    </row>
    <row r="14" spans="1:42" x14ac:dyDescent="0.25">
      <c r="C14" s="1">
        <f t="shared" si="9"/>
        <v>-41535.739524636752</v>
      </c>
      <c r="D14" s="3">
        <f t="shared" si="10"/>
        <v>-33896.47060026104</v>
      </c>
      <c r="E14" s="10">
        <f t="shared" si="26"/>
        <v>0.55100000000000005</v>
      </c>
      <c r="F14" s="16">
        <f t="shared" si="11"/>
        <v>-35194.967756161139</v>
      </c>
      <c r="G14" s="16">
        <f t="shared" si="12"/>
        <v>-33412.425799291137</v>
      </c>
      <c r="J14" s="1" t="s">
        <v>69</v>
      </c>
      <c r="U14" s="1">
        <f t="shared" si="2"/>
        <v>-2165677.1698795324</v>
      </c>
      <c r="V14" s="1">
        <f t="shared" si="3"/>
        <v>-5732102.3675422799</v>
      </c>
    </row>
    <row r="15" spans="1:42" x14ac:dyDescent="0.25">
      <c r="C15" s="1">
        <f t="shared" si="9"/>
        <v>-41535.739524636752</v>
      </c>
      <c r="D15" s="3">
        <f t="shared" si="10"/>
        <v>-33896.47060026104</v>
      </c>
      <c r="E15" s="10">
        <f t="shared" ref="E15:E21" si="27">0.05+E14</f>
        <v>0.60100000000000009</v>
      </c>
      <c r="F15" s="16">
        <f t="shared" si="11"/>
        <v>-34917.068641244892</v>
      </c>
      <c r="G15" s="16">
        <f t="shared" si="12"/>
        <v>-33189.285672374892</v>
      </c>
      <c r="J15" s="12" t="s">
        <v>68</v>
      </c>
      <c r="U15" s="1">
        <f t="shared" si="2"/>
        <v>-2165677.1698795324</v>
      </c>
      <c r="V15" s="1">
        <f t="shared" si="3"/>
        <v>-5732102.3675422799</v>
      </c>
    </row>
    <row r="16" spans="1:42" x14ac:dyDescent="0.25">
      <c r="C16" s="1">
        <f t="shared" si="9"/>
        <v>-41535.739524636752</v>
      </c>
      <c r="D16" s="3">
        <f t="shared" si="10"/>
        <v>-33896.47060026104</v>
      </c>
      <c r="E16" s="10">
        <f t="shared" si="27"/>
        <v>0.65100000000000013</v>
      </c>
      <c r="F16" s="16">
        <f t="shared" si="11"/>
        <v>-34705.239352969918</v>
      </c>
      <c r="G16" s="16">
        <f t="shared" si="12"/>
        <v>-33068.241022099915</v>
      </c>
      <c r="U16" s="1">
        <f t="shared" si="2"/>
        <v>-2165677.1698795324</v>
      </c>
      <c r="V16" s="1">
        <f t="shared" si="3"/>
        <v>-5732102.3675422799</v>
      </c>
    </row>
    <row r="17" spans="1:22" x14ac:dyDescent="0.25">
      <c r="C17" s="1">
        <f t="shared" si="9"/>
        <v>-41535.739524636752</v>
      </c>
      <c r="D17" s="3">
        <f t="shared" si="10"/>
        <v>-33896.47060026104</v>
      </c>
      <c r="E17" s="10">
        <f t="shared" si="27"/>
        <v>0.70100000000000018</v>
      </c>
      <c r="F17" s="16">
        <f t="shared" si="11"/>
        <v>-34555.586611280494</v>
      </c>
      <c r="G17" s="16">
        <f t="shared" si="12"/>
        <v>-33045.398568410492</v>
      </c>
      <c r="U17" s="1">
        <f t="shared" si="2"/>
        <v>-2165677.1698795324</v>
      </c>
      <c r="V17" s="1">
        <f t="shared" si="3"/>
        <v>-5732102.3675422799</v>
      </c>
    </row>
    <row r="18" spans="1:22" x14ac:dyDescent="0.25">
      <c r="C18" s="1">
        <f t="shared" si="9"/>
        <v>-41535.739524636752</v>
      </c>
      <c r="D18" s="3">
        <f t="shared" si="10"/>
        <v>-33896.47060026104</v>
      </c>
      <c r="E18" s="10">
        <f t="shared" si="27"/>
        <v>0.75100000000000022</v>
      </c>
      <c r="F18" s="16">
        <f t="shared" si="11"/>
        <v>-34461.87214452881</v>
      </c>
      <c r="G18" s="16">
        <f t="shared" si="12"/>
        <v>-33114.520039658812</v>
      </c>
      <c r="U18" s="1">
        <f t="shared" si="2"/>
        <v>-2165677.1698795324</v>
      </c>
      <c r="V18" s="1">
        <f t="shared" si="3"/>
        <v>-5732102.3675422799</v>
      </c>
    </row>
    <row r="19" spans="1:22" x14ac:dyDescent="0.25">
      <c r="C19" s="1">
        <f t="shared" si="9"/>
        <v>-41535.739524636752</v>
      </c>
      <c r="D19" s="3">
        <f t="shared" si="10"/>
        <v>-33896.47060026104</v>
      </c>
      <c r="E19" s="10">
        <f t="shared" si="27"/>
        <v>0.80100000000000027</v>
      </c>
      <c r="F19" s="16">
        <f t="shared" si="11"/>
        <v>-34414.3178541425</v>
      </c>
      <c r="G19" s="16">
        <f t="shared" si="12"/>
        <v>-33265.827337272502</v>
      </c>
      <c r="U19" s="1">
        <f t="shared" si="2"/>
        <v>-2165677.1698795324</v>
      </c>
      <c r="V19" s="1">
        <f t="shared" si="3"/>
        <v>-5732102.3675422799</v>
      </c>
    </row>
    <row r="20" spans="1:22" x14ac:dyDescent="0.25">
      <c r="C20" s="1">
        <f t="shared" si="9"/>
        <v>-41535.739524636752</v>
      </c>
      <c r="D20" s="3">
        <f t="shared" si="10"/>
        <v>-33896.47060026104</v>
      </c>
      <c r="E20" s="10">
        <f t="shared" si="27"/>
        <v>0.85100000000000031</v>
      </c>
      <c r="F20" s="16">
        <f t="shared" si="11"/>
        <v>-34397.084075831743</v>
      </c>
      <c r="G20" s="16">
        <f t="shared" si="12"/>
        <v>-33483.480796961747</v>
      </c>
      <c r="U20" s="1">
        <f t="shared" si="2"/>
        <v>-2165677.1698795324</v>
      </c>
      <c r="V20" s="1">
        <f t="shared" si="3"/>
        <v>-5732102.3675422799</v>
      </c>
    </row>
    <row r="21" spans="1:22" x14ac:dyDescent="0.25">
      <c r="C21" s="1">
        <f t="shared" si="9"/>
        <v>-41535.739524636752</v>
      </c>
      <c r="D21" s="3">
        <f t="shared" si="10"/>
        <v>-33896.47060026104</v>
      </c>
      <c r="E21" s="10">
        <f t="shared" si="27"/>
        <v>0.90100000000000036</v>
      </c>
      <c r="F21" s="16">
        <f t="shared" si="11"/>
        <v>-34382.060445732393</v>
      </c>
      <c r="G21" s="16">
        <f t="shared" si="12"/>
        <v>-33739.370054862397</v>
      </c>
      <c r="U21" s="1">
        <f t="shared" si="2"/>
        <v>-2165677.1698795324</v>
      </c>
      <c r="V21" s="1">
        <f t="shared" si="3"/>
        <v>-5732102.3675422799</v>
      </c>
    </row>
    <row r="22" spans="1:22" x14ac:dyDescent="0.25">
      <c r="C22" s="1">
        <f t="shared" si="9"/>
        <v>-41535.739524636752</v>
      </c>
      <c r="D22" s="3">
        <f t="shared" si="10"/>
        <v>-33896.47060026104</v>
      </c>
      <c r="E22" s="10">
        <v>0.99</v>
      </c>
      <c r="F22" s="16">
        <f t="shared" si="11"/>
        <v>-34076.945754805762</v>
      </c>
      <c r="G22" s="16">
        <f t="shared" si="12"/>
        <v>-34005.614967805763</v>
      </c>
      <c r="U22" s="1">
        <f t="shared" si="2"/>
        <v>-2165677.1698795324</v>
      </c>
      <c r="V22" s="1">
        <f t="shared" si="3"/>
        <v>-5732102.3675422799</v>
      </c>
    </row>
    <row r="23" spans="1:22" x14ac:dyDescent="0.25">
      <c r="C23" s="1">
        <f t="shared" si="9"/>
        <v>-41535.739524636752</v>
      </c>
      <c r="D23" s="3">
        <f t="shared" si="10"/>
        <v>-33896.47060026104</v>
      </c>
      <c r="U23" s="1">
        <f t="shared" si="2"/>
        <v>-2165677.1698795324</v>
      </c>
      <c r="V23" s="1">
        <f t="shared" si="3"/>
        <v>-5732102.3675422799</v>
      </c>
    </row>
    <row r="24" spans="1:22" x14ac:dyDescent="0.25">
      <c r="C24" s="1">
        <f t="shared" si="9"/>
        <v>-41535.739524636752</v>
      </c>
      <c r="D24" s="3">
        <f t="shared" si="10"/>
        <v>-33896.47060026104</v>
      </c>
      <c r="E24" s="3">
        <f>A3</f>
        <v>1.9800000000000002E-2</v>
      </c>
      <c r="F24" s="17">
        <f>E24*D$3+(1-E24)*C$3+8.314*A$1*((E24*LN(E24))+((1-E24)*(LN(1-E24))))+27110.6*(E24*(1-E24))</f>
        <v>-41505.21444555917</v>
      </c>
      <c r="G24" s="16"/>
      <c r="Q24" s="1">
        <f>D$3-C$3+8.314*C$2*LN((A$3/(1-A$3)))+A24-2*A24*A$3</f>
        <v>-18314.210285511483</v>
      </c>
      <c r="R24" s="1">
        <f>D$3-C$3+8.314*C$2*LN((B$3/(1-B$3)))+AC24-2*AC24*B$3</f>
        <v>41626.752851560268</v>
      </c>
      <c r="U24" s="1">
        <f t="shared" si="2"/>
        <v>-2165677.1698795324</v>
      </c>
      <c r="V24" s="1">
        <f t="shared" si="3"/>
        <v>-5732102.3675422799</v>
      </c>
    </row>
    <row r="25" spans="1:22" x14ac:dyDescent="0.25">
      <c r="C25" s="1">
        <f t="shared" si="9"/>
        <v>-41535.739524636752</v>
      </c>
      <c r="D25" s="3">
        <f t="shared" si="10"/>
        <v>-33896.47060026104</v>
      </c>
      <c r="E25" s="3">
        <f>B3</f>
        <v>0.99399999999999999</v>
      </c>
      <c r="F25" s="16"/>
      <c r="G25" s="17">
        <f>E25*D$3+(1-E25)*C$3+8.314*A$1*((E25*LN(E25))+((1-E25)*(LN(1-E25))))+34315.73*(E25*(1-E25))</f>
        <v>-33981.599506302184</v>
      </c>
      <c r="Q25" s="1">
        <f>D$3-C$3+8.314*C$2*LN((A$3/(1-A$3)))+A25-2*A25*A$3</f>
        <v>-18314.210285511483</v>
      </c>
      <c r="R25" s="1">
        <f>D$3-C$3+8.314*C$2*LN((B$3/(1-B$3)))+AC25-2*AC25*B$3</f>
        <v>41626.752851560268</v>
      </c>
      <c r="U25" s="1">
        <f t="shared" si="2"/>
        <v>-2165677.1698795324</v>
      </c>
      <c r="V25" s="1">
        <f t="shared" si="3"/>
        <v>-5732102.3675422799</v>
      </c>
    </row>
    <row r="26" spans="1:22" x14ac:dyDescent="0.25">
      <c r="C26" s="1">
        <f t="shared" si="9"/>
        <v>-41535.739524636752</v>
      </c>
      <c r="D26" s="3">
        <f t="shared" si="10"/>
        <v>-33896.47060026104</v>
      </c>
      <c r="E26" s="3"/>
      <c r="F26" s="3"/>
      <c r="G26" s="3"/>
      <c r="Q26" s="1">
        <f>D$3-C$3+8.314*C$2*LN((A$3/(1-A$3)))+A26-2*A26*A$3</f>
        <v>-18314.210285511483</v>
      </c>
      <c r="R26" s="1">
        <f>D$3-C$3+8.314*C$2*LN((B$3/(1-B$3)))+AC26-2*AC26*B$3</f>
        <v>41626.752851560268</v>
      </c>
      <c r="U26" s="1">
        <f t="shared" si="2"/>
        <v>-2165677.1698795324</v>
      </c>
      <c r="V26" s="1">
        <f t="shared" si="3"/>
        <v>-5732102.3675422799</v>
      </c>
    </row>
    <row r="27" spans="1:22" x14ac:dyDescent="0.25">
      <c r="C27" s="1">
        <f t="shared" si="9"/>
        <v>-41535.739524636752</v>
      </c>
      <c r="D27" s="3">
        <f t="shared" si="10"/>
        <v>-33896.47060026104</v>
      </c>
      <c r="E27" s="3"/>
      <c r="F27" s="3"/>
      <c r="G27" s="3"/>
      <c r="Q27" s="1">
        <f>D$3-C$3+8.314*C$2*LN((A$3/(1-A$3)))+A27-2*A27*A$3</f>
        <v>-18314.210285511483</v>
      </c>
      <c r="R27" s="1">
        <f>D$3-C$3+8.314*C$2*LN((B$3/(1-B$3)))+AC27-2*AC27*B$3</f>
        <v>41626.752851560268</v>
      </c>
      <c r="U27" s="1">
        <f t="shared" si="2"/>
        <v>-2165677.1698795324</v>
      </c>
      <c r="V27" s="1">
        <f t="shared" si="3"/>
        <v>-5732102.3675422799</v>
      </c>
    </row>
    <row r="28" spans="1:22" x14ac:dyDescent="0.25">
      <c r="C28" s="1">
        <f t="shared" si="9"/>
        <v>-41535.739524636752</v>
      </c>
      <c r="D28" s="3">
        <f t="shared" si="10"/>
        <v>-33896.47060026104</v>
      </c>
      <c r="E28" s="3"/>
      <c r="F28" s="3"/>
      <c r="G28" s="3"/>
    </row>
    <row r="29" spans="1:22" x14ac:dyDescent="0.25">
      <c r="C29" s="1" t="s">
        <v>27</v>
      </c>
      <c r="D29" s="3" t="s">
        <v>28</v>
      </c>
      <c r="E29" s="3"/>
      <c r="F29" s="3"/>
      <c r="G29" s="3"/>
      <c r="H29" s="1" t="s">
        <v>25</v>
      </c>
      <c r="I29" s="1" t="s">
        <v>26</v>
      </c>
      <c r="J29" s="1" t="s">
        <v>31</v>
      </c>
      <c r="K29" s="1" t="s">
        <v>32</v>
      </c>
    </row>
    <row r="30" spans="1:22" x14ac:dyDescent="0.25">
      <c r="A30" s="9"/>
      <c r="B30" s="9"/>
      <c r="C30" s="9">
        <f t="shared" si="9"/>
        <v>-41535.739524636752</v>
      </c>
      <c r="D30" s="10">
        <f t="shared" si="10"/>
        <v>-33896.47060026104</v>
      </c>
      <c r="E30" s="10"/>
      <c r="F30" s="10"/>
      <c r="G30" s="10"/>
      <c r="H30" s="11">
        <v>1.9800000000000002E-2</v>
      </c>
      <c r="I30" s="11">
        <v>0.99399999999999999</v>
      </c>
      <c r="J30" s="11">
        <f>H$30-H$30*H$30</f>
        <v>1.9407960000000002E-2</v>
      </c>
      <c r="K30" s="11">
        <f>I$30-I$30*I$30</f>
        <v>5.9639999999999693E-3</v>
      </c>
      <c r="L30" s="11"/>
      <c r="M30" s="11"/>
      <c r="N30" s="11"/>
      <c r="O30" s="9"/>
      <c r="P30" s="9"/>
      <c r="Q30" s="9"/>
    </row>
    <row r="31" spans="1:22" x14ac:dyDescent="0.25">
      <c r="A31" s="9"/>
      <c r="B31" s="9"/>
      <c r="C31" s="9" t="s">
        <v>29</v>
      </c>
      <c r="D31" s="9" t="s">
        <v>30</v>
      </c>
      <c r="E31" s="9"/>
      <c r="F31" s="9"/>
      <c r="G31" s="9"/>
      <c r="H31" s="9"/>
      <c r="I31" s="9"/>
      <c r="J31" s="9" t="s">
        <v>33</v>
      </c>
      <c r="O31" s="9"/>
      <c r="P31" s="9"/>
      <c r="Q31" s="9" t="s">
        <v>34</v>
      </c>
    </row>
    <row r="32" spans="1:22" x14ac:dyDescent="0.25">
      <c r="A32" s="9"/>
      <c r="B32" s="9"/>
      <c r="C32" s="9">
        <f>(1-H$30)*C30+H$30*D30+8.314*A$29*(((LN(H$30))*H$30)+((LN(1-H$30))*(1-H$30)))</f>
        <v>-41384.481999934113</v>
      </c>
      <c r="D32" s="9">
        <f>(1-I$30)*C30+I$30*D30+8.314*A$29*(((LN(I$30))*I$30)+((LN(1-I$30))*(1-I$30)))</f>
        <v>-33942.306213807293</v>
      </c>
      <c r="E32" s="9"/>
      <c r="F32" s="9"/>
      <c r="G32" s="9"/>
      <c r="H32" s="9"/>
      <c r="I32" s="9"/>
      <c r="J32" s="9" t="s">
        <v>35</v>
      </c>
      <c r="K32" s="9"/>
      <c r="L32" s="9"/>
      <c r="M32" s="9"/>
      <c r="N32" s="9"/>
      <c r="O32" s="9"/>
      <c r="P32" s="9"/>
      <c r="Q32" s="9" t="s">
        <v>36</v>
      </c>
    </row>
    <row r="33" spans="1:2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22" x14ac:dyDescent="0.25">
      <c r="A34" s="9"/>
      <c r="B34" s="9"/>
      <c r="C34" s="9"/>
      <c r="D34" s="9" t="s">
        <v>44</v>
      </c>
      <c r="E34" s="9"/>
      <c r="F34" s="9"/>
      <c r="G34" s="9"/>
      <c r="H34" s="9" t="s">
        <v>37</v>
      </c>
      <c r="I34" s="9" t="s">
        <v>38</v>
      </c>
      <c r="J34" s="9" t="s">
        <v>39</v>
      </c>
      <c r="K34" s="9" t="s">
        <v>40</v>
      </c>
      <c r="L34" s="9"/>
      <c r="M34" s="9"/>
      <c r="N34" s="9"/>
      <c r="O34" s="9" t="s">
        <v>41</v>
      </c>
      <c r="P34" s="9"/>
      <c r="Q34" s="9" t="s">
        <v>42</v>
      </c>
      <c r="R34" s="9" t="s">
        <v>43</v>
      </c>
      <c r="V34" s="1">
        <f>41*50</f>
        <v>2050</v>
      </c>
    </row>
    <row r="35" spans="1:22" x14ac:dyDescent="0.25">
      <c r="A35" s="9"/>
      <c r="B35" s="9"/>
      <c r="C35" s="4">
        <v>-42031.375885935173</v>
      </c>
      <c r="D35" s="9">
        <f>I30-H30</f>
        <v>0.97419999999999995</v>
      </c>
      <c r="E35" s="9"/>
      <c r="F35" s="9"/>
      <c r="G35" s="9"/>
      <c r="H35" s="9">
        <f>H$30/(1-H$30)</f>
        <v>2.0199959192001633E-2</v>
      </c>
      <c r="I35" s="9">
        <f>I$30/(1-I$30)</f>
        <v>165.66666666666652</v>
      </c>
      <c r="J35" s="9">
        <f>1-2*H$30</f>
        <v>0.96040000000000003</v>
      </c>
      <c r="K35" s="9">
        <f>1-2*I$30</f>
        <v>-0.98799999999999999</v>
      </c>
      <c r="L35" s="9"/>
      <c r="M35" s="9"/>
      <c r="N35" s="9"/>
      <c r="O35" s="9">
        <f>C$32-D$32</f>
        <v>-7442.1757861268197</v>
      </c>
      <c r="P35" s="9"/>
      <c r="Q35" s="9">
        <f>8.314*A$29*H35</f>
        <v>0</v>
      </c>
      <c r="R35" s="9">
        <f>8.314*A$29*I35</f>
        <v>0</v>
      </c>
      <c r="V35" s="1">
        <f>(V34^0.5)/45</f>
        <v>1.0061539042374907</v>
      </c>
    </row>
    <row r="36" spans="1:22" x14ac:dyDescent="0.25">
      <c r="C36" s="4">
        <v>1.9407960000000002E-2</v>
      </c>
      <c r="Q36" s="9">
        <f>Q35+O35</f>
        <v>-7442.1757861268197</v>
      </c>
      <c r="R36" s="9">
        <f>R35+O35</f>
        <v>-7442.1757861268197</v>
      </c>
      <c r="V36" s="4">
        <f>1/V35</f>
        <v>0.9938837346736189</v>
      </c>
    </row>
    <row r="37" spans="1:22" x14ac:dyDescent="0.25">
      <c r="C37" s="4">
        <v>-34186.258520022187</v>
      </c>
      <c r="Q37" s="9">
        <f>Q36*D35</f>
        <v>-7250.1676508447472</v>
      </c>
      <c r="R37" s="9">
        <f>D35*R36</f>
        <v>-7250.1676508447472</v>
      </c>
    </row>
    <row r="38" spans="1:22" x14ac:dyDescent="0.25">
      <c r="C38" s="4">
        <v>5.9639999999999702E-3</v>
      </c>
      <c r="O38" s="9"/>
      <c r="P38" s="9"/>
      <c r="Q38" s="9">
        <f>J35*D35</f>
        <v>0.93562168000000001</v>
      </c>
      <c r="R38" s="9">
        <f>D35*K35</f>
        <v>-0.96250959999999997</v>
      </c>
      <c r="V38" s="1">
        <f>4.44219*1000000</f>
        <v>4442190</v>
      </c>
    </row>
    <row r="39" spans="1:22" x14ac:dyDescent="0.25">
      <c r="C39" s="4">
        <v>5.9639999999999702E-3</v>
      </c>
      <c r="O39" s="9"/>
      <c r="P39" s="9"/>
      <c r="Q39" s="9">
        <f>Q38+J30</f>
        <v>0.95502964000000001</v>
      </c>
      <c r="R39" s="9">
        <f>R38-C38</f>
        <v>-0.96847359999999993</v>
      </c>
      <c r="V39" s="1">
        <f>V38/194</f>
        <v>22897.886597938144</v>
      </c>
    </row>
    <row r="40" spans="1:22" x14ac:dyDescent="0.25">
      <c r="C40" s="4"/>
      <c r="O40" s="9"/>
      <c r="P40" s="9"/>
      <c r="Q40" s="9">
        <f>A36-Q37</f>
        <v>7250.1676508447472</v>
      </c>
      <c r="R40" s="9">
        <f>A36-R37</f>
        <v>7250.1676508447472</v>
      </c>
      <c r="V40" s="1">
        <f>-V39-Q40</f>
        <v>-30148.054248782893</v>
      </c>
    </row>
    <row r="41" spans="1:22" x14ac:dyDescent="0.25">
      <c r="Q41" s="9"/>
      <c r="U41" s="1" t="b">
        <v>0</v>
      </c>
      <c r="V41" s="1">
        <f>V40/K30</f>
        <v>-5055005.7425860241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MUHSİN İDER</dc:creator>
  <cp:lastModifiedBy>MUHSİN İDER</cp:lastModifiedBy>
  <dcterms:created xsi:type="dcterms:W3CDTF">2022-09-06T13:00:29Z</dcterms:created>
  <dcterms:modified xsi:type="dcterms:W3CDTF">2022-09-20T14:16:14Z</dcterms:modified>
</cp:coreProperties>
</file>