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JEEB\Desktop\"/>
    </mc:Choice>
  </mc:AlternateContent>
  <bookViews>
    <workbookView xWindow="0" yWindow="0" windowWidth="23040" windowHeight="9384" firstSheet="4" activeTab="9"/>
  </bookViews>
  <sheets>
    <sheet name="mean" sheetId="1" r:id="rId1"/>
    <sheet name="median" sheetId="2" r:id="rId2"/>
    <sheet name="mode" sheetId="3" r:id="rId3"/>
    <sheet name="quartile" sheetId="4" r:id="rId4"/>
    <sheet name="quartile deviation" sheetId="5" r:id="rId5"/>
    <sheet name="mean deviation" sheetId="6" r:id="rId6"/>
    <sheet name="standard deviation" sheetId="7" r:id="rId7"/>
    <sheet name="correlation karl's" sheetId="9" r:id="rId8"/>
    <sheet name="correlation spearman's" sheetId="10" r:id="rId9"/>
    <sheet name="regression" sheetId="1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3" i="12" l="1"/>
  <c r="I212" i="12"/>
  <c r="I211" i="12"/>
  <c r="I210" i="12"/>
  <c r="I209" i="12"/>
  <c r="I208" i="12"/>
  <c r="I207" i="12"/>
  <c r="I204" i="12"/>
  <c r="I206" i="12"/>
  <c r="I205" i="12"/>
  <c r="I203" i="12"/>
  <c r="H212" i="12"/>
  <c r="H211" i="12"/>
  <c r="H210" i="12"/>
  <c r="H208" i="12"/>
  <c r="H209" i="12"/>
  <c r="H207" i="12"/>
  <c r="H206" i="12"/>
  <c r="H205" i="12"/>
  <c r="H204" i="12"/>
  <c r="H203" i="12"/>
  <c r="C221" i="12"/>
  <c r="C220" i="12"/>
  <c r="G213" i="12"/>
  <c r="G212" i="12"/>
  <c r="G211" i="12"/>
  <c r="G210" i="12"/>
  <c r="G209" i="12"/>
  <c r="G208" i="12"/>
  <c r="G207" i="12"/>
  <c r="G206" i="12"/>
  <c r="G205" i="12"/>
  <c r="G204" i="12"/>
  <c r="G203" i="12"/>
  <c r="F213" i="12"/>
  <c r="F212" i="12"/>
  <c r="F211" i="12"/>
  <c r="F210" i="12"/>
  <c r="F209" i="12"/>
  <c r="F208" i="12"/>
  <c r="F207" i="12"/>
  <c r="F206" i="12"/>
  <c r="F205" i="12"/>
  <c r="F204" i="12"/>
  <c r="F203" i="12"/>
  <c r="E212" i="12"/>
  <c r="E211" i="12"/>
  <c r="E210" i="12"/>
  <c r="E209" i="12"/>
  <c r="E208" i="12"/>
  <c r="E207" i="12"/>
  <c r="E206" i="12"/>
  <c r="E205" i="12"/>
  <c r="E204" i="12"/>
  <c r="E203" i="12"/>
  <c r="D212" i="12"/>
  <c r="D211" i="12"/>
  <c r="D210" i="12"/>
  <c r="D209" i="12"/>
  <c r="D208" i="12"/>
  <c r="D207" i="12"/>
  <c r="D206" i="12"/>
  <c r="D205" i="12"/>
  <c r="D204" i="12"/>
  <c r="D203" i="12"/>
  <c r="C214" i="12"/>
  <c r="B214" i="12"/>
  <c r="C213" i="12"/>
  <c r="B213" i="12"/>
  <c r="I192" i="12" l="1"/>
  <c r="I191" i="12"/>
  <c r="I190" i="12"/>
  <c r="I189" i="12"/>
  <c r="I188" i="12"/>
  <c r="I187" i="12"/>
  <c r="I186" i="12"/>
  <c r="I185" i="12"/>
  <c r="H191" i="12"/>
  <c r="H190" i="12"/>
  <c r="H189" i="12"/>
  <c r="H188" i="12"/>
  <c r="H187" i="12"/>
  <c r="H186" i="12"/>
  <c r="H185" i="12"/>
  <c r="C200" i="12"/>
  <c r="C199" i="12"/>
  <c r="G192" i="12"/>
  <c r="F192" i="12"/>
  <c r="C193" i="12"/>
  <c r="B193" i="12"/>
  <c r="C192" i="12"/>
  <c r="B192" i="12"/>
  <c r="I174" i="12"/>
  <c r="I173" i="12"/>
  <c r="I172" i="12"/>
  <c r="I171" i="12"/>
  <c r="I170" i="12"/>
  <c r="I169" i="12"/>
  <c r="I168" i="12"/>
  <c r="I167" i="12"/>
  <c r="I166" i="12"/>
  <c r="I165" i="12"/>
  <c r="I164" i="12"/>
  <c r="H173" i="12"/>
  <c r="H172" i="12"/>
  <c r="H171" i="12"/>
  <c r="H170" i="12"/>
  <c r="H169" i="12"/>
  <c r="H168" i="12"/>
  <c r="H167" i="12"/>
  <c r="H166" i="12"/>
  <c r="H165" i="12"/>
  <c r="H164" i="12"/>
  <c r="C182" i="12"/>
  <c r="C181" i="12"/>
  <c r="G174" i="12"/>
  <c r="G173" i="12"/>
  <c r="G172" i="12"/>
  <c r="G171" i="12"/>
  <c r="G170" i="12"/>
  <c r="E170" i="12"/>
  <c r="E169" i="12"/>
  <c r="G169" i="12"/>
  <c r="G168" i="12"/>
  <c r="G167" i="12"/>
  <c r="G166" i="12"/>
  <c r="G165" i="12"/>
  <c r="G164" i="12"/>
  <c r="F174" i="12"/>
  <c r="F173" i="12"/>
  <c r="F172" i="12"/>
  <c r="F171" i="12"/>
  <c r="F170" i="12"/>
  <c r="F169" i="12"/>
  <c r="F168" i="12"/>
  <c r="F167" i="12"/>
  <c r="F166" i="12"/>
  <c r="F165" i="12"/>
  <c r="F164" i="12"/>
  <c r="E173" i="12"/>
  <c r="E172" i="12"/>
  <c r="E171" i="12"/>
  <c r="E168" i="12"/>
  <c r="E167" i="12"/>
  <c r="E166" i="12"/>
  <c r="E165" i="12"/>
  <c r="E164" i="12"/>
  <c r="D173" i="12"/>
  <c r="B175" i="12"/>
  <c r="D172" i="12"/>
  <c r="D171" i="12"/>
  <c r="D170" i="12"/>
  <c r="D169" i="12"/>
  <c r="D168" i="12"/>
  <c r="D167" i="12"/>
  <c r="D166" i="12"/>
  <c r="D165" i="12"/>
  <c r="D164" i="12"/>
  <c r="C175" i="12"/>
  <c r="C174" i="12"/>
  <c r="B174" i="12"/>
  <c r="H131" i="12"/>
  <c r="G159" i="12"/>
  <c r="I153" i="12"/>
  <c r="I152" i="12"/>
  <c r="I151" i="12"/>
  <c r="I150" i="12"/>
  <c r="I149" i="12"/>
  <c r="I148" i="12"/>
  <c r="I147" i="12"/>
  <c r="I146" i="12"/>
  <c r="H152" i="12"/>
  <c r="H151" i="12"/>
  <c r="H150" i="12"/>
  <c r="H148" i="12"/>
  <c r="H149" i="12"/>
  <c r="H147" i="12"/>
  <c r="H146" i="12"/>
  <c r="C161" i="12"/>
  <c r="C160" i="12"/>
  <c r="G153" i="12"/>
  <c r="G152" i="12"/>
  <c r="G151" i="12"/>
  <c r="G150" i="12"/>
  <c r="G149" i="12"/>
  <c r="G148" i="12"/>
  <c r="G147" i="12"/>
  <c r="G146" i="12"/>
  <c r="F153" i="12"/>
  <c r="F152" i="12"/>
  <c r="F151" i="12"/>
  <c r="F150" i="12"/>
  <c r="F149" i="12"/>
  <c r="F148" i="12"/>
  <c r="F147" i="12"/>
  <c r="F146" i="12"/>
  <c r="E152" i="12"/>
  <c r="E151" i="12"/>
  <c r="E150" i="12"/>
  <c r="E149" i="12"/>
  <c r="E148" i="12"/>
  <c r="E147" i="12"/>
  <c r="E146" i="12"/>
  <c r="D152" i="12"/>
  <c r="D151" i="12"/>
  <c r="D150" i="12"/>
  <c r="D149" i="12"/>
  <c r="D148" i="12"/>
  <c r="D147" i="12"/>
  <c r="D146" i="12"/>
  <c r="C154" i="12"/>
  <c r="B154" i="12"/>
  <c r="C153" i="12"/>
  <c r="B153" i="12"/>
  <c r="G141" i="12"/>
  <c r="I135" i="12"/>
  <c r="I134" i="12"/>
  <c r="I133" i="12"/>
  <c r="I132" i="12"/>
  <c r="I131" i="12"/>
  <c r="I130" i="12"/>
  <c r="I129" i="12"/>
  <c r="H134" i="12"/>
  <c r="H133" i="12"/>
  <c r="H132" i="12"/>
  <c r="H130" i="12"/>
  <c r="H129" i="12"/>
  <c r="C143" i="12"/>
  <c r="C142" i="12"/>
  <c r="G135" i="12"/>
  <c r="F135" i="12"/>
  <c r="C136" i="12"/>
  <c r="B136" i="12"/>
  <c r="C135" i="12"/>
  <c r="B135" i="12"/>
  <c r="I118" i="12"/>
  <c r="I117" i="12"/>
  <c r="I116" i="12"/>
  <c r="I115" i="12"/>
  <c r="I114" i="12"/>
  <c r="I113" i="12"/>
  <c r="I112" i="12"/>
  <c r="I111" i="12"/>
  <c r="I110" i="12"/>
  <c r="I109" i="12"/>
  <c r="I108" i="12"/>
  <c r="H117" i="12"/>
  <c r="H116" i="12"/>
  <c r="H115" i="12"/>
  <c r="H114" i="12"/>
  <c r="H113" i="12"/>
  <c r="H112" i="12"/>
  <c r="H111" i="12"/>
  <c r="H110" i="12"/>
  <c r="H109" i="12"/>
  <c r="H108" i="12"/>
  <c r="C126" i="12"/>
  <c r="C125" i="12"/>
  <c r="G118" i="12"/>
  <c r="G117" i="12"/>
  <c r="G116" i="12"/>
  <c r="G115" i="12"/>
  <c r="G114" i="12"/>
  <c r="G113" i="12"/>
  <c r="G112" i="12"/>
  <c r="G111" i="12"/>
  <c r="G110" i="12"/>
  <c r="G109" i="12"/>
  <c r="G108" i="12"/>
  <c r="F118" i="12"/>
  <c r="F116" i="12"/>
  <c r="F115" i="12"/>
  <c r="F114" i="12"/>
  <c r="F113" i="12"/>
  <c r="F112" i="12"/>
  <c r="F111" i="12"/>
  <c r="F110" i="12"/>
  <c r="F109" i="12"/>
  <c r="F108" i="12"/>
  <c r="E117" i="12"/>
  <c r="E116" i="12"/>
  <c r="E115" i="12"/>
  <c r="E114" i="12"/>
  <c r="E113" i="12"/>
  <c r="E112" i="12"/>
  <c r="E111" i="12"/>
  <c r="E110" i="12"/>
  <c r="E109" i="12"/>
  <c r="E108" i="12"/>
  <c r="D117" i="12"/>
  <c r="D116" i="12"/>
  <c r="D115" i="12"/>
  <c r="D114" i="12"/>
  <c r="D113" i="12"/>
  <c r="D112" i="12"/>
  <c r="D111" i="12"/>
  <c r="D110" i="12"/>
  <c r="D109" i="12"/>
  <c r="D108" i="12"/>
  <c r="C119" i="12"/>
  <c r="C118" i="12"/>
  <c r="B119" i="12"/>
  <c r="B118" i="12"/>
  <c r="I97" i="12"/>
  <c r="I91" i="12"/>
  <c r="H96" i="12"/>
  <c r="H95" i="12"/>
  <c r="H94" i="12"/>
  <c r="H93" i="12"/>
  <c r="H92" i="12"/>
  <c r="H91" i="12"/>
  <c r="C105" i="12"/>
  <c r="C104" i="12"/>
  <c r="G97" i="12"/>
  <c r="G96" i="12"/>
  <c r="G95" i="12"/>
  <c r="G94" i="12"/>
  <c r="G93" i="12"/>
  <c r="G92" i="12"/>
  <c r="G91" i="12"/>
  <c r="F97" i="12"/>
  <c r="F92" i="12"/>
  <c r="F91" i="12"/>
  <c r="C98" i="12"/>
  <c r="C97" i="12"/>
  <c r="B98" i="12"/>
  <c r="B97" i="12"/>
  <c r="I80" i="12"/>
  <c r="I79" i="12"/>
  <c r="I78" i="12"/>
  <c r="I77" i="12"/>
  <c r="I76" i="12"/>
  <c r="I75" i="12"/>
  <c r="I74" i="12"/>
  <c r="I73" i="12"/>
  <c r="H79" i="12"/>
  <c r="H78" i="12"/>
  <c r="H77" i="12"/>
  <c r="H76" i="12"/>
  <c r="H75" i="12"/>
  <c r="H74" i="12"/>
  <c r="H73" i="12"/>
  <c r="C88" i="12"/>
  <c r="C87" i="12"/>
  <c r="G80" i="12"/>
  <c r="F80" i="12"/>
  <c r="G79" i="12"/>
  <c r="G78" i="12"/>
  <c r="G77" i="12"/>
  <c r="G76" i="12"/>
  <c r="G75" i="12"/>
  <c r="G74" i="12"/>
  <c r="G73" i="12"/>
  <c r="F79" i="12"/>
  <c r="F78" i="12"/>
  <c r="F77" i="12"/>
  <c r="F76" i="12"/>
  <c r="F75" i="12"/>
  <c r="F74" i="12"/>
  <c r="F73" i="12"/>
  <c r="E79" i="12"/>
  <c r="E78" i="12"/>
  <c r="E77" i="12"/>
  <c r="E76" i="12"/>
  <c r="E75" i="12"/>
  <c r="E74" i="12"/>
  <c r="E73" i="12"/>
  <c r="D79" i="12"/>
  <c r="D78" i="12"/>
  <c r="D77" i="12"/>
  <c r="D76" i="12"/>
  <c r="D75" i="12"/>
  <c r="D74" i="12"/>
  <c r="D73" i="12"/>
  <c r="C81" i="12"/>
  <c r="B81" i="12"/>
  <c r="C80" i="12"/>
  <c r="B80" i="12"/>
  <c r="G70" i="12"/>
  <c r="I62" i="12"/>
  <c r="I61" i="12"/>
  <c r="I60" i="12"/>
  <c r="I59" i="12"/>
  <c r="I58" i="12"/>
  <c r="I57" i="12"/>
  <c r="H61" i="12"/>
  <c r="H60" i="12"/>
  <c r="H59" i="12"/>
  <c r="H58" i="12"/>
  <c r="H57" i="12"/>
  <c r="C70" i="12"/>
  <c r="C69" i="12"/>
  <c r="G62" i="12"/>
  <c r="G61" i="12"/>
  <c r="G60" i="12"/>
  <c r="G59" i="12"/>
  <c r="G58" i="12"/>
  <c r="G57" i="12"/>
  <c r="F62" i="12"/>
  <c r="F60" i="12"/>
  <c r="F59" i="12"/>
  <c r="F57" i="12"/>
  <c r="E61" i="12"/>
  <c r="E60" i="12"/>
  <c r="E59" i="12"/>
  <c r="D59" i="12"/>
  <c r="D58" i="12"/>
  <c r="D57" i="12"/>
  <c r="C63" i="12"/>
  <c r="B63" i="12"/>
  <c r="C62" i="12"/>
  <c r="B62" i="12"/>
  <c r="I46" i="12" l="1"/>
  <c r="I45" i="12"/>
  <c r="I44" i="12"/>
  <c r="I43" i="12"/>
  <c r="I42" i="12"/>
  <c r="I41" i="12"/>
  <c r="I40" i="12"/>
  <c r="I39" i="12"/>
  <c r="H45" i="12"/>
  <c r="H44" i="12"/>
  <c r="H43" i="12"/>
  <c r="H42" i="12"/>
  <c r="H41" i="12"/>
  <c r="H40" i="12"/>
  <c r="H39" i="12"/>
  <c r="C54" i="12"/>
  <c r="C53" i="12"/>
  <c r="G46" i="12"/>
  <c r="F46" i="12"/>
  <c r="G45" i="12"/>
  <c r="G44" i="12"/>
  <c r="G43" i="12"/>
  <c r="G42" i="12"/>
  <c r="G41" i="12"/>
  <c r="G40" i="12"/>
  <c r="G39" i="12"/>
  <c r="F45" i="12"/>
  <c r="F44" i="12"/>
  <c r="F43" i="12"/>
  <c r="F42" i="12"/>
  <c r="F41" i="12"/>
  <c r="F40" i="12"/>
  <c r="F39" i="12"/>
  <c r="D39" i="12"/>
  <c r="E45" i="12"/>
  <c r="E44" i="12"/>
  <c r="E43" i="12"/>
  <c r="E42" i="12"/>
  <c r="E41" i="12"/>
  <c r="E40" i="12"/>
  <c r="E39" i="12"/>
  <c r="D45" i="12"/>
  <c r="D44" i="12"/>
  <c r="D43" i="12"/>
  <c r="D42" i="12"/>
  <c r="D41" i="12"/>
  <c r="D40" i="12"/>
  <c r="C47" i="12"/>
  <c r="B47" i="12"/>
  <c r="C46" i="12"/>
  <c r="B46" i="12"/>
  <c r="I28" i="12"/>
  <c r="I27" i="12"/>
  <c r="I26" i="12"/>
  <c r="I25" i="12"/>
  <c r="I24" i="12"/>
  <c r="I23" i="12"/>
  <c r="H23" i="12"/>
  <c r="H27" i="12"/>
  <c r="H26" i="12"/>
  <c r="H25" i="12"/>
  <c r="H24" i="12"/>
  <c r="C36" i="12"/>
  <c r="C35" i="12"/>
  <c r="F28" i="12"/>
  <c r="G28" i="12"/>
  <c r="G27" i="12"/>
  <c r="G25" i="12"/>
  <c r="G24" i="12"/>
  <c r="G23" i="12"/>
  <c r="F23" i="12"/>
  <c r="F27" i="12"/>
  <c r="F26" i="12"/>
  <c r="F25" i="12"/>
  <c r="F24" i="12"/>
  <c r="D27" i="12"/>
  <c r="D26" i="12"/>
  <c r="D25" i="12"/>
  <c r="D24" i="12"/>
  <c r="D23" i="12"/>
  <c r="B29" i="12"/>
  <c r="C28" i="12"/>
  <c r="B28" i="12"/>
  <c r="F19" i="12"/>
  <c r="F18" i="12"/>
  <c r="I7" i="12"/>
  <c r="H8" i="12"/>
  <c r="I8" i="12" s="1"/>
  <c r="H7" i="12"/>
  <c r="H6" i="12"/>
  <c r="I6" i="12" s="1"/>
  <c r="H5" i="12"/>
  <c r="I5" i="12" s="1"/>
  <c r="H4" i="12"/>
  <c r="I4" i="12" s="1"/>
  <c r="H3" i="12"/>
  <c r="I3" i="12" s="1"/>
  <c r="F17" i="12"/>
  <c r="F16" i="12"/>
  <c r="F15" i="12"/>
  <c r="F14" i="12"/>
  <c r="F13" i="12"/>
  <c r="F12" i="12"/>
  <c r="C20" i="12"/>
  <c r="C18" i="12"/>
  <c r="G9" i="12"/>
  <c r="F9" i="12"/>
  <c r="G8" i="12"/>
  <c r="G4" i="12"/>
  <c r="F8" i="12"/>
  <c r="F4" i="12"/>
  <c r="D8" i="12"/>
  <c r="D7" i="12"/>
  <c r="D6" i="12"/>
  <c r="D5" i="12"/>
  <c r="D4" i="12"/>
  <c r="D3" i="12"/>
  <c r="C10" i="12"/>
  <c r="C9" i="12"/>
  <c r="B10" i="12"/>
  <c r="B9" i="12"/>
  <c r="I9" i="12" l="1"/>
  <c r="C99" i="9"/>
  <c r="C96" i="9"/>
  <c r="C95" i="9"/>
  <c r="D94" i="9"/>
  <c r="C94" i="9"/>
  <c r="C93" i="9"/>
  <c r="E89" i="9"/>
  <c r="D89" i="9"/>
  <c r="C89" i="9"/>
  <c r="B89" i="9"/>
  <c r="A89" i="9"/>
  <c r="K75" i="9"/>
  <c r="K72" i="9"/>
  <c r="K71" i="9"/>
  <c r="L70" i="9"/>
  <c r="K70" i="9"/>
  <c r="K69" i="9"/>
  <c r="N62" i="9"/>
  <c r="N60" i="9"/>
  <c r="N59" i="9"/>
  <c r="N57" i="9"/>
  <c r="N56" i="9"/>
  <c r="N55" i="9"/>
  <c r="N54" i="9"/>
  <c r="N53" i="9"/>
  <c r="N52" i="9"/>
  <c r="N51" i="9"/>
  <c r="M62" i="9"/>
  <c r="M61" i="9"/>
  <c r="M60" i="9"/>
  <c r="M58" i="9"/>
  <c r="M56" i="9"/>
  <c r="M55" i="9"/>
  <c r="M54" i="9"/>
  <c r="M53" i="9"/>
  <c r="M52" i="9"/>
  <c r="M51" i="9"/>
  <c r="L62" i="9"/>
  <c r="L61" i="9"/>
  <c r="L60" i="9"/>
  <c r="L59" i="9"/>
  <c r="L58" i="9"/>
  <c r="L57" i="9"/>
  <c r="L56" i="9"/>
  <c r="L55" i="9"/>
  <c r="L54" i="9"/>
  <c r="L53" i="9"/>
  <c r="L52" i="9"/>
  <c r="L51" i="9"/>
  <c r="K62" i="9"/>
  <c r="J62" i="9"/>
  <c r="C75" i="9"/>
  <c r="C73" i="9"/>
  <c r="C72" i="9"/>
  <c r="D71" i="9"/>
  <c r="C71" i="9"/>
  <c r="C70" i="9"/>
  <c r="E66" i="9"/>
  <c r="E63" i="9"/>
  <c r="E62" i="9"/>
  <c r="E58" i="9"/>
  <c r="E55" i="9"/>
  <c r="E54" i="9"/>
  <c r="E52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2" i="9"/>
  <c r="B66" i="9"/>
  <c r="A66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K46" i="9"/>
  <c r="K44" i="9"/>
  <c r="K43" i="9"/>
  <c r="L42" i="9"/>
  <c r="K42" i="9"/>
  <c r="K41" i="9"/>
  <c r="K35" i="9"/>
  <c r="J35" i="9"/>
  <c r="L35" i="9"/>
  <c r="N35" i="9"/>
  <c r="M35" i="9"/>
  <c r="M34" i="9"/>
  <c r="M96" i="10"/>
  <c r="P93" i="10"/>
  <c r="P91" i="10"/>
  <c r="P90" i="10"/>
  <c r="P89" i="10"/>
  <c r="P88" i="10"/>
  <c r="O86" i="10"/>
  <c r="O85" i="10"/>
  <c r="O80" i="10"/>
  <c r="O79" i="10"/>
  <c r="C99" i="10"/>
  <c r="G95" i="10"/>
  <c r="G93" i="10"/>
  <c r="G92" i="10"/>
  <c r="G91" i="10"/>
  <c r="G90" i="10"/>
  <c r="G89" i="10"/>
  <c r="F87" i="10"/>
  <c r="F83" i="10"/>
  <c r="F82" i="10"/>
  <c r="F81" i="10"/>
  <c r="M72" i="10"/>
  <c r="O68" i="10"/>
  <c r="O67" i="10"/>
  <c r="O63" i="10"/>
  <c r="O61" i="10"/>
  <c r="O54" i="10"/>
  <c r="E57" i="10" l="1"/>
  <c r="C63" i="10" s="1"/>
  <c r="F54" i="10"/>
  <c r="E59" i="10"/>
  <c r="E56" i="10"/>
  <c r="E55" i="10"/>
  <c r="F50" i="10"/>
  <c r="K40" i="10"/>
  <c r="N36" i="10"/>
  <c r="N35" i="10"/>
  <c r="O33" i="10"/>
  <c r="O28" i="10"/>
  <c r="E45" i="10"/>
  <c r="H41" i="10"/>
  <c r="H40" i="10"/>
  <c r="H39" i="10"/>
  <c r="H38" i="10"/>
  <c r="H37" i="10"/>
  <c r="H36" i="10"/>
  <c r="F34" i="10"/>
  <c r="F32" i="10"/>
  <c r="F31" i="10"/>
  <c r="F29" i="10"/>
  <c r="F28" i="10"/>
  <c r="C48" i="9"/>
  <c r="C47" i="9"/>
  <c r="C46" i="9"/>
  <c r="D45" i="9"/>
  <c r="C45" i="9"/>
  <c r="C44" i="9"/>
  <c r="E39" i="9"/>
  <c r="E38" i="9"/>
  <c r="E37" i="9"/>
  <c r="E36" i="9"/>
  <c r="E35" i="9"/>
  <c r="E34" i="9"/>
  <c r="E33" i="9"/>
  <c r="E32" i="9"/>
  <c r="E31" i="9"/>
  <c r="E30" i="9"/>
  <c r="D39" i="9"/>
  <c r="C39" i="9"/>
  <c r="D38" i="9"/>
  <c r="D37" i="9"/>
  <c r="D36" i="9"/>
  <c r="D35" i="9"/>
  <c r="D34" i="9"/>
  <c r="D33" i="9"/>
  <c r="D32" i="9"/>
  <c r="D30" i="9"/>
  <c r="D29" i="9"/>
  <c r="C31" i="9"/>
  <c r="C30" i="9"/>
  <c r="C29" i="9"/>
  <c r="C38" i="9"/>
  <c r="C37" i="9"/>
  <c r="C36" i="9"/>
  <c r="C35" i="9"/>
  <c r="C34" i="9"/>
  <c r="C33" i="9"/>
  <c r="C32" i="9"/>
  <c r="B39" i="9"/>
  <c r="A39" i="9"/>
  <c r="K24" i="9"/>
  <c r="K22" i="9"/>
  <c r="K21" i="9"/>
  <c r="L20" i="9"/>
  <c r="K20" i="9"/>
  <c r="K19" i="9"/>
  <c r="M14" i="9"/>
  <c r="M12" i="9"/>
  <c r="M7" i="9"/>
  <c r="L14" i="9"/>
  <c r="L13" i="9"/>
  <c r="L4" i="9"/>
  <c r="L12" i="9"/>
  <c r="L11" i="9"/>
  <c r="L10" i="9"/>
  <c r="L9" i="9"/>
  <c r="L8" i="9"/>
  <c r="L7" i="9"/>
  <c r="L6" i="9"/>
  <c r="L5" i="9"/>
  <c r="K14" i="9"/>
  <c r="J14" i="9"/>
  <c r="I14" i="9"/>
  <c r="K13" i="9"/>
  <c r="K12" i="9"/>
  <c r="K11" i="9"/>
  <c r="K10" i="9"/>
  <c r="K9" i="9"/>
  <c r="K8" i="9"/>
  <c r="K7" i="9"/>
  <c r="K6" i="9"/>
  <c r="K20" i="10"/>
  <c r="M18" i="10"/>
  <c r="M17" i="10"/>
  <c r="M16" i="10"/>
  <c r="N10" i="10"/>
  <c r="D16" i="10"/>
  <c r="F11" i="10"/>
  <c r="D19" i="9"/>
  <c r="C20" i="9" s="1"/>
  <c r="C21" i="9" s="1"/>
  <c r="C22" i="9" s="1"/>
  <c r="C19" i="9"/>
  <c r="C18" i="9"/>
  <c r="D14" i="9"/>
  <c r="E4" i="9"/>
  <c r="E14" i="9" s="1"/>
  <c r="C13" i="9"/>
  <c r="C12" i="9"/>
  <c r="C11" i="9"/>
  <c r="C10" i="9"/>
  <c r="C9" i="9"/>
  <c r="C8" i="9"/>
  <c r="C7" i="9"/>
  <c r="C6" i="9"/>
  <c r="C5" i="9"/>
  <c r="C4" i="9"/>
  <c r="C14" i="9" s="1"/>
  <c r="B14" i="9"/>
  <c r="A14" i="9"/>
  <c r="G89" i="5" l="1"/>
  <c r="G86" i="5"/>
  <c r="H80" i="5"/>
  <c r="G79" i="5"/>
  <c r="F82" i="5"/>
  <c r="F77" i="5"/>
  <c r="O71" i="5"/>
  <c r="O68" i="5"/>
  <c r="N62" i="5"/>
  <c r="O66" i="5"/>
  <c r="N65" i="5"/>
  <c r="O61" i="5"/>
  <c r="N60" i="5"/>
  <c r="F62" i="5"/>
  <c r="G66" i="5"/>
  <c r="F65" i="5"/>
  <c r="G61" i="5"/>
  <c r="F60" i="5"/>
  <c r="G57" i="5"/>
  <c r="G55" i="5"/>
  <c r="H94" i="7"/>
  <c r="I92" i="7"/>
  <c r="I91" i="7"/>
  <c r="I90" i="7"/>
  <c r="I89" i="7"/>
  <c r="J86" i="7"/>
  <c r="J85" i="7"/>
  <c r="J84" i="7"/>
  <c r="J83" i="7"/>
  <c r="J82" i="7"/>
  <c r="H86" i="7"/>
  <c r="I85" i="7"/>
  <c r="I84" i="7"/>
  <c r="I83" i="7"/>
  <c r="I86" i="7" s="1"/>
  <c r="D46" i="6"/>
  <c r="E41" i="6"/>
  <c r="E40" i="6"/>
  <c r="E39" i="6"/>
  <c r="E38" i="6"/>
  <c r="E37" i="6"/>
  <c r="E36" i="6"/>
  <c r="D40" i="6"/>
  <c r="D39" i="6"/>
  <c r="D38" i="6"/>
  <c r="D37" i="6"/>
  <c r="D36" i="6"/>
  <c r="C43" i="6"/>
  <c r="C40" i="6"/>
  <c r="C39" i="6"/>
  <c r="C38" i="6"/>
  <c r="C41" i="6" s="1"/>
  <c r="B41" i="6"/>
  <c r="S81" i="1"/>
  <c r="S79" i="1"/>
  <c r="R79" i="1"/>
  <c r="S78" i="1"/>
  <c r="S77" i="1"/>
  <c r="S76" i="1"/>
  <c r="N188" i="7"/>
  <c r="P186" i="7"/>
  <c r="P185" i="7"/>
  <c r="P184" i="7"/>
  <c r="N181" i="7"/>
  <c r="Q181" i="7"/>
  <c r="Q180" i="7"/>
  <c r="Q179" i="7"/>
  <c r="Q178" i="7"/>
  <c r="Q177" i="7"/>
  <c r="Q176" i="7"/>
  <c r="Q175" i="7"/>
  <c r="Q174" i="7"/>
  <c r="Q173" i="7"/>
  <c r="Q172" i="7"/>
  <c r="Q171" i="7"/>
  <c r="P180" i="7"/>
  <c r="P179" i="7"/>
  <c r="P178" i="7"/>
  <c r="P177" i="7"/>
  <c r="P176" i="7"/>
  <c r="P175" i="7"/>
  <c r="P174" i="7"/>
  <c r="P173" i="7"/>
  <c r="P172" i="7"/>
  <c r="P171" i="7"/>
  <c r="P181" i="7" s="1"/>
  <c r="S78" i="3"/>
  <c r="U114" i="2"/>
  <c r="Q116" i="2"/>
  <c r="J86" i="1"/>
  <c r="H84" i="1"/>
  <c r="J84" i="1"/>
  <c r="J83" i="1"/>
  <c r="J82" i="1"/>
  <c r="J81" i="1"/>
  <c r="J80" i="1"/>
  <c r="J79" i="1"/>
  <c r="J78" i="1"/>
  <c r="J77" i="1"/>
  <c r="J76" i="1"/>
  <c r="J75" i="1"/>
  <c r="J74" i="1"/>
  <c r="H78" i="7"/>
  <c r="I76" i="7"/>
  <c r="I75" i="7"/>
  <c r="I74" i="7"/>
  <c r="I73" i="7"/>
  <c r="J70" i="7"/>
  <c r="J69" i="7"/>
  <c r="J68" i="7"/>
  <c r="J67" i="7"/>
  <c r="J66" i="7"/>
  <c r="J65" i="7"/>
  <c r="I70" i="7"/>
  <c r="H70" i="7"/>
  <c r="J27" i="6"/>
  <c r="K22" i="6"/>
  <c r="K21" i="6"/>
  <c r="K20" i="6"/>
  <c r="K19" i="6"/>
  <c r="K18" i="6"/>
  <c r="K17" i="6"/>
  <c r="J21" i="6"/>
  <c r="J20" i="6"/>
  <c r="J19" i="6"/>
  <c r="J18" i="6"/>
  <c r="J17" i="6"/>
  <c r="H24" i="6"/>
  <c r="I22" i="6"/>
  <c r="H22" i="6"/>
  <c r="N81" i="1"/>
  <c r="N79" i="1"/>
  <c r="M79" i="1"/>
  <c r="N167" i="7"/>
  <c r="P165" i="7"/>
  <c r="P164" i="7"/>
  <c r="P163" i="7"/>
  <c r="Q160" i="7"/>
  <c r="Q159" i="7"/>
  <c r="Q158" i="7"/>
  <c r="Q157" i="7"/>
  <c r="Q156" i="7"/>
  <c r="Q155" i="7"/>
  <c r="Q154" i="7"/>
  <c r="Q153" i="7"/>
  <c r="N160" i="7"/>
  <c r="P159" i="7"/>
  <c r="P158" i="7"/>
  <c r="P157" i="7"/>
  <c r="P156" i="7"/>
  <c r="P155" i="7"/>
  <c r="P154" i="7"/>
  <c r="P153" i="7"/>
  <c r="P160" i="7" s="1"/>
  <c r="L78" i="3"/>
  <c r="I77" i="3"/>
  <c r="L114" i="2"/>
  <c r="I113" i="2"/>
  <c r="D81" i="1"/>
  <c r="B81" i="1"/>
  <c r="D80" i="1"/>
  <c r="D79" i="1"/>
  <c r="D78" i="1"/>
  <c r="D77" i="1"/>
  <c r="D76" i="1"/>
  <c r="D75" i="1"/>
  <c r="D74" i="1"/>
  <c r="N150" i="7"/>
  <c r="P148" i="7"/>
  <c r="P147" i="7"/>
  <c r="P146" i="7"/>
  <c r="Q143" i="7"/>
  <c r="Q142" i="7"/>
  <c r="Q141" i="7"/>
  <c r="Q140" i="7"/>
  <c r="Q139" i="7"/>
  <c r="Q138" i="7"/>
  <c r="P142" i="7"/>
  <c r="P141" i="7"/>
  <c r="P140" i="7"/>
  <c r="P139" i="7"/>
  <c r="P143" i="7" s="1"/>
  <c r="N143" i="7"/>
  <c r="E78" i="3"/>
  <c r="B75" i="3" l="1"/>
  <c r="E113" i="2"/>
  <c r="B111" i="2"/>
  <c r="T70" i="1"/>
  <c r="T68" i="1"/>
  <c r="T67" i="1"/>
  <c r="T66" i="1"/>
  <c r="T65" i="1"/>
  <c r="T64" i="1"/>
  <c r="R68" i="1"/>
  <c r="N134" i="7"/>
  <c r="P132" i="7"/>
  <c r="P131" i="7"/>
  <c r="P130" i="7"/>
  <c r="Q127" i="7"/>
  <c r="Q121" i="7"/>
  <c r="Q126" i="7"/>
  <c r="Q125" i="7"/>
  <c r="Q124" i="7"/>
  <c r="Q123" i="7"/>
  <c r="Q122" i="7"/>
  <c r="P127" i="7"/>
  <c r="N127" i="7"/>
  <c r="P126" i="7"/>
  <c r="P125" i="7"/>
  <c r="P124" i="7"/>
  <c r="P123" i="7"/>
  <c r="P121" i="7"/>
  <c r="S67" i="3"/>
  <c r="P65" i="3"/>
  <c r="T102" i="2"/>
  <c r="Q100" i="2"/>
  <c r="O71" i="1"/>
  <c r="O69" i="1"/>
  <c r="O68" i="1"/>
  <c r="O67" i="1"/>
  <c r="O66" i="1"/>
  <c r="O65" i="1"/>
  <c r="O63" i="1"/>
  <c r="M69" i="1"/>
  <c r="N118" i="7"/>
  <c r="P116" i="7"/>
  <c r="P115" i="7"/>
  <c r="P114" i="7"/>
  <c r="Q111" i="7"/>
  <c r="Q110" i="7"/>
  <c r="Q109" i="7"/>
  <c r="Q108" i="7"/>
  <c r="Q107" i="7"/>
  <c r="Q106" i="7"/>
  <c r="P111" i="7"/>
  <c r="N111" i="7"/>
  <c r="P110" i="7"/>
  <c r="P109" i="7"/>
  <c r="P108" i="7"/>
  <c r="L66" i="3"/>
  <c r="I63" i="3"/>
  <c r="L102" i="2"/>
  <c r="I99" i="2"/>
  <c r="J70" i="1"/>
  <c r="J68" i="1"/>
  <c r="H68" i="1"/>
  <c r="J67" i="1"/>
  <c r="J66" i="1"/>
  <c r="J65" i="1"/>
  <c r="N103" i="7"/>
  <c r="P101" i="7"/>
  <c r="P100" i="7"/>
  <c r="Q96" i="7"/>
  <c r="Q95" i="7"/>
  <c r="Q94" i="7"/>
  <c r="Q93" i="7"/>
  <c r="Q92" i="7"/>
  <c r="Q91" i="7"/>
  <c r="P94" i="7"/>
  <c r="P96" i="7" s="1"/>
  <c r="N96" i="7"/>
  <c r="E67" i="3"/>
  <c r="B64" i="3"/>
  <c r="E101" i="2"/>
  <c r="B99" i="2"/>
  <c r="C70" i="1"/>
  <c r="B68" i="1"/>
  <c r="D68" i="1"/>
  <c r="D66" i="1"/>
  <c r="N88" i="7"/>
  <c r="P86" i="7"/>
  <c r="P85" i="7"/>
  <c r="Q81" i="7"/>
  <c r="Q80" i="7"/>
  <c r="Q79" i="7"/>
  <c r="Q78" i="7"/>
  <c r="Q77" i="7"/>
  <c r="Q76" i="7"/>
  <c r="Q75" i="7"/>
  <c r="P81" i="7"/>
  <c r="N81" i="7"/>
  <c r="P79" i="7"/>
  <c r="P78" i="7"/>
  <c r="P76" i="7"/>
  <c r="E54" i="3"/>
  <c r="B52" i="3"/>
  <c r="L91" i="2"/>
  <c r="I89" i="2"/>
  <c r="T54" i="1"/>
  <c r="T52" i="1"/>
  <c r="T50" i="1"/>
  <c r="T49" i="1"/>
  <c r="T47" i="1"/>
  <c r="R52" i="1"/>
  <c r="N71" i="7"/>
  <c r="P69" i="7"/>
  <c r="P68" i="7"/>
  <c r="Q64" i="7"/>
  <c r="Q63" i="7"/>
  <c r="Q62" i="7"/>
  <c r="Q61" i="7"/>
  <c r="N64" i="7"/>
  <c r="P63" i="7"/>
  <c r="P62" i="7"/>
  <c r="P64" i="7" s="1"/>
  <c r="L55" i="3"/>
  <c r="I51" i="3"/>
  <c r="E90" i="2"/>
  <c r="B87" i="2"/>
  <c r="O53" i="1"/>
  <c r="O50" i="1"/>
  <c r="O49" i="1"/>
  <c r="O48" i="1"/>
  <c r="M50" i="1"/>
  <c r="N56" i="7"/>
  <c r="P54" i="7"/>
  <c r="P52" i="7"/>
  <c r="Q48" i="7"/>
  <c r="Q47" i="7"/>
  <c r="Q46" i="7"/>
  <c r="Q45" i="7"/>
  <c r="Q44" i="7"/>
  <c r="Q43" i="7"/>
  <c r="P47" i="7"/>
  <c r="P46" i="7"/>
  <c r="P45" i="7"/>
  <c r="P44" i="7"/>
  <c r="P48" i="7" s="1"/>
  <c r="N48" i="7"/>
  <c r="S56" i="3"/>
  <c r="P53" i="3"/>
  <c r="L76" i="2"/>
  <c r="I73" i="2"/>
  <c r="J53" i="1"/>
  <c r="J51" i="1"/>
  <c r="J50" i="1"/>
  <c r="J49" i="1"/>
  <c r="J48" i="1"/>
  <c r="J47" i="1"/>
  <c r="H51" i="1"/>
  <c r="H62" i="7"/>
  <c r="I60" i="7"/>
  <c r="I58" i="7"/>
  <c r="J54" i="7"/>
  <c r="J52" i="7"/>
  <c r="J51" i="7"/>
  <c r="J50" i="7"/>
  <c r="J46" i="7"/>
  <c r="J45" i="7"/>
  <c r="I54" i="7"/>
  <c r="H54" i="7"/>
  <c r="D33" i="6"/>
  <c r="E28" i="6"/>
  <c r="E27" i="6"/>
  <c r="E26" i="6"/>
  <c r="E25" i="6"/>
  <c r="E24" i="6"/>
  <c r="E21" i="6"/>
  <c r="E20" i="6"/>
  <c r="E17" i="6"/>
  <c r="E19" i="6"/>
  <c r="E18" i="6"/>
  <c r="D24" i="6"/>
  <c r="D23" i="6"/>
  <c r="C30" i="6"/>
  <c r="C28" i="6"/>
  <c r="B28" i="6"/>
  <c r="B79" i="2"/>
  <c r="C59" i="1" l="1"/>
  <c r="B57" i="1"/>
  <c r="C57" i="1"/>
  <c r="C108" i="7" l="1"/>
  <c r="C106" i="7"/>
  <c r="C105" i="7"/>
  <c r="C104" i="7"/>
  <c r="C102" i="7"/>
  <c r="B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78" i="7"/>
  <c r="C76" i="7"/>
  <c r="C75" i="7"/>
  <c r="C71" i="7"/>
  <c r="C70" i="7"/>
  <c r="C69" i="7"/>
  <c r="C68" i="7"/>
  <c r="C67" i="7"/>
  <c r="C66" i="7"/>
  <c r="C64" i="7"/>
  <c r="C63" i="7"/>
  <c r="C62" i="7"/>
  <c r="C61" i="7"/>
  <c r="C60" i="7"/>
  <c r="B71" i="7"/>
  <c r="C57" i="7"/>
  <c r="C55" i="7"/>
  <c r="C54" i="7"/>
  <c r="C51" i="7"/>
  <c r="C50" i="7"/>
  <c r="C47" i="7"/>
  <c r="B51" i="7"/>
  <c r="C36" i="7"/>
  <c r="C34" i="7"/>
  <c r="C33" i="7"/>
  <c r="C30" i="7"/>
  <c r="C26" i="7"/>
  <c r="C24" i="7"/>
  <c r="B30" i="7"/>
  <c r="W69" i="2"/>
  <c r="T69" i="2"/>
  <c r="Q65" i="2"/>
  <c r="W44" i="1"/>
  <c r="W41" i="1"/>
  <c r="U34" i="1"/>
  <c r="U31" i="1"/>
  <c r="S34" i="1"/>
  <c r="S31" i="1"/>
  <c r="Q30" i="1"/>
  <c r="Q27" i="1"/>
  <c r="I40" i="7"/>
  <c r="I37" i="7"/>
  <c r="I35" i="7"/>
  <c r="J31" i="7"/>
  <c r="J28" i="7"/>
  <c r="J27" i="7"/>
  <c r="J26" i="7"/>
  <c r="J25" i="7"/>
  <c r="J24" i="7"/>
  <c r="I31" i="7"/>
  <c r="H31" i="7"/>
  <c r="J14" i="6"/>
  <c r="K9" i="6"/>
  <c r="K8" i="6"/>
  <c r="K7" i="6"/>
  <c r="K6" i="6"/>
  <c r="K5" i="6"/>
  <c r="K4" i="6"/>
  <c r="K3" i="6"/>
  <c r="K2" i="6"/>
  <c r="J7" i="6"/>
  <c r="J8" i="6"/>
  <c r="J6" i="6"/>
  <c r="J5" i="6"/>
  <c r="J4" i="6"/>
  <c r="J3" i="6"/>
  <c r="J2" i="6"/>
  <c r="I11" i="6"/>
  <c r="I9" i="6"/>
  <c r="H9" i="6"/>
  <c r="M64" i="2"/>
  <c r="F62" i="2"/>
  <c r="I63" i="2"/>
  <c r="N28" i="1"/>
  <c r="N27" i="1"/>
  <c r="M27" i="1"/>
  <c r="N39" i="7"/>
  <c r="O36" i="7"/>
  <c r="O34" i="7"/>
  <c r="Q29" i="7"/>
  <c r="Q28" i="7"/>
  <c r="Q27" i="7"/>
  <c r="Q26" i="7"/>
  <c r="Q25" i="7"/>
  <c r="Q24" i="7"/>
  <c r="P29" i="7"/>
  <c r="P27" i="7"/>
  <c r="P26" i="7"/>
  <c r="P24" i="7"/>
  <c r="N29" i="7"/>
  <c r="S42" i="3"/>
  <c r="P39" i="3"/>
  <c r="B61" i="2"/>
  <c r="D40" i="1"/>
  <c r="D36" i="1"/>
  <c r="D35" i="1"/>
  <c r="D33" i="1"/>
  <c r="D38" i="1" s="1"/>
  <c r="B38" i="1"/>
  <c r="I20" i="7" l="1"/>
  <c r="N19" i="7"/>
  <c r="O16" i="7"/>
  <c r="O14" i="7"/>
  <c r="I15" i="7"/>
  <c r="I17" i="7"/>
  <c r="Q9" i="7"/>
  <c r="Q8" i="7"/>
  <c r="Q7" i="7"/>
  <c r="Q6" i="7"/>
  <c r="Q5" i="7"/>
  <c r="Q4" i="7"/>
  <c r="P9" i="7"/>
  <c r="N9" i="7"/>
  <c r="J11" i="7"/>
  <c r="J10" i="7"/>
  <c r="J9" i="7"/>
  <c r="J8" i="7"/>
  <c r="J6" i="7"/>
  <c r="J4" i="7"/>
  <c r="I11" i="7"/>
  <c r="H11" i="7"/>
  <c r="C19" i="7"/>
  <c r="D15" i="7"/>
  <c r="D16" i="7"/>
  <c r="C11" i="7"/>
  <c r="C10" i="7"/>
  <c r="B11" i="7"/>
  <c r="D13" i="6"/>
  <c r="E7" i="6"/>
  <c r="E4" i="6"/>
  <c r="E6" i="6"/>
  <c r="E5" i="6"/>
  <c r="E2" i="6"/>
  <c r="E3" i="6"/>
  <c r="D6" i="6"/>
  <c r="D5" i="6"/>
  <c r="D4" i="6"/>
  <c r="D3" i="6"/>
  <c r="D2" i="6"/>
  <c r="C10" i="6"/>
  <c r="C7" i="6"/>
  <c r="C6" i="6"/>
  <c r="C5" i="6"/>
  <c r="C4" i="6"/>
  <c r="C3" i="6"/>
  <c r="B7" i="6"/>
  <c r="F52" i="5"/>
  <c r="G49" i="5"/>
  <c r="F48" i="5"/>
  <c r="F46" i="5"/>
  <c r="E18" i="5"/>
  <c r="E16" i="5"/>
  <c r="D12" i="5"/>
  <c r="E10" i="5"/>
  <c r="D9" i="5"/>
  <c r="D6" i="5"/>
  <c r="H49" i="4" l="1"/>
  <c r="G48" i="4"/>
  <c r="G52" i="4"/>
  <c r="G46" i="4"/>
  <c r="F18" i="4"/>
  <c r="F16" i="4"/>
  <c r="F10" i="4"/>
  <c r="E9" i="4"/>
  <c r="E12" i="4"/>
  <c r="E6" i="4"/>
  <c r="L42" i="3"/>
  <c r="E40" i="3"/>
  <c r="R27" i="3"/>
  <c r="O26" i="3"/>
  <c r="L27" i="3"/>
  <c r="E28" i="3"/>
  <c r="B28" i="3"/>
  <c r="Q13" i="3"/>
  <c r="K13" i="3"/>
  <c r="E13" i="3"/>
  <c r="N39" i="2" l="1"/>
  <c r="R45" i="2" s="1"/>
  <c r="F39" i="2"/>
  <c r="T27" i="2"/>
  <c r="U16" i="1"/>
  <c r="S17" i="1"/>
  <c r="T15" i="2"/>
  <c r="F29" i="2"/>
  <c r="B27" i="2"/>
  <c r="N16" i="1"/>
  <c r="O8" i="1"/>
  <c r="O7" i="1"/>
  <c r="O6" i="1"/>
  <c r="O5" i="1"/>
  <c r="O11" i="1" s="1"/>
  <c r="M11" i="1"/>
  <c r="Q13" i="2"/>
  <c r="J16" i="1"/>
  <c r="J13" i="1"/>
  <c r="H13" i="1"/>
  <c r="D12" i="1" l="1"/>
</calcChain>
</file>

<file path=xl/sharedStrings.xml><?xml version="1.0" encoding="utf-8"?>
<sst xmlns="http://schemas.openxmlformats.org/spreadsheetml/2006/main" count="1784" uniqueCount="422">
  <si>
    <r>
      <t xml:space="preserve">     </t>
    </r>
    <r>
      <rPr>
        <b/>
        <sz val="11"/>
        <color theme="1"/>
        <rFont val="Calibri"/>
        <family val="2"/>
        <scheme val="minor"/>
      </rPr>
      <t>X</t>
    </r>
  </si>
  <si>
    <r>
      <t xml:space="preserve">      </t>
    </r>
    <r>
      <rPr>
        <b/>
        <sz val="11"/>
        <color theme="1"/>
        <rFont val="Calibri"/>
        <family val="2"/>
        <scheme val="minor"/>
      </rPr>
      <t>f</t>
    </r>
  </si>
  <si>
    <t xml:space="preserve">   10-14</t>
  </si>
  <si>
    <t xml:space="preserve">   15-19</t>
  </si>
  <si>
    <t xml:space="preserve">   20-24</t>
  </si>
  <si>
    <t xml:space="preserve">   25-29</t>
  </si>
  <si>
    <t xml:space="preserve">   30-34</t>
  </si>
  <si>
    <t xml:space="preserve">   35-39</t>
  </si>
  <si>
    <t xml:space="preserve">   40-44</t>
  </si>
  <si>
    <t xml:space="preserve">   45-49</t>
  </si>
  <si>
    <t xml:space="preserve">   50-54</t>
  </si>
  <si>
    <r>
      <t xml:space="preserve">       </t>
    </r>
    <r>
      <rPr>
        <b/>
        <sz val="11"/>
        <color theme="1"/>
        <rFont val="Calibri"/>
        <family val="2"/>
        <scheme val="minor"/>
      </rPr>
      <t>n</t>
    </r>
  </si>
  <si>
    <r>
      <t xml:space="preserve">      </t>
    </r>
    <r>
      <rPr>
        <b/>
        <sz val="11"/>
        <color theme="1"/>
        <rFont val="Calibri"/>
        <family val="2"/>
        <scheme val="minor"/>
      </rPr>
      <t>Xm</t>
    </r>
  </si>
  <si>
    <t xml:space="preserve">    fXm</t>
  </si>
  <si>
    <t>mean</t>
  </si>
  <si>
    <r>
      <t xml:space="preserve">      </t>
    </r>
    <r>
      <rPr>
        <b/>
        <sz val="11"/>
        <color theme="1"/>
        <rFont val="Calibri"/>
        <family val="2"/>
        <scheme val="minor"/>
      </rPr>
      <t>cf</t>
    </r>
  </si>
  <si>
    <t>l</t>
  </si>
  <si>
    <t>n/2</t>
  </si>
  <si>
    <t>cf</t>
  </si>
  <si>
    <t>f</t>
  </si>
  <si>
    <t>h</t>
  </si>
  <si>
    <t>median</t>
  </si>
  <si>
    <t>X</t>
  </si>
  <si>
    <t>Xm</t>
  </si>
  <si>
    <t>fXm</t>
  </si>
  <si>
    <t>0-20</t>
  </si>
  <si>
    <t>20-30</t>
  </si>
  <si>
    <t>30-40</t>
  </si>
  <si>
    <t>40-60</t>
  </si>
  <si>
    <t>60-80</t>
  </si>
  <si>
    <t>TASK -2</t>
  </si>
  <si>
    <t>credit Hrs</t>
  </si>
  <si>
    <t>no.of stds</t>
  </si>
  <si>
    <t>TASK-3</t>
  </si>
  <si>
    <t>1 to 10</t>
  </si>
  <si>
    <t>11 to 20</t>
  </si>
  <si>
    <t>21 to 30</t>
  </si>
  <si>
    <t>31 to 40</t>
  </si>
  <si>
    <t>41 to 50</t>
  </si>
  <si>
    <t>526.5/23</t>
  </si>
  <si>
    <t>21+(11.5-9/10)*10</t>
  </si>
  <si>
    <t>43-45</t>
  </si>
  <si>
    <t>46-48</t>
  </si>
  <si>
    <t>49-51</t>
  </si>
  <si>
    <t>52-54</t>
  </si>
  <si>
    <t>55-57</t>
  </si>
  <si>
    <t>58-60</t>
  </si>
  <si>
    <t>61-63</t>
  </si>
  <si>
    <t>64-66</t>
  </si>
  <si>
    <t>67-69</t>
  </si>
  <si>
    <t>70-72</t>
  </si>
  <si>
    <t>2348/40</t>
  </si>
  <si>
    <t>TASK -5</t>
  </si>
  <si>
    <t>13-19</t>
  </si>
  <si>
    <t>20-26</t>
  </si>
  <si>
    <t>27-33</t>
  </si>
  <si>
    <t>34-40</t>
  </si>
  <si>
    <t>41-47</t>
  </si>
  <si>
    <t>48-54</t>
  </si>
  <si>
    <t>55-61</t>
  </si>
  <si>
    <t>62-68</t>
  </si>
  <si>
    <t>1193/35</t>
  </si>
  <si>
    <t>27+(17.5-9/12)*6</t>
  </si>
  <si>
    <t>58+(20-13/11)*3</t>
  </si>
  <si>
    <t>TASK -6</t>
  </si>
  <si>
    <t>Height</t>
  </si>
  <si>
    <t>n=40</t>
  </si>
  <si>
    <t>6882/40</t>
  </si>
  <si>
    <t xml:space="preserve">05 to 10    </t>
  </si>
  <si>
    <t xml:space="preserve"> 10 to 15</t>
  </si>
  <si>
    <t>15 to 20</t>
  </si>
  <si>
    <t>20 to 25</t>
  </si>
  <si>
    <t>25 to 30</t>
  </si>
  <si>
    <t>30 to 35</t>
  </si>
  <si>
    <t>405/20</t>
  </si>
  <si>
    <t>15+(10-5/6)*5</t>
  </si>
  <si>
    <t>0-10</t>
  </si>
  <si>
    <t>10--20</t>
  </si>
  <si>
    <t>20--30</t>
  </si>
  <si>
    <t>30--40</t>
  </si>
  <si>
    <t>40--50</t>
  </si>
  <si>
    <t>10+(46-30/27)*10</t>
  </si>
  <si>
    <t>40/2</t>
  </si>
  <si>
    <t>20th value</t>
  </si>
  <si>
    <t>TASK-10</t>
  </si>
  <si>
    <t>TASK 1</t>
  </si>
  <si>
    <t>f1</t>
  </si>
  <si>
    <t>f0</t>
  </si>
  <si>
    <t>f2</t>
  </si>
  <si>
    <t>mode</t>
  </si>
  <si>
    <t>35+(9-2/2*9-2-6)*5</t>
  </si>
  <si>
    <t>n</t>
  </si>
  <si>
    <t>0+(30-0/2*30-0-27)*10</t>
  </si>
  <si>
    <t>21+(10-7/2*10-7-3)*10</t>
  </si>
  <si>
    <t>40-50</t>
  </si>
  <si>
    <t>&gt;mode cls</t>
  </si>
  <si>
    <t xml:space="preserve">&gt;mode cl </t>
  </si>
  <si>
    <t>&gt;mode cl</t>
  </si>
  <si>
    <t>58+(11-8/2*11-8-5)*3</t>
  </si>
  <si>
    <t>TASK-5</t>
  </si>
  <si>
    <t>15+(6-4/2*6-4-4)</t>
  </si>
  <si>
    <t>TASK -4</t>
  </si>
  <si>
    <t>27+(12-7/2*12-7-5)*6</t>
  </si>
  <si>
    <t>TASK-7</t>
  </si>
  <si>
    <t>1--2</t>
  </si>
  <si>
    <t>3--4</t>
  </si>
  <si>
    <t>5--6</t>
  </si>
  <si>
    <t>7--8</t>
  </si>
  <si>
    <t>1+(7-0/2*7-0-3)*1</t>
  </si>
  <si>
    <t>TASK-8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</si>
  <si>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</si>
  <si>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</si>
  <si>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</si>
  <si>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</si>
  <si>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</si>
  <si>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</si>
  <si>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</si>
  <si>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</si>
  <si>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</si>
  <si>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41+(14-5/2*14-5-3)*5</t>
  </si>
  <si>
    <t>ascend od</t>
  </si>
  <si>
    <t>n=12</t>
  </si>
  <si>
    <t>Q1</t>
  </si>
  <si>
    <t>1/4(12+1)th term</t>
  </si>
  <si>
    <t>3rd term</t>
  </si>
  <si>
    <t>Q2</t>
  </si>
  <si>
    <t>Q3</t>
  </si>
  <si>
    <t>3/4(12+1)th term</t>
  </si>
  <si>
    <t>10th term</t>
  </si>
  <si>
    <t>9.75-3.25</t>
  </si>
  <si>
    <t>avg(6th&amp;7th)</t>
  </si>
  <si>
    <t>inter quartile range</t>
  </si>
  <si>
    <t>Q3-Q1</t>
  </si>
  <si>
    <t>64-25</t>
  </si>
  <si>
    <t>quartile deviation</t>
  </si>
  <si>
    <t>(Q3-Q1)/2</t>
  </si>
  <si>
    <t>n=30</t>
  </si>
  <si>
    <t xml:space="preserve">1/4(n+1)th term </t>
  </si>
  <si>
    <t>8th term</t>
  </si>
  <si>
    <t>3/4(n+1)th term</t>
  </si>
  <si>
    <t>23th term</t>
  </si>
  <si>
    <t>avg(15th&amp;16th)</t>
  </si>
  <si>
    <t>​</t>
  </si>
  <si>
    <t>Xi</t>
  </si>
  <si>
    <t>Xi*f=Total</t>
  </si>
  <si>
    <t>Absolute deviation from mean |Xi-X|</t>
  </si>
  <si>
    <t>Total</t>
  </si>
  <si>
    <t>X(mean)</t>
  </si>
  <si>
    <t>f*|Xi-X|</t>
  </si>
  <si>
    <t>Mean Dev</t>
  </si>
  <si>
    <t>2697.205/146</t>
  </si>
  <si>
    <t>Individual Series</t>
  </si>
  <si>
    <t>X^2</t>
  </si>
  <si>
    <t>(X/n)^2</t>
  </si>
  <si>
    <t>(82/8)^2</t>
  </si>
  <si>
    <t>std deviation</t>
  </si>
  <si>
    <t>X^2/n</t>
  </si>
  <si>
    <t>1008/8</t>
  </si>
  <si>
    <t>sqrt(x^2/n)-(x/n)^2</t>
  </si>
  <si>
    <t>Discrete Series</t>
  </si>
  <si>
    <t>X*f</t>
  </si>
  <si>
    <t>f*(X^2)</t>
  </si>
  <si>
    <t>D=X</t>
  </si>
  <si>
    <t>fD^2</t>
  </si>
  <si>
    <t>fD</t>
  </si>
  <si>
    <t>(fD/n)^2</t>
  </si>
  <si>
    <t>Continuous Series</t>
  </si>
  <si>
    <t>50--60</t>
  </si>
  <si>
    <t>f.Xi</t>
  </si>
  <si>
    <t>f*(Xi^2)</t>
  </si>
  <si>
    <t>d=X</t>
  </si>
  <si>
    <t>fd^2</t>
  </si>
  <si>
    <t>N</t>
  </si>
  <si>
    <t>fD^2/N</t>
  </si>
  <si>
    <t>fd^2/n</t>
  </si>
  <si>
    <t>fd</t>
  </si>
  <si>
    <t>(fd/n)^2</t>
  </si>
  <si>
    <t>TASK-9</t>
  </si>
  <si>
    <t>0-3</t>
  </si>
  <si>
    <t>4--7</t>
  </si>
  <si>
    <t>8--11</t>
  </si>
  <si>
    <t>12--15</t>
  </si>
  <si>
    <t>16--19</t>
  </si>
  <si>
    <t>171/18</t>
  </si>
  <si>
    <t>TASK-11</t>
  </si>
  <si>
    <t>8+(8-3/2*8-3-3)*3</t>
  </si>
  <si>
    <t>f*Xi</t>
  </si>
  <si>
    <t>f*Xi^2</t>
  </si>
  <si>
    <t>TASK-12</t>
  </si>
  <si>
    <t>cfp</t>
  </si>
  <si>
    <t>8+(9-5/8)*3</t>
  </si>
  <si>
    <t>3+(12-11/5)*1</t>
  </si>
  <si>
    <t>Mean dev</t>
  </si>
  <si>
    <t>29.33334/24</t>
  </si>
  <si>
    <t>f*X^2</t>
  </si>
  <si>
    <t>a</t>
  </si>
  <si>
    <t>n=7</t>
  </si>
  <si>
    <t>b</t>
  </si>
  <si>
    <t>n=11</t>
  </si>
  <si>
    <t>c</t>
  </si>
  <si>
    <t>d</t>
  </si>
  <si>
    <t>n=20</t>
  </si>
  <si>
    <t>30/2</t>
  </si>
  <si>
    <t>15th term</t>
  </si>
  <si>
    <t>n/2=3.5</t>
  </si>
  <si>
    <t>avg(3rd&amp;4rth)</t>
  </si>
  <si>
    <t>n/2=5.5</t>
  </si>
  <si>
    <t>avg(5th&amp;6th)</t>
  </si>
  <si>
    <t>n/2=10</t>
  </si>
  <si>
    <t>TASK-1</t>
  </si>
  <si>
    <t>TASK -3</t>
  </si>
  <si>
    <t>TASK-6</t>
  </si>
  <si>
    <t>f*Xm</t>
  </si>
  <si>
    <t>287/50</t>
  </si>
  <si>
    <t>mean dev</t>
  </si>
  <si>
    <t>142.12/50</t>
  </si>
  <si>
    <t>TASK-13</t>
  </si>
  <si>
    <t>1920/50</t>
  </si>
  <si>
    <t>40+(25-24/20)*10</t>
  </si>
  <si>
    <t>40+(20-12/2*20-12-6)*10</t>
  </si>
  <si>
    <t>TASK-14</t>
  </si>
  <si>
    <t>1--3</t>
  </si>
  <si>
    <t>3--5</t>
  </si>
  <si>
    <t>5--7</t>
  </si>
  <si>
    <t>7--9</t>
  </si>
  <si>
    <t>426/80</t>
  </si>
  <si>
    <t>TASK-</t>
  </si>
  <si>
    <t>5+(40-34/27)*2</t>
  </si>
  <si>
    <t>5+(27-22/2*27-22-19)*2</t>
  </si>
  <si>
    <t>0--10</t>
  </si>
  <si>
    <t>1150/40</t>
  </si>
  <si>
    <t>30+(20-18/12)*10</t>
  </si>
  <si>
    <t>TASK-15</t>
  </si>
  <si>
    <t>30+(12-6/2*30-6-8)*10</t>
  </si>
  <si>
    <t>TASK-16</t>
  </si>
  <si>
    <t>25--35</t>
  </si>
  <si>
    <t>35--45</t>
  </si>
  <si>
    <t>45--55</t>
  </si>
  <si>
    <t>55--65</t>
  </si>
  <si>
    <t>65--75</t>
  </si>
  <si>
    <t>Mean</t>
  </si>
  <si>
    <t>1980/40</t>
  </si>
  <si>
    <t>45+(20-16/8)*10</t>
  </si>
  <si>
    <t>55+(12-8/2*12-8-4)*10</t>
  </si>
  <si>
    <t>TASK-17</t>
  </si>
  <si>
    <t>0-100</t>
  </si>
  <si>
    <t>100-200</t>
  </si>
  <si>
    <t>200-300</t>
  </si>
  <si>
    <t>300-400</t>
  </si>
  <si>
    <t>400-500</t>
  </si>
  <si>
    <t>13200/50</t>
  </si>
  <si>
    <t>200+(25-15/15)*100</t>
  </si>
  <si>
    <t>200+(15-9/2*15-9-12)*100</t>
  </si>
  <si>
    <t>TASK-18</t>
  </si>
  <si>
    <t>84-90</t>
  </si>
  <si>
    <t>90-96</t>
  </si>
  <si>
    <t>96-102</t>
  </si>
  <si>
    <t>102-108</t>
  </si>
  <si>
    <t>108-114</t>
  </si>
  <si>
    <t>114-120</t>
  </si>
  <si>
    <t>8244/80</t>
  </si>
  <si>
    <t>102+(40-34/23)*6</t>
  </si>
  <si>
    <t>102+(23-16/2*23-16-11)*6</t>
  </si>
  <si>
    <t>3620/140</t>
  </si>
  <si>
    <t>20+(70-44/36)*10</t>
  </si>
  <si>
    <t>20+(40-24/2*40-24-36)*10</t>
  </si>
  <si>
    <t>TASK-20</t>
  </si>
  <si>
    <t>TASK-19</t>
  </si>
  <si>
    <t>25-29</t>
  </si>
  <si>
    <t>30-34</t>
  </si>
  <si>
    <t>35-39</t>
  </si>
  <si>
    <t>40-44</t>
  </si>
  <si>
    <t>45-49</t>
  </si>
  <si>
    <t>50-54</t>
  </si>
  <si>
    <t>55-59</t>
  </si>
  <si>
    <t>2755/70</t>
  </si>
  <si>
    <t>35+(35-18/22)*5</t>
  </si>
  <si>
    <t>35+(22-14/2*22-14-16)*5</t>
  </si>
  <si>
    <t>10--19</t>
  </si>
  <si>
    <t>20--29</t>
  </si>
  <si>
    <t>30--39</t>
  </si>
  <si>
    <t>40--49</t>
  </si>
  <si>
    <t>50--59</t>
  </si>
  <si>
    <t>60--69</t>
  </si>
  <si>
    <t>70--79</t>
  </si>
  <si>
    <t>80--89</t>
  </si>
  <si>
    <t>90--99</t>
  </si>
  <si>
    <t>f*X</t>
  </si>
  <si>
    <t>433/20</t>
  </si>
  <si>
    <t>25/20</t>
  </si>
  <si>
    <t>0--9</t>
  </si>
  <si>
    <t>32214.5/481</t>
  </si>
  <si>
    <t>TASK-21</t>
  </si>
  <si>
    <t>70+(240.5-235/78)*10</t>
  </si>
  <si>
    <t>90+(85-83/2*85-83-0)*10</t>
  </si>
  <si>
    <t>TASK-22</t>
  </si>
  <si>
    <t>251/20</t>
  </si>
  <si>
    <t>258.5/20</t>
  </si>
  <si>
    <t>Q3-Q1/2</t>
  </si>
  <si>
    <t>TASK-23</t>
  </si>
  <si>
    <t>n=5</t>
  </si>
  <si>
    <t>1/4(n+1)th term</t>
  </si>
  <si>
    <t>avg(1st&amp;2nd)</t>
  </si>
  <si>
    <t>avg(4th&amp;5th)</t>
  </si>
  <si>
    <t>5.5-2.5</t>
  </si>
  <si>
    <t>6-2.5</t>
  </si>
  <si>
    <t>quartile range</t>
  </si>
  <si>
    <t>(6-2.5)/2</t>
  </si>
  <si>
    <t>n=10</t>
  </si>
  <si>
    <t>8.25-2.75</t>
  </si>
  <si>
    <t xml:space="preserve">inter quartile range </t>
  </si>
  <si>
    <t>78-29</t>
  </si>
  <si>
    <t>(78-29)/2</t>
  </si>
  <si>
    <t>karl pearson's Coefficient of correlation</t>
  </si>
  <si>
    <t>price (in rupees),X</t>
  </si>
  <si>
    <t>Demand(in Kg),Y</t>
  </si>
  <si>
    <t>XY</t>
  </si>
  <si>
    <t>Y^2</t>
  </si>
  <si>
    <t>correlation ,r</t>
  </si>
  <si>
    <t>nominator</t>
  </si>
  <si>
    <t>denominator</t>
  </si>
  <si>
    <t>r</t>
  </si>
  <si>
    <t>negative correlation</t>
  </si>
  <si>
    <t>Y</t>
  </si>
  <si>
    <t>Rx</t>
  </si>
  <si>
    <t>Ry</t>
  </si>
  <si>
    <t>d=Rx-Ry</t>
  </si>
  <si>
    <t>d^2</t>
  </si>
  <si>
    <t>correlation</t>
  </si>
  <si>
    <t>rs</t>
  </si>
  <si>
    <t>1-(6*56)/(8*63)</t>
  </si>
  <si>
    <t>low positive correlation</t>
  </si>
  <si>
    <t>m1</t>
  </si>
  <si>
    <t>m2</t>
  </si>
  <si>
    <t>rk</t>
  </si>
  <si>
    <t>m1^3-m1/12</t>
  </si>
  <si>
    <t>m2^3-m2/12</t>
  </si>
  <si>
    <t>n(n^2-1)</t>
  </si>
  <si>
    <t>IQ,X</t>
  </si>
  <si>
    <t>rock,Y</t>
  </si>
  <si>
    <t>correlation,r</t>
  </si>
  <si>
    <t>(10*17359-1049*166)/sqrt((10*111477-1049^2)(10*4336-166*166))</t>
  </si>
  <si>
    <t>(10*3577-155*239)/sqrt((10*2485-155^2)(10*5925-239^2))</t>
  </si>
  <si>
    <t>math,X</t>
  </si>
  <si>
    <t>science,Y</t>
  </si>
  <si>
    <t>(10*69917-828*847)/sqrt((10*68976-828^2)(10*72127-847^2)</t>
  </si>
  <si>
    <t>m3</t>
  </si>
  <si>
    <t>m4</t>
  </si>
  <si>
    <t>m5</t>
  </si>
  <si>
    <t>m3^3-m3/12</t>
  </si>
  <si>
    <t>m4^3-m4/12</t>
  </si>
  <si>
    <t>m5^3-m5/12</t>
  </si>
  <si>
    <t>1-(6*313.5+26.75+7.8334+7.8334+7.8334+7.8334)/990</t>
  </si>
  <si>
    <t>1-(6*16.5+7.83333)/720</t>
  </si>
  <si>
    <t>1-(6*26+15.66667)/210</t>
  </si>
  <si>
    <t>1-(6*936+15.66667)/3360</t>
  </si>
  <si>
    <t>low negative correlation</t>
  </si>
  <si>
    <t>age(yrs),X</t>
  </si>
  <si>
    <t>BMI(kg/m2Y</t>
  </si>
  <si>
    <t>1-(6*81+31.33333)/1320</t>
  </si>
  <si>
    <t>1-(6*309+42.41667)/990</t>
  </si>
  <si>
    <t>strong negative correlation</t>
  </si>
  <si>
    <t>(6*186-70*15)/sqrt((6*944-70^2)(6*47-15^2)</t>
  </si>
  <si>
    <t>(15*20034-1103*291)/sqrt((15*82791-1103^2)(15*7817-291^2)</t>
  </si>
  <si>
    <t>BMI(kg/m2,Y</t>
  </si>
  <si>
    <t>(11*14267-502*306)/sqrt((11*24492-502^2)(11*8642-306^2)</t>
  </si>
  <si>
    <t>(10*285-64*56)/sqrt((10*520-64^2)(10*374-56^2)</t>
  </si>
  <si>
    <t>Meal</t>
  </si>
  <si>
    <t>Observed total bill(Xi)</t>
  </si>
  <si>
    <t>Oserverved tip amount(yi)</t>
  </si>
  <si>
    <t>(Xi-X)</t>
  </si>
  <si>
    <t>(yi-y)</t>
  </si>
  <si>
    <t>(Xi-X)^2</t>
  </si>
  <si>
    <t>(Xi-X)(yi-y)</t>
  </si>
  <si>
    <t>y^i</t>
  </si>
  <si>
    <t>(yi-y^i)^2</t>
  </si>
  <si>
    <t>Sum</t>
  </si>
  <si>
    <t>mean(X,y)</t>
  </si>
  <si>
    <t>b0+b1*xi</t>
  </si>
  <si>
    <t>b0</t>
  </si>
  <si>
    <t>b1</t>
  </si>
  <si>
    <t>(Xi-X)(yi-y)/(Xi-X)^2</t>
  </si>
  <si>
    <t>615/4206</t>
  </si>
  <si>
    <t>y-b1*X</t>
  </si>
  <si>
    <t>10-0.146219686*74</t>
  </si>
  <si>
    <t>Qnty of potato per week(Xi)</t>
  </si>
  <si>
    <t>sum</t>
  </si>
  <si>
    <t>price of potato per kg(yi)</t>
  </si>
  <si>
    <t>Mean(X,y)</t>
  </si>
  <si>
    <t>y^</t>
  </si>
  <si>
    <t>5.070080251+(-0.047918524*x)</t>
  </si>
  <si>
    <t>total quantity(in 1000 units)Xi</t>
  </si>
  <si>
    <t>unit price (yi)</t>
  </si>
  <si>
    <t>137.3602736+(-0.64263998*x)</t>
  </si>
  <si>
    <t>Advertisement(in rupees) Xi</t>
  </si>
  <si>
    <t>Sales (yi)</t>
  </si>
  <si>
    <t xml:space="preserve">   -69.64912281+(11.9122807*x)</t>
  </si>
  <si>
    <t>x=200</t>
  </si>
  <si>
    <t>Weight(lbs) Xi</t>
  </si>
  <si>
    <t>Height(inches) (yi)</t>
  </si>
  <si>
    <t>Mean X,y</t>
  </si>
  <si>
    <t xml:space="preserve"> 32.78300591+0.200096167*x</t>
  </si>
  <si>
    <t>No.of times shared Xi</t>
  </si>
  <si>
    <t>Count of likes(yi)</t>
  </si>
  <si>
    <t xml:space="preserve"> 0+(0.1*x)</t>
  </si>
  <si>
    <t>Square feet Xi</t>
  </si>
  <si>
    <t>House price in $1000sq(yi)</t>
  </si>
  <si>
    <t xml:space="preserve"> 98.24832962+(0.109767738*x)</t>
  </si>
  <si>
    <t>price Xi</t>
  </si>
  <si>
    <t>Amount demanded(yi)</t>
  </si>
  <si>
    <t>mean X y</t>
  </si>
  <si>
    <t xml:space="preserve"> 66.45833333+(-1.958333333*x)</t>
  </si>
  <si>
    <t>x=20</t>
  </si>
  <si>
    <t xml:space="preserve"> Xi</t>
  </si>
  <si>
    <t>yi</t>
  </si>
  <si>
    <t xml:space="preserve"> 6.068341337+0.942371629*x</t>
  </si>
  <si>
    <t>x=55</t>
  </si>
  <si>
    <t xml:space="preserve"> -37.43857347+(2.367156035*x)</t>
  </si>
  <si>
    <t xml:space="preserve"> 7.28571486+(0.928571429*x)</t>
  </si>
  <si>
    <t xml:space="preserve"> Height of fathers Xi</t>
  </si>
  <si>
    <t>Height of sons yi</t>
  </si>
  <si>
    <t xml:space="preserve"> 66.11417323+(0.61023622*x)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</si>
</sst>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8"/>
      <color rgb="FF303F9F"/>
      <name val="Courier New"/>
      <family val="3"/>
    </font>
    <font>
      <sz val="8"/>
      <color rgb="FF000000"/>
      <name val="Courier New"/>
      <family val="3"/>
    </font>
    <font>
      <sz val="10"/>
      <color rgb="FF000000"/>
      <name val="Inherit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/>
    <xf numFmtId="0" fontId="1" fillId="0" borderId="0" xfId="0" applyFont="1"/>
    <xf numFmtId="16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8" borderId="0" xfId="0" applyFill="1"/>
    <xf numFmtId="0" fontId="0" fillId="9" borderId="0" xfId="0" applyFill="1"/>
    <xf numFmtId="17" fontId="0" fillId="5" borderId="0" xfId="0" applyNumberFormat="1" applyFill="1"/>
    <xf numFmtId="0" fontId="0" fillId="0" borderId="0" xfId="0"/>
    <xf numFmtId="0" fontId="1" fillId="0" borderId="0" xfId="0" applyFont="1"/>
    <xf numFmtId="16" fontId="0" fillId="0" borderId="0" xfId="0" applyNumberFormat="1"/>
    <xf numFmtId="17" fontId="0" fillId="0" borderId="0" xfId="0" applyNumberFormat="1"/>
    <xf numFmtId="0" fontId="0" fillId="10" borderId="0" xfId="0" applyFill="1"/>
    <xf numFmtId="16" fontId="0" fillId="10" borderId="0" xfId="0" applyNumberFormat="1" applyFill="1"/>
    <xf numFmtId="17" fontId="0" fillId="10" borderId="0" xfId="0" applyNumberFormat="1" applyFill="1"/>
    <xf numFmtId="0" fontId="1" fillId="10" borderId="0" xfId="0" applyFont="1" applyFill="1"/>
    <xf numFmtId="0" fontId="0" fillId="11" borderId="0" xfId="0" applyFill="1"/>
    <xf numFmtId="0" fontId="0" fillId="12" borderId="0" xfId="0" applyFill="1"/>
    <xf numFmtId="17" fontId="0" fillId="4" borderId="0" xfId="0" applyNumberFormat="1" applyFill="1"/>
    <xf numFmtId="16" fontId="0" fillId="4" borderId="0" xfId="0" applyNumberFormat="1" applyFill="1"/>
    <xf numFmtId="0" fontId="1" fillId="12" borderId="0" xfId="0" applyFont="1" applyFill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13" borderId="0" xfId="0" applyFill="1"/>
    <xf numFmtId="0" fontId="1" fillId="13" borderId="0" xfId="0" applyFont="1" applyFill="1"/>
    <xf numFmtId="0" fontId="0" fillId="14" borderId="0" xfId="0" applyFill="1"/>
    <xf numFmtId="0" fontId="1" fillId="14" borderId="0" xfId="0" applyFont="1" applyFill="1"/>
    <xf numFmtId="0" fontId="0" fillId="15" borderId="0" xfId="0" applyFill="1"/>
    <xf numFmtId="0" fontId="1" fillId="15" borderId="0" xfId="0" applyFont="1" applyFill="1"/>
    <xf numFmtId="0" fontId="0" fillId="0" borderId="0" xfId="0" applyFont="1"/>
    <xf numFmtId="0" fontId="1" fillId="13" borderId="0" xfId="0" applyFont="1" applyFill="1" applyAlignment="1">
      <alignment horizontal="left" vertical="center"/>
    </xf>
    <xf numFmtId="0" fontId="1" fillId="13" borderId="0" xfId="0" applyFont="1" applyFill="1" applyAlignment="1">
      <alignment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</xdr:row>
          <xdr:rowOff>0</xdr:rowOff>
        </xdr:from>
        <xdr:to>
          <xdr:col>16</xdr:col>
          <xdr:colOff>541020</xdr:colOff>
          <xdr:row>6</xdr:row>
          <xdr:rowOff>22860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"/>
  <sheetViews>
    <sheetView topLeftCell="A57" workbookViewId="0">
      <selection activeCell="H73" sqref="H73:H83"/>
    </sheetView>
  </sheetViews>
  <sheetFormatPr defaultRowHeight="14.4"/>
  <sheetData>
    <row r="1" spans="1:21">
      <c r="A1" s="23" t="s">
        <v>209</v>
      </c>
      <c r="G1" s="17" t="s">
        <v>30</v>
      </c>
      <c r="L1" s="7" t="s">
        <v>210</v>
      </c>
      <c r="Q1" s="7" t="s">
        <v>101</v>
      </c>
    </row>
    <row r="2" spans="1:21">
      <c r="A2" s="15" t="s">
        <v>0</v>
      </c>
      <c r="B2" s="15" t="s">
        <v>1</v>
      </c>
      <c r="C2" s="15" t="s">
        <v>12</v>
      </c>
      <c r="D2" s="16" t="s">
        <v>13</v>
      </c>
      <c r="G2" s="15" t="s">
        <v>22</v>
      </c>
      <c r="H2" s="15" t="s">
        <v>19</v>
      </c>
      <c r="I2" s="15" t="s">
        <v>23</v>
      </c>
      <c r="J2" s="15" t="s">
        <v>24</v>
      </c>
      <c r="L2" t="s">
        <v>22</v>
      </c>
      <c r="M2" t="s">
        <v>19</v>
      </c>
      <c r="N2" t="s">
        <v>23</v>
      </c>
      <c r="O2" t="s">
        <v>24</v>
      </c>
      <c r="Q2" t="s">
        <v>65</v>
      </c>
    </row>
    <row r="3" spans="1:21">
      <c r="A3" s="11" t="s">
        <v>2</v>
      </c>
      <c r="B3" s="11">
        <v>5</v>
      </c>
      <c r="C3" s="11">
        <v>12</v>
      </c>
      <c r="D3" s="11">
        <v>60</v>
      </c>
      <c r="G3" s="11" t="s">
        <v>41</v>
      </c>
      <c r="H3" s="11">
        <v>1</v>
      </c>
      <c r="I3" s="11">
        <v>44</v>
      </c>
      <c r="J3" s="11">
        <v>44</v>
      </c>
      <c r="L3" t="s">
        <v>53</v>
      </c>
      <c r="M3">
        <v>2</v>
      </c>
      <c r="N3">
        <v>16</v>
      </c>
      <c r="O3">
        <v>32</v>
      </c>
      <c r="Q3">
        <v>171</v>
      </c>
      <c r="R3">
        <v>149</v>
      </c>
    </row>
    <row r="4" spans="1:21">
      <c r="A4" s="11" t="s">
        <v>3</v>
      </c>
      <c r="B4" s="11">
        <v>2</v>
      </c>
      <c r="C4" s="11">
        <v>17</v>
      </c>
      <c r="D4" s="11">
        <v>34</v>
      </c>
      <c r="G4" s="11" t="s">
        <v>42</v>
      </c>
      <c r="H4" s="11">
        <v>1</v>
      </c>
      <c r="I4" s="11">
        <v>47</v>
      </c>
      <c r="J4" s="11">
        <v>47</v>
      </c>
      <c r="L4" t="s">
        <v>54</v>
      </c>
      <c r="M4">
        <v>7</v>
      </c>
      <c r="N4">
        <v>23</v>
      </c>
      <c r="O4" s="6">
        <v>161</v>
      </c>
      <c r="Q4">
        <v>161</v>
      </c>
      <c r="R4">
        <v>150</v>
      </c>
      <c r="S4">
        <v>169</v>
      </c>
    </row>
    <row r="5" spans="1:21">
      <c r="A5" s="11" t="s">
        <v>4</v>
      </c>
      <c r="B5" s="11">
        <v>3</v>
      </c>
      <c r="C5" s="11">
        <v>22</v>
      </c>
      <c r="D5" s="11">
        <v>66</v>
      </c>
      <c r="G5" s="11" t="s">
        <v>43</v>
      </c>
      <c r="H5" s="11">
        <v>2</v>
      </c>
      <c r="I5" s="11">
        <v>50</v>
      </c>
      <c r="J5" s="11">
        <v>100</v>
      </c>
      <c r="L5" t="s">
        <v>55</v>
      </c>
      <c r="M5">
        <v>12</v>
      </c>
      <c r="N5">
        <v>30</v>
      </c>
      <c r="O5">
        <f>SUM(M5*N5)</f>
        <v>360</v>
      </c>
      <c r="Q5">
        <v>155</v>
      </c>
      <c r="R5">
        <v>150</v>
      </c>
      <c r="S5">
        <v>182</v>
      </c>
    </row>
    <row r="6" spans="1:21">
      <c r="A6" s="11" t="s">
        <v>5</v>
      </c>
      <c r="B6" s="11">
        <v>5</v>
      </c>
      <c r="C6" s="11">
        <v>27</v>
      </c>
      <c r="D6" s="11">
        <v>135</v>
      </c>
      <c r="G6" s="11" t="s">
        <v>44</v>
      </c>
      <c r="H6" s="11">
        <v>4</v>
      </c>
      <c r="I6" s="11">
        <v>53</v>
      </c>
      <c r="J6" s="11">
        <v>212</v>
      </c>
      <c r="L6" t="s">
        <v>56</v>
      </c>
      <c r="M6">
        <v>5</v>
      </c>
      <c r="N6">
        <v>37</v>
      </c>
      <c r="O6">
        <f>SUM(M6*N6)</f>
        <v>185</v>
      </c>
      <c r="Q6">
        <v>155</v>
      </c>
      <c r="R6">
        <v>152</v>
      </c>
      <c r="S6">
        <v>163</v>
      </c>
    </row>
    <row r="7" spans="1:21">
      <c r="A7" s="11" t="s">
        <v>6</v>
      </c>
      <c r="B7" s="11">
        <v>2</v>
      </c>
      <c r="C7" s="11">
        <v>32</v>
      </c>
      <c r="D7" s="11">
        <v>64</v>
      </c>
      <c r="G7" s="11" t="s">
        <v>45</v>
      </c>
      <c r="H7" s="11">
        <v>8</v>
      </c>
      <c r="I7" s="11">
        <v>56</v>
      </c>
      <c r="J7" s="11">
        <v>448</v>
      </c>
      <c r="L7" t="s">
        <v>57</v>
      </c>
      <c r="M7">
        <v>6</v>
      </c>
      <c r="N7">
        <v>44</v>
      </c>
      <c r="O7">
        <f>SUM(M7*N7)</f>
        <v>264</v>
      </c>
      <c r="Q7">
        <v>183</v>
      </c>
      <c r="R7">
        <v>158</v>
      </c>
      <c r="S7">
        <v>149</v>
      </c>
    </row>
    <row r="8" spans="1:21">
      <c r="A8" s="11" t="s">
        <v>7</v>
      </c>
      <c r="B8" s="11">
        <v>9</v>
      </c>
      <c r="C8" s="11">
        <v>37</v>
      </c>
      <c r="D8" s="11">
        <v>333</v>
      </c>
      <c r="G8" s="11" t="s">
        <v>46</v>
      </c>
      <c r="H8" s="11">
        <v>11</v>
      </c>
      <c r="I8" s="11">
        <v>59</v>
      </c>
      <c r="J8" s="11">
        <v>649</v>
      </c>
      <c r="L8" t="s">
        <v>58</v>
      </c>
      <c r="M8">
        <v>1</v>
      </c>
      <c r="N8">
        <v>51</v>
      </c>
      <c r="O8">
        <f>SUM(M8*N8)</f>
        <v>51</v>
      </c>
      <c r="Q8">
        <v>191</v>
      </c>
      <c r="R8">
        <v>159</v>
      </c>
      <c r="S8">
        <v>174</v>
      </c>
    </row>
    <row r="9" spans="1:21">
      <c r="A9" s="11" t="s">
        <v>8</v>
      </c>
      <c r="B9" s="11">
        <v>6</v>
      </c>
      <c r="C9" s="11">
        <v>42</v>
      </c>
      <c r="D9" s="11">
        <v>252</v>
      </c>
      <c r="G9" s="11" t="s">
        <v>47</v>
      </c>
      <c r="H9" s="11">
        <v>5</v>
      </c>
      <c r="I9" s="11">
        <v>62</v>
      </c>
      <c r="J9" s="11">
        <v>310</v>
      </c>
      <c r="L9" t="s">
        <v>59</v>
      </c>
      <c r="M9">
        <v>0</v>
      </c>
      <c r="N9">
        <v>58</v>
      </c>
      <c r="O9">
        <v>0</v>
      </c>
      <c r="Q9">
        <v>185</v>
      </c>
      <c r="R9">
        <v>174</v>
      </c>
      <c r="S9">
        <v>174</v>
      </c>
    </row>
    <row r="10" spans="1:21">
      <c r="A10" s="11" t="s">
        <v>9</v>
      </c>
      <c r="B10" s="11">
        <v>3</v>
      </c>
      <c r="C10" s="11">
        <v>47</v>
      </c>
      <c r="D10" s="11">
        <v>141</v>
      </c>
      <c r="G10" s="11" t="s">
        <v>48</v>
      </c>
      <c r="H10" s="11">
        <v>4</v>
      </c>
      <c r="I10" s="11">
        <v>65</v>
      </c>
      <c r="J10" s="11">
        <v>260</v>
      </c>
      <c r="L10" t="s">
        <v>60</v>
      </c>
      <c r="M10">
        <v>2</v>
      </c>
      <c r="N10">
        <v>65</v>
      </c>
      <c r="O10">
        <v>140</v>
      </c>
      <c r="Q10">
        <v>170</v>
      </c>
      <c r="R10">
        <v>178</v>
      </c>
      <c r="S10">
        <v>177</v>
      </c>
    </row>
    <row r="11" spans="1:21">
      <c r="A11" s="11" t="s">
        <v>10</v>
      </c>
      <c r="B11" s="11">
        <v>5</v>
      </c>
      <c r="C11" s="11">
        <v>52</v>
      </c>
      <c r="D11" s="11">
        <v>260</v>
      </c>
      <c r="G11" s="11" t="s">
        <v>49</v>
      </c>
      <c r="H11" s="11">
        <v>2</v>
      </c>
      <c r="I11" s="11">
        <v>68</v>
      </c>
      <c r="J11" s="11">
        <v>136</v>
      </c>
      <c r="M11" s="7">
        <f>SUM(M3:M10)</f>
        <v>35</v>
      </c>
      <c r="O11" s="7">
        <f>SUM(O3:O10)</f>
        <v>1193</v>
      </c>
      <c r="Q11">
        <v>172</v>
      </c>
      <c r="R11">
        <v>179</v>
      </c>
      <c r="S11">
        <v>181</v>
      </c>
    </row>
    <row r="12" spans="1:21">
      <c r="A12" s="11" t="s">
        <v>11</v>
      </c>
      <c r="B12" s="11">
        <v>40</v>
      </c>
      <c r="C12" s="11"/>
      <c r="D12" s="11">
        <f>SUM(D3:D11)</f>
        <v>1345</v>
      </c>
      <c r="G12" s="11" t="s">
        <v>50</v>
      </c>
      <c r="H12" s="11">
        <v>2</v>
      </c>
      <c r="I12" s="11">
        <v>71</v>
      </c>
      <c r="J12" s="11">
        <v>142</v>
      </c>
      <c r="Q12">
        <v>177</v>
      </c>
      <c r="R12">
        <v>190</v>
      </c>
      <c r="S12">
        <v>170</v>
      </c>
    </row>
    <row r="13" spans="1:21">
      <c r="A13" s="18" t="s">
        <v>14</v>
      </c>
      <c r="B13" s="19"/>
      <c r="C13" s="19"/>
      <c r="D13" s="19">
        <v>33.625</v>
      </c>
      <c r="G13" s="11"/>
      <c r="H13" s="12">
        <f>SUM(H3:H12)</f>
        <v>40</v>
      </c>
      <c r="I13" s="11"/>
      <c r="J13" s="12">
        <f>SUM(J3:J12)</f>
        <v>2348</v>
      </c>
      <c r="Q13">
        <v>183</v>
      </c>
      <c r="R13">
        <v>170</v>
      </c>
      <c r="S13">
        <v>182</v>
      </c>
    </row>
    <row r="14" spans="1:21">
      <c r="G14" s="11"/>
      <c r="H14" s="11"/>
      <c r="I14" s="11"/>
      <c r="J14" s="11"/>
      <c r="Q14">
        <v>190</v>
      </c>
      <c r="R14">
        <v>143</v>
      </c>
      <c r="S14">
        <v>170</v>
      </c>
      <c r="T14" t="s">
        <v>66</v>
      </c>
      <c r="U14" t="s">
        <v>14</v>
      </c>
    </row>
    <row r="15" spans="1:21">
      <c r="G15" s="19"/>
      <c r="H15" s="19"/>
      <c r="I15" s="19" t="s">
        <v>14</v>
      </c>
      <c r="J15" s="19" t="s">
        <v>51</v>
      </c>
      <c r="M15" t="s">
        <v>14</v>
      </c>
      <c r="N15" t="s">
        <v>61</v>
      </c>
      <c r="Q15">
        <v>139</v>
      </c>
      <c r="R15">
        <v>165</v>
      </c>
      <c r="S15">
        <v>145</v>
      </c>
      <c r="U15" t="s">
        <v>67</v>
      </c>
    </row>
    <row r="16" spans="1:21">
      <c r="G16" s="19"/>
      <c r="H16" s="19"/>
      <c r="I16" s="19"/>
      <c r="J16" s="19">
        <f>SUM(2348/40)</f>
        <v>58.7</v>
      </c>
      <c r="N16">
        <f>SUM(1193/35)</f>
        <v>34.085714285714289</v>
      </c>
      <c r="R16">
        <v>167</v>
      </c>
      <c r="S16">
        <v>143</v>
      </c>
      <c r="U16">
        <f>SUM(6882/40)</f>
        <v>172.05</v>
      </c>
    </row>
    <row r="17" spans="1:23">
      <c r="R17">
        <v>187</v>
      </c>
      <c r="S17">
        <f>SUM(Q3:Q39)</f>
        <v>2592</v>
      </c>
    </row>
    <row r="18" spans="1:23">
      <c r="A18" s="9" t="s">
        <v>52</v>
      </c>
      <c r="B18" s="13"/>
      <c r="C18" s="13"/>
      <c r="D18" s="13"/>
      <c r="G18" s="23" t="s">
        <v>211</v>
      </c>
      <c r="L18" s="23" t="s">
        <v>103</v>
      </c>
      <c r="M18" s="22"/>
      <c r="N18" s="22"/>
      <c r="Q18" s="23" t="s">
        <v>109</v>
      </c>
    </row>
    <row r="19" spans="1:23">
      <c r="A19" s="20" t="s">
        <v>22</v>
      </c>
      <c r="B19" s="20" t="s">
        <v>19</v>
      </c>
      <c r="C19" s="20" t="s">
        <v>23</v>
      </c>
      <c r="D19" s="20" t="s">
        <v>24</v>
      </c>
      <c r="G19" s="22" t="s">
        <v>22</v>
      </c>
      <c r="H19" s="22" t="s">
        <v>19</v>
      </c>
      <c r="I19" s="22" t="s">
        <v>23</v>
      </c>
      <c r="J19" s="22" t="s">
        <v>24</v>
      </c>
      <c r="L19" s="23" t="s">
        <v>22</v>
      </c>
      <c r="M19" s="23" t="s">
        <v>19</v>
      </c>
      <c r="N19" s="23" t="s">
        <v>24</v>
      </c>
      <c r="Q19" s="23" t="s">
        <v>195</v>
      </c>
      <c r="S19" s="23" t="s">
        <v>197</v>
      </c>
      <c r="U19" s="23" t="s">
        <v>199</v>
      </c>
      <c r="W19" s="23" t="s">
        <v>200</v>
      </c>
    </row>
    <row r="20" spans="1:23">
      <c r="A20" s="13" t="s">
        <v>25</v>
      </c>
      <c r="B20" s="13">
        <v>30</v>
      </c>
      <c r="C20" s="13">
        <v>10</v>
      </c>
      <c r="D20" s="13">
        <v>300</v>
      </c>
      <c r="G20" s="24" t="s">
        <v>68</v>
      </c>
      <c r="H20" s="22">
        <v>1</v>
      </c>
      <c r="I20" s="22">
        <v>7.5</v>
      </c>
      <c r="J20" s="22">
        <v>7.5</v>
      </c>
      <c r="L20">
        <v>1</v>
      </c>
      <c r="M20">
        <v>3</v>
      </c>
      <c r="N20">
        <v>3</v>
      </c>
      <c r="Q20">
        <v>12</v>
      </c>
      <c r="S20">
        <v>8</v>
      </c>
      <c r="U20">
        <v>7.9</v>
      </c>
      <c r="W20">
        <v>427</v>
      </c>
    </row>
    <row r="21" spans="1:23">
      <c r="A21" s="13" t="s">
        <v>26</v>
      </c>
      <c r="B21" s="13">
        <v>27</v>
      </c>
      <c r="C21" s="13">
        <v>25</v>
      </c>
      <c r="D21" s="13">
        <v>675</v>
      </c>
      <c r="G21" s="25" t="s">
        <v>69</v>
      </c>
      <c r="H21" s="22">
        <v>4</v>
      </c>
      <c r="I21" s="22">
        <v>12.5</v>
      </c>
      <c r="J21" s="22">
        <v>50</v>
      </c>
      <c r="L21">
        <v>2</v>
      </c>
      <c r="M21" s="23">
        <v>8</v>
      </c>
      <c r="N21" s="23">
        <v>16</v>
      </c>
      <c r="Q21">
        <v>17</v>
      </c>
      <c r="S21">
        <v>8</v>
      </c>
      <c r="U21">
        <v>8.5</v>
      </c>
      <c r="W21">
        <v>423</v>
      </c>
    </row>
    <row r="22" spans="1:23">
      <c r="A22" s="13" t="s">
        <v>27</v>
      </c>
      <c r="B22" s="13">
        <v>14</v>
      </c>
      <c r="C22" s="13">
        <v>35</v>
      </c>
      <c r="D22" s="13">
        <v>490</v>
      </c>
      <c r="G22" s="22" t="s">
        <v>70</v>
      </c>
      <c r="H22" s="22">
        <v>6</v>
      </c>
      <c r="I22" s="22">
        <v>17.5</v>
      </c>
      <c r="J22" s="22">
        <v>105</v>
      </c>
      <c r="L22">
        <v>3</v>
      </c>
      <c r="M22">
        <v>5</v>
      </c>
      <c r="N22">
        <v>15</v>
      </c>
      <c r="O22" s="22"/>
      <c r="Q22">
        <v>20</v>
      </c>
      <c r="S22">
        <v>8</v>
      </c>
      <c r="U22">
        <v>9.1</v>
      </c>
      <c r="W22">
        <v>415</v>
      </c>
    </row>
    <row r="23" spans="1:23">
      <c r="A23" s="13" t="s">
        <v>28</v>
      </c>
      <c r="B23" s="13">
        <v>19</v>
      </c>
      <c r="C23" s="13">
        <v>50</v>
      </c>
      <c r="D23" s="13">
        <v>950</v>
      </c>
      <c r="G23" s="22" t="s">
        <v>71</v>
      </c>
      <c r="H23" s="22">
        <v>4</v>
      </c>
      <c r="I23" s="22">
        <v>22.5</v>
      </c>
      <c r="J23" s="22">
        <v>90</v>
      </c>
      <c r="L23">
        <v>4</v>
      </c>
      <c r="M23" s="23">
        <v>4</v>
      </c>
      <c r="N23" s="23">
        <v>16</v>
      </c>
      <c r="Q23">
        <v>24</v>
      </c>
      <c r="S23">
        <v>10</v>
      </c>
      <c r="U23">
        <v>9.1999999999999993</v>
      </c>
      <c r="W23">
        <v>405</v>
      </c>
    </row>
    <row r="24" spans="1:23">
      <c r="A24" s="13" t="s">
        <v>29</v>
      </c>
      <c r="B24" s="13">
        <v>2</v>
      </c>
      <c r="C24" s="13">
        <v>70</v>
      </c>
      <c r="D24" s="13">
        <v>140</v>
      </c>
      <c r="G24" s="22" t="s">
        <v>72</v>
      </c>
      <c r="H24" s="22">
        <v>2</v>
      </c>
      <c r="I24" s="22">
        <v>27.5</v>
      </c>
      <c r="J24" s="22">
        <v>55</v>
      </c>
      <c r="L24">
        <v>5</v>
      </c>
      <c r="M24">
        <v>2</v>
      </c>
      <c r="N24">
        <v>10</v>
      </c>
      <c r="Q24">
        <v>25</v>
      </c>
      <c r="S24">
        <v>11</v>
      </c>
      <c r="U24">
        <v>9.9</v>
      </c>
      <c r="W24">
        <v>445</v>
      </c>
    </row>
    <row r="25" spans="1:23">
      <c r="A25" s="13"/>
      <c r="B25" s="14">
        <v>92</v>
      </c>
      <c r="C25" s="13"/>
      <c r="D25" s="14">
        <v>2555</v>
      </c>
      <c r="G25" s="22" t="s">
        <v>73</v>
      </c>
      <c r="H25" s="22">
        <v>3</v>
      </c>
      <c r="I25" s="22">
        <v>32.5</v>
      </c>
      <c r="J25" s="22">
        <v>97.5</v>
      </c>
      <c r="L25">
        <v>6</v>
      </c>
      <c r="M25" s="23">
        <v>1</v>
      </c>
      <c r="N25" s="23">
        <v>6</v>
      </c>
      <c r="Q25">
        <v>30</v>
      </c>
      <c r="S25">
        <v>12</v>
      </c>
      <c r="U25">
        <v>10</v>
      </c>
      <c r="W25">
        <v>433</v>
      </c>
    </row>
    <row r="26" spans="1:23">
      <c r="A26" s="13"/>
      <c r="B26" s="13"/>
      <c r="C26" s="13"/>
      <c r="D26" s="13"/>
      <c r="G26" s="22"/>
      <c r="H26" s="23">
        <v>20</v>
      </c>
      <c r="I26" s="23"/>
      <c r="J26" s="23">
        <v>405</v>
      </c>
      <c r="L26">
        <v>7</v>
      </c>
      <c r="M26">
        <v>1</v>
      </c>
      <c r="N26">
        <v>7</v>
      </c>
      <c r="Q26">
        <v>40</v>
      </c>
      <c r="S26">
        <v>12</v>
      </c>
      <c r="U26">
        <v>11.1</v>
      </c>
      <c r="W26">
        <v>442</v>
      </c>
    </row>
    <row r="27" spans="1:23">
      <c r="A27" s="10"/>
      <c r="B27" s="10" t="s">
        <v>14</v>
      </c>
      <c r="C27" s="10">
        <v>27.771739130434781</v>
      </c>
      <c r="D27" s="10"/>
      <c r="M27" s="23">
        <f>SUM(M20:M26)</f>
        <v>24</v>
      </c>
      <c r="N27" s="23">
        <f>SUM(N20:N26)</f>
        <v>73</v>
      </c>
      <c r="Q27" s="23">
        <f>SUM(Q20:Q26)</f>
        <v>168</v>
      </c>
      <c r="S27">
        <v>16</v>
      </c>
      <c r="U27">
        <v>11.2</v>
      </c>
      <c r="W27">
        <v>415</v>
      </c>
    </row>
    <row r="28" spans="1:23">
      <c r="G28" s="22"/>
      <c r="H28" s="22" t="s">
        <v>14</v>
      </c>
      <c r="I28" s="22" t="s">
        <v>74</v>
      </c>
      <c r="J28" s="22">
        <v>20.25</v>
      </c>
      <c r="M28" t="s">
        <v>14</v>
      </c>
      <c r="N28">
        <f>73/24</f>
        <v>3.0416666666666665</v>
      </c>
      <c r="Q28" t="s">
        <v>196</v>
      </c>
      <c r="S28">
        <v>20</v>
      </c>
      <c r="U28">
        <v>11.2</v>
      </c>
      <c r="W28">
        <v>435</v>
      </c>
    </row>
    <row r="29" spans="1:23">
      <c r="Q29" t="s">
        <v>14</v>
      </c>
      <c r="S29">
        <v>20</v>
      </c>
      <c r="U29">
        <v>12.6</v>
      </c>
      <c r="W29">
        <v>448</v>
      </c>
    </row>
    <row r="30" spans="1:23">
      <c r="Q30">
        <f>168/7</f>
        <v>24</v>
      </c>
      <c r="S30">
        <v>24</v>
      </c>
      <c r="U30">
        <v>12.9</v>
      </c>
      <c r="W30">
        <v>429</v>
      </c>
    </row>
    <row r="31" spans="1:23">
      <c r="A31" s="23" t="s">
        <v>177</v>
      </c>
      <c r="G31" s="2" t="s">
        <v>84</v>
      </c>
      <c r="L31" s="2" t="s">
        <v>184</v>
      </c>
      <c r="S31" s="23">
        <f>SUM(S20:S30)</f>
        <v>149</v>
      </c>
      <c r="U31" s="23">
        <f>SUM(U20:U30)</f>
        <v>113.60000000000001</v>
      </c>
      <c r="W31">
        <v>427</v>
      </c>
    </row>
    <row r="32" spans="1:23">
      <c r="A32" s="23" t="s">
        <v>22</v>
      </c>
      <c r="B32" s="23" t="s">
        <v>19</v>
      </c>
      <c r="C32" s="23" t="s">
        <v>23</v>
      </c>
      <c r="D32" s="23" t="s">
        <v>24</v>
      </c>
      <c r="G32" s="1" t="s">
        <v>31</v>
      </c>
      <c r="H32" s="1" t="s">
        <v>32</v>
      </c>
      <c r="L32" s="3" t="s">
        <v>22</v>
      </c>
      <c r="M32" s="3" t="s">
        <v>19</v>
      </c>
      <c r="N32" s="3" t="s">
        <v>23</v>
      </c>
      <c r="O32" s="3" t="s">
        <v>24</v>
      </c>
      <c r="S32" t="s">
        <v>198</v>
      </c>
      <c r="U32" t="s">
        <v>198</v>
      </c>
      <c r="W32">
        <v>403</v>
      </c>
    </row>
    <row r="33" spans="1:23">
      <c r="A33" t="s">
        <v>178</v>
      </c>
      <c r="B33">
        <v>2</v>
      </c>
      <c r="C33">
        <v>1.5</v>
      </c>
      <c r="D33">
        <f>2*1.5</f>
        <v>3</v>
      </c>
      <c r="G33" s="1">
        <v>3</v>
      </c>
      <c r="H33" s="1">
        <v>1</v>
      </c>
      <c r="L33" s="5" t="s">
        <v>34</v>
      </c>
      <c r="M33" s="3">
        <v>2</v>
      </c>
      <c r="N33" s="3">
        <v>5.5</v>
      </c>
      <c r="O33" s="3">
        <v>11</v>
      </c>
      <c r="S33" t="s">
        <v>14</v>
      </c>
      <c r="U33" t="s">
        <v>14</v>
      </c>
      <c r="W33">
        <v>430</v>
      </c>
    </row>
    <row r="34" spans="1:23">
      <c r="A34" t="s">
        <v>179</v>
      </c>
      <c r="B34">
        <v>3</v>
      </c>
      <c r="C34">
        <v>5.5</v>
      </c>
      <c r="D34">
        <v>16.5</v>
      </c>
      <c r="G34" s="1">
        <v>9</v>
      </c>
      <c r="H34" s="1">
        <v>3</v>
      </c>
      <c r="L34" s="3" t="s">
        <v>35</v>
      </c>
      <c r="M34" s="3">
        <v>7</v>
      </c>
      <c r="N34" s="3">
        <v>15.5</v>
      </c>
      <c r="O34" s="3">
        <v>108.5</v>
      </c>
      <c r="S34">
        <f>149/11</f>
        <v>13.545454545454545</v>
      </c>
      <c r="U34">
        <f>113.6/11</f>
        <v>10.327272727272726</v>
      </c>
      <c r="W34">
        <v>446</v>
      </c>
    </row>
    <row r="35" spans="1:23">
      <c r="A35" t="s">
        <v>180</v>
      </c>
      <c r="B35">
        <v>8</v>
      </c>
      <c r="C35">
        <v>9.5</v>
      </c>
      <c r="D35">
        <f>8*9.5</f>
        <v>76</v>
      </c>
      <c r="G35" s="1">
        <v>12</v>
      </c>
      <c r="H35" s="1">
        <v>4</v>
      </c>
      <c r="L35" s="3" t="s">
        <v>36</v>
      </c>
      <c r="M35" s="3">
        <v>10</v>
      </c>
      <c r="N35" s="3">
        <v>25.5</v>
      </c>
      <c r="O35" s="3">
        <v>255</v>
      </c>
      <c r="W35">
        <v>440</v>
      </c>
    </row>
    <row r="36" spans="1:23">
      <c r="A36" t="s">
        <v>181</v>
      </c>
      <c r="B36">
        <v>3</v>
      </c>
      <c r="C36">
        <v>13.5</v>
      </c>
      <c r="D36">
        <f>13.5*3</f>
        <v>40.5</v>
      </c>
      <c r="G36" s="1">
        <v>14</v>
      </c>
      <c r="H36" s="1">
        <v>1</v>
      </c>
      <c r="L36" s="3" t="s">
        <v>37</v>
      </c>
      <c r="M36" s="3">
        <v>3</v>
      </c>
      <c r="N36" s="3">
        <v>35.5</v>
      </c>
      <c r="O36" s="3">
        <v>106.5</v>
      </c>
      <c r="W36">
        <v>425</v>
      </c>
    </row>
    <row r="37" spans="1:23">
      <c r="A37" t="s">
        <v>182</v>
      </c>
      <c r="B37">
        <v>2</v>
      </c>
      <c r="C37">
        <v>17.5</v>
      </c>
      <c r="D37">
        <v>35</v>
      </c>
      <c r="G37" s="1">
        <v>15</v>
      </c>
      <c r="H37" s="1">
        <v>4</v>
      </c>
      <c r="L37" s="3" t="s">
        <v>38</v>
      </c>
      <c r="M37" s="3">
        <v>1</v>
      </c>
      <c r="N37" s="3">
        <v>45.5</v>
      </c>
      <c r="O37" s="3">
        <v>45.5</v>
      </c>
      <c r="W37">
        <v>424</v>
      </c>
    </row>
    <row r="38" spans="1:23">
      <c r="B38" s="23">
        <f>SUM(B33:B37)</f>
        <v>18</v>
      </c>
      <c r="D38" s="23">
        <f>SUM(D33:D37)</f>
        <v>171</v>
      </c>
      <c r="G38" s="1">
        <v>17</v>
      </c>
      <c r="H38" s="1">
        <v>2</v>
      </c>
      <c r="L38" s="3"/>
      <c r="M38" s="4">
        <v>23</v>
      </c>
      <c r="N38" s="3"/>
      <c r="O38" s="4">
        <v>526.5</v>
      </c>
      <c r="W38">
        <v>419</v>
      </c>
    </row>
    <row r="39" spans="1:23">
      <c r="G39" s="1">
        <v>70</v>
      </c>
      <c r="H39" s="1">
        <v>15</v>
      </c>
      <c r="W39">
        <v>428</v>
      </c>
    </row>
    <row r="40" spans="1:23">
      <c r="B40" t="s">
        <v>14</v>
      </c>
      <c r="C40" t="s">
        <v>183</v>
      </c>
      <c r="D40">
        <f>171/18</f>
        <v>9.5</v>
      </c>
      <c r="L40" s="3"/>
      <c r="M40" s="3" t="s">
        <v>14</v>
      </c>
      <c r="N40" s="3" t="s">
        <v>39</v>
      </c>
      <c r="O40" s="3">
        <v>22.891304347826086</v>
      </c>
      <c r="W40">
        <v>441</v>
      </c>
    </row>
    <row r="41" spans="1:23">
      <c r="G41" s="1" t="s">
        <v>14</v>
      </c>
      <c r="H41" s="1">
        <v>4.666666666666667</v>
      </c>
      <c r="W41" s="23">
        <f>SUM(W20:W40)</f>
        <v>9000</v>
      </c>
    </row>
    <row r="42" spans="1:23">
      <c r="W42" t="s">
        <v>201</v>
      </c>
    </row>
    <row r="43" spans="1:23">
      <c r="W43" t="s">
        <v>14</v>
      </c>
    </row>
    <row r="44" spans="1:23">
      <c r="A44" s="23" t="s">
        <v>188</v>
      </c>
      <c r="G44" s="23" t="s">
        <v>216</v>
      </c>
      <c r="L44" s="23" t="s">
        <v>220</v>
      </c>
      <c r="Q44" s="23" t="s">
        <v>220</v>
      </c>
      <c r="R44" s="22"/>
      <c r="S44" s="22"/>
      <c r="T44" s="22"/>
      <c r="W44">
        <f>9000/20</f>
        <v>450</v>
      </c>
    </row>
    <row r="45" spans="1:23">
      <c r="A45" s="23" t="s">
        <v>143</v>
      </c>
      <c r="B45" s="23" t="s">
        <v>19</v>
      </c>
      <c r="C45" s="23" t="s">
        <v>212</v>
      </c>
      <c r="G45" s="23" t="s">
        <v>143</v>
      </c>
      <c r="H45" s="23" t="s">
        <v>19</v>
      </c>
      <c r="I45" s="23" t="s">
        <v>23</v>
      </c>
      <c r="J45" s="23" t="s">
        <v>212</v>
      </c>
      <c r="L45" s="23" t="s">
        <v>22</v>
      </c>
      <c r="M45" s="23" t="s">
        <v>19</v>
      </c>
      <c r="N45" s="23" t="s">
        <v>23</v>
      </c>
      <c r="O45" s="23" t="s">
        <v>212</v>
      </c>
      <c r="Q45" s="23" t="s">
        <v>22</v>
      </c>
      <c r="R45" s="23" t="s">
        <v>19</v>
      </c>
      <c r="S45" s="23" t="s">
        <v>23</v>
      </c>
      <c r="T45" s="23" t="s">
        <v>212</v>
      </c>
    </row>
    <row r="46" spans="1:23">
      <c r="A46">
        <v>0</v>
      </c>
      <c r="B46">
        <v>2</v>
      </c>
      <c r="C46">
        <v>0</v>
      </c>
      <c r="G46" t="s">
        <v>77</v>
      </c>
      <c r="H46">
        <v>3</v>
      </c>
      <c r="I46">
        <v>15</v>
      </c>
      <c r="J46">
        <v>45</v>
      </c>
      <c r="L46" t="s">
        <v>221</v>
      </c>
      <c r="M46">
        <v>12</v>
      </c>
      <c r="N46">
        <v>2</v>
      </c>
      <c r="O46">
        <v>24</v>
      </c>
      <c r="Q46" t="s">
        <v>229</v>
      </c>
      <c r="R46">
        <v>7</v>
      </c>
      <c r="S46">
        <v>5</v>
      </c>
      <c r="T46">
        <v>35</v>
      </c>
    </row>
    <row r="47" spans="1:23">
      <c r="A47">
        <v>1</v>
      </c>
      <c r="B47">
        <v>4</v>
      </c>
      <c r="C47">
        <v>4</v>
      </c>
      <c r="G47" t="s">
        <v>78</v>
      </c>
      <c r="H47">
        <v>9</v>
      </c>
      <c r="I47">
        <v>25</v>
      </c>
      <c r="J47">
        <f>9*25</f>
        <v>225</v>
      </c>
      <c r="L47" t="s">
        <v>222</v>
      </c>
      <c r="M47">
        <v>22</v>
      </c>
      <c r="N47">
        <v>4</v>
      </c>
      <c r="O47">
        <v>88</v>
      </c>
      <c r="Q47" s="25" t="s">
        <v>77</v>
      </c>
      <c r="R47">
        <v>5</v>
      </c>
      <c r="S47">
        <v>15</v>
      </c>
      <c r="T47">
        <f>5*15</f>
        <v>75</v>
      </c>
    </row>
    <row r="48" spans="1:23">
      <c r="A48">
        <v>2</v>
      </c>
      <c r="B48">
        <v>7</v>
      </c>
      <c r="C48">
        <v>14</v>
      </c>
      <c r="G48" t="s">
        <v>79</v>
      </c>
      <c r="H48">
        <v>12</v>
      </c>
      <c r="I48">
        <v>35</v>
      </c>
      <c r="J48">
        <f>12*35</f>
        <v>420</v>
      </c>
      <c r="L48" t="s">
        <v>223</v>
      </c>
      <c r="M48">
        <v>27</v>
      </c>
      <c r="N48">
        <v>6</v>
      </c>
      <c r="O48">
        <f>6*27</f>
        <v>162</v>
      </c>
      <c r="Q48" t="s">
        <v>78</v>
      </c>
      <c r="R48">
        <v>6</v>
      </c>
      <c r="S48">
        <v>25</v>
      </c>
      <c r="T48">
        <v>150</v>
      </c>
    </row>
    <row r="49" spans="1:20">
      <c r="A49">
        <v>3</v>
      </c>
      <c r="B49">
        <v>4</v>
      </c>
      <c r="C49">
        <v>12</v>
      </c>
      <c r="G49" t="s">
        <v>80</v>
      </c>
      <c r="H49">
        <v>20</v>
      </c>
      <c r="I49">
        <v>45</v>
      </c>
      <c r="J49">
        <f>20*45</f>
        <v>900</v>
      </c>
      <c r="L49" t="s">
        <v>224</v>
      </c>
      <c r="M49">
        <v>19</v>
      </c>
      <c r="N49">
        <v>8</v>
      </c>
      <c r="O49">
        <f>8*19</f>
        <v>152</v>
      </c>
      <c r="Q49" t="s">
        <v>79</v>
      </c>
      <c r="R49">
        <v>12</v>
      </c>
      <c r="S49">
        <v>35</v>
      </c>
      <c r="T49">
        <f>12*35</f>
        <v>420</v>
      </c>
    </row>
    <row r="50" spans="1:20">
      <c r="A50">
        <v>4</v>
      </c>
      <c r="B50">
        <v>2</v>
      </c>
      <c r="C50">
        <v>8</v>
      </c>
      <c r="G50" t="s">
        <v>167</v>
      </c>
      <c r="H50">
        <v>6</v>
      </c>
      <c r="I50">
        <v>55</v>
      </c>
      <c r="J50">
        <f>6*55</f>
        <v>330</v>
      </c>
      <c r="M50" s="23">
        <f>SUM(M46:M49)</f>
        <v>80</v>
      </c>
      <c r="O50" s="23">
        <f>SUM(O46:O49)</f>
        <v>426</v>
      </c>
      <c r="Q50" t="s">
        <v>80</v>
      </c>
      <c r="R50">
        <v>8</v>
      </c>
      <c r="S50">
        <v>45</v>
      </c>
      <c r="T50">
        <f>8*45</f>
        <v>360</v>
      </c>
    </row>
    <row r="51" spans="1:20">
      <c r="A51">
        <v>5</v>
      </c>
      <c r="B51">
        <v>0</v>
      </c>
      <c r="C51">
        <v>0</v>
      </c>
      <c r="H51" s="23">
        <f>SUM(H46:H50)</f>
        <v>50</v>
      </c>
      <c r="J51" s="23">
        <f>SUM(J46:J50)</f>
        <v>1920</v>
      </c>
      <c r="Q51" t="s">
        <v>167</v>
      </c>
      <c r="R51">
        <v>2</v>
      </c>
      <c r="S51">
        <v>55</v>
      </c>
      <c r="T51">
        <v>110</v>
      </c>
    </row>
    <row r="52" spans="1:20">
      <c r="A52">
        <v>6</v>
      </c>
      <c r="B52">
        <v>1</v>
      </c>
      <c r="C52">
        <v>6</v>
      </c>
      <c r="R52" s="23">
        <f>SUM(R46:R51)</f>
        <v>40</v>
      </c>
      <c r="T52" s="23">
        <f>SUM(T46:T51)</f>
        <v>1150</v>
      </c>
    </row>
    <row r="53" spans="1:20">
      <c r="A53">
        <v>7</v>
      </c>
      <c r="B53">
        <v>8</v>
      </c>
      <c r="C53">
        <v>56</v>
      </c>
      <c r="H53" t="s">
        <v>14</v>
      </c>
      <c r="I53" t="s">
        <v>217</v>
      </c>
      <c r="J53">
        <f>1920/50</f>
        <v>38.4</v>
      </c>
      <c r="M53" t="s">
        <v>14</v>
      </c>
      <c r="N53" t="s">
        <v>225</v>
      </c>
      <c r="O53">
        <f>426/80</f>
        <v>5.3250000000000002</v>
      </c>
    </row>
    <row r="54" spans="1:20">
      <c r="A54">
        <v>8</v>
      </c>
      <c r="B54">
        <v>13</v>
      </c>
      <c r="C54">
        <v>104</v>
      </c>
      <c r="R54" t="s">
        <v>14</v>
      </c>
      <c r="S54" t="s">
        <v>230</v>
      </c>
      <c r="T54">
        <f>1150/40</f>
        <v>28.75</v>
      </c>
    </row>
    <row r="55" spans="1:20">
      <c r="A55">
        <v>9</v>
      </c>
      <c r="B55">
        <v>7</v>
      </c>
      <c r="C55">
        <v>63</v>
      </c>
    </row>
    <row r="56" spans="1:20">
      <c r="A56">
        <v>10</v>
      </c>
      <c r="B56">
        <v>2</v>
      </c>
      <c r="C56">
        <v>20</v>
      </c>
    </row>
    <row r="57" spans="1:20">
      <c r="B57" s="23">
        <f>SUM(B46:B56)</f>
        <v>50</v>
      </c>
      <c r="C57" s="23">
        <f>SUM(C46:C56)</f>
        <v>287</v>
      </c>
    </row>
    <row r="59" spans="1:20">
      <c r="A59" t="s">
        <v>14</v>
      </c>
      <c r="B59" t="s">
        <v>213</v>
      </c>
      <c r="C59">
        <f>287/50</f>
        <v>5.74</v>
      </c>
    </row>
    <row r="61" spans="1:20">
      <c r="A61" s="23" t="s">
        <v>234</v>
      </c>
      <c r="G61" s="23" t="s">
        <v>244</v>
      </c>
      <c r="H61" s="22"/>
      <c r="I61" s="22"/>
      <c r="J61" s="22"/>
      <c r="L61" s="23" t="s">
        <v>253</v>
      </c>
      <c r="M61" s="22"/>
      <c r="N61" s="22"/>
      <c r="O61" s="22"/>
      <c r="Q61" s="23" t="s">
        <v>267</v>
      </c>
      <c r="R61" s="22"/>
      <c r="S61" s="22"/>
      <c r="T61" s="22"/>
    </row>
    <row r="62" spans="1:20">
      <c r="A62" s="23" t="s">
        <v>143</v>
      </c>
      <c r="B62" s="23" t="s">
        <v>19</v>
      </c>
      <c r="C62" s="23" t="s">
        <v>23</v>
      </c>
      <c r="D62" s="23" t="s">
        <v>212</v>
      </c>
      <c r="G62" s="23" t="s">
        <v>143</v>
      </c>
      <c r="H62" s="23" t="s">
        <v>19</v>
      </c>
      <c r="I62" s="23" t="s">
        <v>23</v>
      </c>
      <c r="J62" s="23" t="s">
        <v>212</v>
      </c>
      <c r="L62" s="23" t="s">
        <v>143</v>
      </c>
      <c r="M62" s="23" t="s">
        <v>19</v>
      </c>
      <c r="N62" s="23" t="s">
        <v>23</v>
      </c>
      <c r="O62" s="23" t="s">
        <v>212</v>
      </c>
      <c r="Q62" s="23" t="s">
        <v>143</v>
      </c>
      <c r="R62" s="23" t="s">
        <v>19</v>
      </c>
      <c r="S62" s="23" t="s">
        <v>23</v>
      </c>
      <c r="T62" s="23" t="s">
        <v>212</v>
      </c>
    </row>
    <row r="63" spans="1:20">
      <c r="A63" t="s">
        <v>235</v>
      </c>
      <c r="B63">
        <v>6</v>
      </c>
      <c r="C63">
        <v>30</v>
      </c>
      <c r="D63">
        <v>180</v>
      </c>
      <c r="G63" t="s">
        <v>245</v>
      </c>
      <c r="H63">
        <v>6</v>
      </c>
      <c r="I63">
        <v>50</v>
      </c>
      <c r="J63">
        <v>300</v>
      </c>
      <c r="L63" t="s">
        <v>254</v>
      </c>
      <c r="M63">
        <v>8</v>
      </c>
      <c r="N63">
        <v>87</v>
      </c>
      <c r="O63">
        <f>8*87</f>
        <v>696</v>
      </c>
      <c r="Q63" t="s">
        <v>229</v>
      </c>
      <c r="R63">
        <v>20</v>
      </c>
      <c r="S63">
        <v>5</v>
      </c>
      <c r="T63">
        <v>100</v>
      </c>
    </row>
    <row r="64" spans="1:20">
      <c r="A64" t="s">
        <v>236</v>
      </c>
      <c r="B64">
        <v>10</v>
      </c>
      <c r="C64">
        <v>40</v>
      </c>
      <c r="D64">
        <v>400</v>
      </c>
      <c r="G64" t="s">
        <v>246</v>
      </c>
      <c r="H64">
        <v>9</v>
      </c>
      <c r="I64">
        <v>150</v>
      </c>
      <c r="J64">
        <v>1350</v>
      </c>
      <c r="L64" t="s">
        <v>255</v>
      </c>
      <c r="M64">
        <v>10</v>
      </c>
      <c r="N64">
        <v>93</v>
      </c>
      <c r="O64">
        <v>930</v>
      </c>
      <c r="Q64" t="s">
        <v>77</v>
      </c>
      <c r="R64">
        <v>24</v>
      </c>
      <c r="S64">
        <v>15</v>
      </c>
      <c r="T64">
        <f>24*15</f>
        <v>360</v>
      </c>
    </row>
    <row r="65" spans="1:20">
      <c r="A65" t="s">
        <v>237</v>
      </c>
      <c r="B65">
        <v>8</v>
      </c>
      <c r="C65">
        <v>50</v>
      </c>
      <c r="D65">
        <v>400</v>
      </c>
      <c r="G65" t="s">
        <v>247</v>
      </c>
      <c r="H65">
        <v>15</v>
      </c>
      <c r="I65">
        <v>250</v>
      </c>
      <c r="J65">
        <f>15*250</f>
        <v>3750</v>
      </c>
      <c r="L65" t="s">
        <v>256</v>
      </c>
      <c r="M65">
        <v>16</v>
      </c>
      <c r="N65">
        <v>99</v>
      </c>
      <c r="O65">
        <f>16*99</f>
        <v>1584</v>
      </c>
      <c r="Q65" t="s">
        <v>78</v>
      </c>
      <c r="R65">
        <v>40</v>
      </c>
      <c r="S65">
        <v>25</v>
      </c>
      <c r="T65">
        <f>40*25</f>
        <v>1000</v>
      </c>
    </row>
    <row r="66" spans="1:20">
      <c r="A66" t="s">
        <v>238</v>
      </c>
      <c r="B66">
        <v>12</v>
      </c>
      <c r="C66">
        <v>60</v>
      </c>
      <c r="D66">
        <f>12*60</f>
        <v>720</v>
      </c>
      <c r="G66" t="s">
        <v>248</v>
      </c>
      <c r="H66">
        <v>12</v>
      </c>
      <c r="I66">
        <v>350</v>
      </c>
      <c r="J66">
        <f>12*350</f>
        <v>4200</v>
      </c>
      <c r="L66" t="s">
        <v>257</v>
      </c>
      <c r="M66">
        <v>23</v>
      </c>
      <c r="N66">
        <v>105</v>
      </c>
      <c r="O66">
        <f>23*105</f>
        <v>2415</v>
      </c>
      <c r="Q66" t="s">
        <v>79</v>
      </c>
      <c r="R66">
        <v>36</v>
      </c>
      <c r="S66">
        <v>35</v>
      </c>
      <c r="T66">
        <f>36*35</f>
        <v>1260</v>
      </c>
    </row>
    <row r="67" spans="1:20">
      <c r="A67" t="s">
        <v>239</v>
      </c>
      <c r="B67">
        <v>4</v>
      </c>
      <c r="C67">
        <v>70</v>
      </c>
      <c r="D67">
        <v>280</v>
      </c>
      <c r="G67" t="s">
        <v>249</v>
      </c>
      <c r="H67">
        <v>8</v>
      </c>
      <c r="I67">
        <v>450</v>
      </c>
      <c r="J67">
        <f>8*450</f>
        <v>3600</v>
      </c>
      <c r="L67" t="s">
        <v>258</v>
      </c>
      <c r="M67">
        <v>12</v>
      </c>
      <c r="N67">
        <v>111</v>
      </c>
      <c r="O67">
        <f>12*111</f>
        <v>1332</v>
      </c>
      <c r="Q67" t="s">
        <v>80</v>
      </c>
      <c r="R67">
        <v>20</v>
      </c>
      <c r="S67">
        <v>45</v>
      </c>
      <c r="T67">
        <f>20*45</f>
        <v>900</v>
      </c>
    </row>
    <row r="68" spans="1:20">
      <c r="B68" s="23">
        <f>SUM(B63:B67)</f>
        <v>40</v>
      </c>
      <c r="D68" s="23">
        <f>SUM(D63:D67)</f>
        <v>1980</v>
      </c>
      <c r="H68" s="23">
        <f>SUM(H63:H67)</f>
        <v>50</v>
      </c>
      <c r="J68" s="23">
        <f>SUM(J63:J67)</f>
        <v>13200</v>
      </c>
      <c r="L68" t="s">
        <v>259</v>
      </c>
      <c r="M68">
        <v>11</v>
      </c>
      <c r="N68">
        <v>117</v>
      </c>
      <c r="O68">
        <f>11*117</f>
        <v>1287</v>
      </c>
      <c r="R68" s="23">
        <f>SUM(R63:R67)</f>
        <v>140</v>
      </c>
      <c r="T68" s="23">
        <f>SUM(T63:T67)</f>
        <v>3620</v>
      </c>
    </row>
    <row r="69" spans="1:20">
      <c r="M69" s="23">
        <f>SUM(M63:M68)</f>
        <v>80</v>
      </c>
      <c r="O69" s="23">
        <f>SUM(O63:O68)</f>
        <v>8244</v>
      </c>
    </row>
    <row r="70" spans="1:20">
      <c r="A70" t="s">
        <v>240</v>
      </c>
      <c r="B70" t="s">
        <v>241</v>
      </c>
      <c r="C70">
        <f>D68/B68</f>
        <v>49.5</v>
      </c>
      <c r="H70" t="s">
        <v>14</v>
      </c>
      <c r="I70" t="s">
        <v>250</v>
      </c>
      <c r="J70">
        <f>J68/H68</f>
        <v>264</v>
      </c>
      <c r="R70" t="s">
        <v>14</v>
      </c>
      <c r="S70" t="s">
        <v>263</v>
      </c>
      <c r="T70">
        <f>T68/R68</f>
        <v>25.857142857142858</v>
      </c>
    </row>
    <row r="71" spans="1:20">
      <c r="M71" t="s">
        <v>14</v>
      </c>
      <c r="N71" t="s">
        <v>260</v>
      </c>
      <c r="O71">
        <f>O69/M69</f>
        <v>103.05</v>
      </c>
    </row>
    <row r="72" spans="1:20">
      <c r="A72" s="23" t="s">
        <v>266</v>
      </c>
      <c r="G72" s="23" t="s">
        <v>292</v>
      </c>
      <c r="H72" s="22"/>
      <c r="I72" s="22"/>
      <c r="J72" s="22"/>
      <c r="L72" s="23" t="s">
        <v>295</v>
      </c>
      <c r="M72" s="22"/>
      <c r="N72" s="22"/>
      <c r="O72" s="22"/>
      <c r="Q72" s="23" t="s">
        <v>299</v>
      </c>
      <c r="R72" s="22"/>
      <c r="S72" s="22"/>
    </row>
    <row r="73" spans="1:20">
      <c r="A73" s="23" t="s">
        <v>143</v>
      </c>
      <c r="B73" s="23" t="s">
        <v>19</v>
      </c>
      <c r="C73" s="23" t="s">
        <v>23</v>
      </c>
      <c r="D73" s="23" t="s">
        <v>212</v>
      </c>
      <c r="G73" s="23" t="s">
        <v>143</v>
      </c>
      <c r="H73" s="23" t="s">
        <v>19</v>
      </c>
      <c r="I73" s="23" t="s">
        <v>23</v>
      </c>
      <c r="J73" s="23" t="s">
        <v>212</v>
      </c>
      <c r="L73" s="23" t="s">
        <v>22</v>
      </c>
      <c r="M73" s="23" t="s">
        <v>19</v>
      </c>
      <c r="N73" s="23" t="s">
        <v>287</v>
      </c>
      <c r="Q73" s="23" t="s">
        <v>22</v>
      </c>
      <c r="R73" s="23" t="s">
        <v>19</v>
      </c>
      <c r="S73" s="23" t="s">
        <v>287</v>
      </c>
    </row>
    <row r="74" spans="1:20">
      <c r="A74" t="s">
        <v>268</v>
      </c>
      <c r="B74">
        <v>4</v>
      </c>
      <c r="C74">
        <v>27</v>
      </c>
      <c r="D74">
        <f>4*27</f>
        <v>108</v>
      </c>
      <c r="G74" t="s">
        <v>290</v>
      </c>
      <c r="H74">
        <v>5</v>
      </c>
      <c r="I74">
        <v>4.5</v>
      </c>
      <c r="J74">
        <f t="shared" ref="J74:J83" si="0">H74*I74</f>
        <v>22.5</v>
      </c>
      <c r="L74">
        <v>20</v>
      </c>
      <c r="M74">
        <v>6</v>
      </c>
      <c r="N74">
        <v>120</v>
      </c>
      <c r="Q74">
        <v>10</v>
      </c>
      <c r="R74">
        <v>2</v>
      </c>
      <c r="S74">
        <v>20</v>
      </c>
    </row>
    <row r="75" spans="1:20">
      <c r="A75" t="s">
        <v>269</v>
      </c>
      <c r="B75">
        <v>14</v>
      </c>
      <c r="C75">
        <v>32</v>
      </c>
      <c r="D75">
        <f>14*32</f>
        <v>448</v>
      </c>
      <c r="G75" t="s">
        <v>278</v>
      </c>
      <c r="H75">
        <v>9</v>
      </c>
      <c r="I75">
        <v>14.5</v>
      </c>
      <c r="J75">
        <f t="shared" si="0"/>
        <v>130.5</v>
      </c>
      <c r="L75">
        <v>21</v>
      </c>
      <c r="M75">
        <v>4</v>
      </c>
      <c r="N75">
        <v>84</v>
      </c>
      <c r="Q75">
        <v>11</v>
      </c>
      <c r="R75">
        <v>3</v>
      </c>
      <c r="S75">
        <v>33</v>
      </c>
    </row>
    <row r="76" spans="1:20">
      <c r="A76" t="s">
        <v>270</v>
      </c>
      <c r="B76">
        <v>22</v>
      </c>
      <c r="C76">
        <v>37</v>
      </c>
      <c r="D76">
        <f>22*37</f>
        <v>814</v>
      </c>
      <c r="G76" t="s">
        <v>279</v>
      </c>
      <c r="H76">
        <v>17</v>
      </c>
      <c r="I76">
        <v>24.5</v>
      </c>
      <c r="J76">
        <f t="shared" si="0"/>
        <v>416.5</v>
      </c>
      <c r="L76">
        <v>22</v>
      </c>
      <c r="M76">
        <v>5</v>
      </c>
      <c r="N76">
        <v>110</v>
      </c>
      <c r="Q76">
        <v>12</v>
      </c>
      <c r="R76">
        <v>8</v>
      </c>
      <c r="S76">
        <f>12*8</f>
        <v>96</v>
      </c>
    </row>
    <row r="77" spans="1:20">
      <c r="A77" t="s">
        <v>271</v>
      </c>
      <c r="B77">
        <v>16</v>
      </c>
      <c r="C77">
        <v>42</v>
      </c>
      <c r="D77">
        <f>16*42</f>
        <v>672</v>
      </c>
      <c r="G77" t="s">
        <v>280</v>
      </c>
      <c r="H77">
        <v>29</v>
      </c>
      <c r="I77">
        <v>34.5</v>
      </c>
      <c r="J77">
        <f t="shared" si="0"/>
        <v>1000.5</v>
      </c>
      <c r="L77">
        <v>23</v>
      </c>
      <c r="M77">
        <v>1</v>
      </c>
      <c r="N77">
        <v>23</v>
      </c>
      <c r="Q77">
        <v>14</v>
      </c>
      <c r="R77">
        <v>3</v>
      </c>
      <c r="S77">
        <f>14*3</f>
        <v>42</v>
      </c>
    </row>
    <row r="78" spans="1:20">
      <c r="A78" t="s">
        <v>272</v>
      </c>
      <c r="B78">
        <v>6</v>
      </c>
      <c r="C78">
        <v>47</v>
      </c>
      <c r="D78">
        <f>6*47</f>
        <v>282</v>
      </c>
      <c r="G78" t="s">
        <v>281</v>
      </c>
      <c r="H78">
        <v>45</v>
      </c>
      <c r="I78">
        <v>44.5</v>
      </c>
      <c r="J78">
        <f t="shared" si="0"/>
        <v>2002.5</v>
      </c>
      <c r="L78">
        <v>24</v>
      </c>
      <c r="M78">
        <v>4</v>
      </c>
      <c r="N78">
        <v>96</v>
      </c>
      <c r="Q78">
        <v>15</v>
      </c>
      <c r="R78">
        <v>4</v>
      </c>
      <c r="S78">
        <f>15*4</f>
        <v>60</v>
      </c>
    </row>
    <row r="79" spans="1:20">
      <c r="A79" t="s">
        <v>273</v>
      </c>
      <c r="B79">
        <v>5</v>
      </c>
      <c r="C79">
        <v>52</v>
      </c>
      <c r="D79">
        <f>5*52</f>
        <v>260</v>
      </c>
      <c r="G79" t="s">
        <v>282</v>
      </c>
      <c r="H79">
        <v>60</v>
      </c>
      <c r="I79">
        <v>54.5</v>
      </c>
      <c r="J79">
        <f t="shared" si="0"/>
        <v>3270</v>
      </c>
      <c r="M79" s="23">
        <f>SUM(M74:M78)</f>
        <v>20</v>
      </c>
      <c r="N79" s="23">
        <f>SUM(N74:N78)</f>
        <v>433</v>
      </c>
      <c r="R79" s="23">
        <f>SUM(R74:R78)</f>
        <v>20</v>
      </c>
      <c r="S79" s="23">
        <f>SUM(S74:S78)</f>
        <v>251</v>
      </c>
    </row>
    <row r="80" spans="1:20">
      <c r="A80" t="s">
        <v>274</v>
      </c>
      <c r="B80">
        <v>3</v>
      </c>
      <c r="C80">
        <v>57</v>
      </c>
      <c r="D80">
        <f>3*57</f>
        <v>171</v>
      </c>
      <c r="G80" t="s">
        <v>283</v>
      </c>
      <c r="H80">
        <v>70</v>
      </c>
      <c r="I80">
        <v>64.5</v>
      </c>
      <c r="J80">
        <f t="shared" si="0"/>
        <v>4515</v>
      </c>
    </row>
    <row r="81" spans="1:19">
      <c r="B81" s="23">
        <f>SUM(B74:B80)</f>
        <v>70</v>
      </c>
      <c r="D81" s="23">
        <f>SUM(D74:D80)</f>
        <v>2755</v>
      </c>
      <c r="G81" t="s">
        <v>284</v>
      </c>
      <c r="H81">
        <v>78</v>
      </c>
      <c r="I81">
        <v>74.5</v>
      </c>
      <c r="J81">
        <f t="shared" si="0"/>
        <v>5811</v>
      </c>
      <c r="L81" t="s">
        <v>14</v>
      </c>
      <c r="M81" t="s">
        <v>288</v>
      </c>
      <c r="N81">
        <f>433/20</f>
        <v>21.65</v>
      </c>
      <c r="Q81" t="s">
        <v>14</v>
      </c>
      <c r="R81" t="s">
        <v>296</v>
      </c>
      <c r="S81">
        <f>251/20</f>
        <v>12.55</v>
      </c>
    </row>
    <row r="82" spans="1:19">
      <c r="G82" t="s">
        <v>285</v>
      </c>
      <c r="H82">
        <v>83</v>
      </c>
      <c r="I82">
        <v>84.5</v>
      </c>
      <c r="J82">
        <f t="shared" si="0"/>
        <v>7013.5</v>
      </c>
    </row>
    <row r="83" spans="1:19">
      <c r="A83" t="s">
        <v>14</v>
      </c>
      <c r="B83" t="s">
        <v>275</v>
      </c>
      <c r="G83" t="s">
        <v>286</v>
      </c>
      <c r="H83">
        <v>85</v>
      </c>
      <c r="I83">
        <v>94.5</v>
      </c>
      <c r="J83">
        <f t="shared" si="0"/>
        <v>8032.5</v>
      </c>
    </row>
    <row r="84" spans="1:19">
      <c r="H84" s="23">
        <f>SUM(H74:H83)</f>
        <v>481</v>
      </c>
      <c r="J84" s="23">
        <f>SUM(J74:J83)</f>
        <v>32214.5</v>
      </c>
    </row>
    <row r="86" spans="1:19">
      <c r="G86" t="s">
        <v>14</v>
      </c>
      <c r="H86" t="s">
        <v>291</v>
      </c>
      <c r="J86">
        <f>J84/H84</f>
        <v>66.974012474012468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1"/>
  <sheetViews>
    <sheetView tabSelected="1" topLeftCell="A200" workbookViewId="0">
      <selection activeCell="H215" sqref="H215"/>
    </sheetView>
  </sheetViews>
  <sheetFormatPr defaultRowHeight="14.4"/>
  <cols>
    <col min="1" max="1" width="10.44140625" customWidth="1"/>
    <col min="2" max="2" width="26.109375" customWidth="1"/>
    <col min="3" max="3" width="22.5546875" customWidth="1"/>
    <col min="4" max="4" width="10.5546875" customWidth="1"/>
    <col min="5" max="5" width="10.109375" customWidth="1"/>
    <col min="7" max="7" width="10" customWidth="1"/>
    <col min="8" max="8" width="17.6640625" customWidth="1"/>
    <col min="9" max="9" width="17.21875" customWidth="1"/>
  </cols>
  <sheetData>
    <row r="2" spans="1:9" ht="26.4" customHeight="1">
      <c r="A2" s="47" t="s">
        <v>367</v>
      </c>
      <c r="B2" s="48" t="s">
        <v>368</v>
      </c>
      <c r="C2" s="47" t="s">
        <v>369</v>
      </c>
      <c r="D2" s="49" t="s">
        <v>370</v>
      </c>
      <c r="E2" s="49" t="s">
        <v>371</v>
      </c>
      <c r="F2" s="48" t="s">
        <v>372</v>
      </c>
      <c r="G2" s="47" t="s">
        <v>373</v>
      </c>
      <c r="H2" s="49" t="s">
        <v>374</v>
      </c>
      <c r="I2" s="49" t="s">
        <v>375</v>
      </c>
    </row>
    <row r="3" spans="1:9">
      <c r="A3">
        <v>1</v>
      </c>
      <c r="B3">
        <v>34</v>
      </c>
      <c r="C3">
        <v>5</v>
      </c>
      <c r="D3">
        <f>34-74</f>
        <v>-40</v>
      </c>
      <c r="E3">
        <v>-5</v>
      </c>
      <c r="F3">
        <v>1600</v>
      </c>
      <c r="G3">
        <v>200</v>
      </c>
      <c r="H3">
        <f t="shared" ref="H3:H8" si="0">F12</f>
        <v>4.1512125479999993</v>
      </c>
      <c r="I3">
        <f>(5-H3)^2</f>
        <v>0.72044013867265355</v>
      </c>
    </row>
    <row r="4" spans="1:9">
      <c r="A4">
        <v>2</v>
      </c>
      <c r="B4">
        <v>108</v>
      </c>
      <c r="C4">
        <v>17</v>
      </c>
      <c r="D4">
        <f>108-74</f>
        <v>34</v>
      </c>
      <c r="E4">
        <v>7</v>
      </c>
      <c r="F4">
        <f>34*34</f>
        <v>1156</v>
      </c>
      <c r="G4">
        <f>34*7</f>
        <v>238</v>
      </c>
      <c r="H4">
        <f t="shared" si="0"/>
        <v>14.971469311999998</v>
      </c>
      <c r="I4">
        <f>(17-H4)^2</f>
        <v>4.1149367521577602</v>
      </c>
    </row>
    <row r="5" spans="1:9">
      <c r="A5">
        <v>3</v>
      </c>
      <c r="B5">
        <v>64</v>
      </c>
      <c r="C5">
        <v>11</v>
      </c>
      <c r="D5">
        <f>64-74</f>
        <v>-10</v>
      </c>
      <c r="E5">
        <v>1</v>
      </c>
      <c r="F5">
        <v>100</v>
      </c>
      <c r="G5">
        <v>-10</v>
      </c>
      <c r="H5">
        <f t="shared" si="0"/>
        <v>8.5378031279999984</v>
      </c>
      <c r="I5">
        <f>(11-H5)^2</f>
        <v>6.062413436486592</v>
      </c>
    </row>
    <row r="6" spans="1:9">
      <c r="A6">
        <v>4</v>
      </c>
      <c r="B6">
        <v>88</v>
      </c>
      <c r="C6">
        <v>8</v>
      </c>
      <c r="D6">
        <f>88-74</f>
        <v>14</v>
      </c>
      <c r="E6">
        <v>-2</v>
      </c>
      <c r="F6">
        <v>196</v>
      </c>
      <c r="G6">
        <v>-28</v>
      </c>
      <c r="H6">
        <f t="shared" si="0"/>
        <v>12.047075591999999</v>
      </c>
      <c r="I6">
        <f>(8-H6)^2</f>
        <v>16.378820847362139</v>
      </c>
    </row>
    <row r="7" spans="1:9">
      <c r="A7">
        <v>5</v>
      </c>
      <c r="B7">
        <v>99</v>
      </c>
      <c r="C7">
        <v>14</v>
      </c>
      <c r="D7">
        <f>99-74</f>
        <v>25</v>
      </c>
      <c r="E7">
        <v>4</v>
      </c>
      <c r="F7">
        <v>625</v>
      </c>
      <c r="G7">
        <v>100</v>
      </c>
      <c r="H7">
        <f t="shared" si="0"/>
        <v>13.655492137999998</v>
      </c>
      <c r="I7">
        <f>(14-H7)^2</f>
        <v>0.11868566697981253</v>
      </c>
    </row>
    <row r="8" spans="1:9">
      <c r="A8">
        <v>6</v>
      </c>
      <c r="B8">
        <v>51</v>
      </c>
      <c r="C8">
        <v>5</v>
      </c>
      <c r="D8">
        <f>51-74</f>
        <v>-23</v>
      </c>
      <c r="E8">
        <v>-5</v>
      </c>
      <c r="F8">
        <f>23*23</f>
        <v>529</v>
      </c>
      <c r="G8">
        <f>-23*-5</f>
        <v>115</v>
      </c>
      <c r="H8">
        <f t="shared" si="0"/>
        <v>6.6369472099999998</v>
      </c>
      <c r="I8">
        <f>(5-H8)^2</f>
        <v>2.6795961683267833</v>
      </c>
    </row>
    <row r="9" spans="1:9">
      <c r="A9" s="41" t="s">
        <v>376</v>
      </c>
      <c r="B9" s="41">
        <f>SUM(B3:B8)</f>
        <v>444</v>
      </c>
      <c r="C9" s="41">
        <f>SUM(C3:C8)</f>
        <v>60</v>
      </c>
      <c r="D9" s="40"/>
      <c r="E9" s="40"/>
      <c r="F9" s="41">
        <f>SUM(F3:F8)</f>
        <v>4206</v>
      </c>
      <c r="G9" s="41">
        <f>SUM(G3:G8)</f>
        <v>615</v>
      </c>
      <c r="H9" s="40"/>
      <c r="I9" s="41">
        <f>SUM(I3:I8)</f>
        <v>30.07489300998574</v>
      </c>
    </row>
    <row r="10" spans="1:9">
      <c r="A10" s="41" t="s">
        <v>377</v>
      </c>
      <c r="B10" s="40">
        <f>B9/6</f>
        <v>74</v>
      </c>
      <c r="C10" s="40">
        <f>60/6</f>
        <v>10</v>
      </c>
      <c r="D10" s="40"/>
      <c r="E10" s="40"/>
      <c r="F10" s="40"/>
      <c r="G10" s="40"/>
      <c r="H10" s="40"/>
      <c r="I10" s="40"/>
    </row>
    <row r="12" spans="1:9">
      <c r="D12">
        <v>1</v>
      </c>
      <c r="E12" t="s">
        <v>374</v>
      </c>
      <c r="F12">
        <f>-0.820256776+0.146219686*34</f>
        <v>4.1512125479999993</v>
      </c>
    </row>
    <row r="13" spans="1:9">
      <c r="B13" t="s">
        <v>374</v>
      </c>
      <c r="C13" t="s">
        <v>378</v>
      </c>
      <c r="D13">
        <v>2</v>
      </c>
      <c r="E13" s="22" t="s">
        <v>374</v>
      </c>
      <c r="F13">
        <f>-0.820256776+0.146219686*108</f>
        <v>14.971469311999998</v>
      </c>
    </row>
    <row r="14" spans="1:9">
      <c r="B14" t="s">
        <v>379</v>
      </c>
      <c r="C14" t="s">
        <v>383</v>
      </c>
      <c r="D14">
        <v>3</v>
      </c>
      <c r="E14" s="22" t="s">
        <v>374</v>
      </c>
      <c r="F14">
        <f>-0.820256776+0.146219686*64</f>
        <v>8.5378031279999984</v>
      </c>
    </row>
    <row r="15" spans="1:9">
      <c r="B15" t="s">
        <v>380</v>
      </c>
      <c r="C15" t="s">
        <v>381</v>
      </c>
      <c r="D15">
        <v>4</v>
      </c>
      <c r="E15" s="22" t="s">
        <v>374</v>
      </c>
      <c r="F15">
        <f>-0.820256776+0.146219686*88</f>
        <v>12.047075591999999</v>
      </c>
    </row>
    <row r="16" spans="1:9">
      <c r="D16">
        <v>5</v>
      </c>
      <c r="E16" s="22" t="s">
        <v>374</v>
      </c>
      <c r="F16">
        <f>-0.820256776+0.146219686*99</f>
        <v>13.655492137999998</v>
      </c>
    </row>
    <row r="17" spans="1:9">
      <c r="B17" t="s">
        <v>380</v>
      </c>
      <c r="C17" t="s">
        <v>382</v>
      </c>
      <c r="D17">
        <v>6</v>
      </c>
      <c r="E17" s="22" t="s">
        <v>374</v>
      </c>
      <c r="F17">
        <f>-0.820256776+0.146219686*51</f>
        <v>6.6369472099999998</v>
      </c>
    </row>
    <row r="18" spans="1:9">
      <c r="C18">
        <f>G9/F9</f>
        <v>0.14621968616262482</v>
      </c>
      <c r="D18">
        <v>7</v>
      </c>
      <c r="E18" t="s">
        <v>374</v>
      </c>
      <c r="F18">
        <f>C20+(C18*43)</f>
        <v>5.4671897289586306</v>
      </c>
      <c r="G18">
        <v>43</v>
      </c>
    </row>
    <row r="19" spans="1:9">
      <c r="B19" t="s">
        <v>379</v>
      </c>
      <c r="C19" t="s">
        <v>384</v>
      </c>
      <c r="F19">
        <f>C20+(C18*58)</f>
        <v>7.6604850213980029</v>
      </c>
      <c r="G19">
        <v>58</v>
      </c>
    </row>
    <row r="20" spans="1:9">
      <c r="C20">
        <f>10-(C18*B10)</f>
        <v>-0.82025677603423652</v>
      </c>
    </row>
    <row r="22" spans="1:9" ht="27" customHeight="1">
      <c r="A22" s="40"/>
      <c r="B22" s="49" t="s">
        <v>385</v>
      </c>
      <c r="C22" s="49" t="s">
        <v>387</v>
      </c>
      <c r="D22" s="49" t="s">
        <v>370</v>
      </c>
      <c r="E22" s="49" t="s">
        <v>371</v>
      </c>
      <c r="F22" s="48" t="s">
        <v>372</v>
      </c>
      <c r="G22" s="47" t="s">
        <v>373</v>
      </c>
      <c r="H22" s="49" t="s">
        <v>374</v>
      </c>
      <c r="I22" s="49" t="s">
        <v>375</v>
      </c>
    </row>
    <row r="23" spans="1:9">
      <c r="B23">
        <v>8</v>
      </c>
      <c r="C23">
        <v>5</v>
      </c>
      <c r="D23">
        <f>8-42.5</f>
        <v>-34.5</v>
      </c>
      <c r="E23">
        <v>2</v>
      </c>
      <c r="F23">
        <f>D23^2</f>
        <v>1190.25</v>
      </c>
      <c r="G23">
        <f>D23*E23</f>
        <v>-69</v>
      </c>
      <c r="H23">
        <f>C36+C35*8</f>
        <v>4.6867320559790535</v>
      </c>
      <c r="I23">
        <f>(5-H23)^2</f>
        <v>9.8136804751110862E-2</v>
      </c>
    </row>
    <row r="24" spans="1:9">
      <c r="B24">
        <v>20</v>
      </c>
      <c r="C24">
        <v>4</v>
      </c>
      <c r="D24">
        <f>20-43.2</f>
        <v>-23.200000000000003</v>
      </c>
      <c r="E24">
        <v>1</v>
      </c>
      <c r="F24">
        <f>D24^2</f>
        <v>538.24000000000012</v>
      </c>
      <c r="G24">
        <f>D24*E24</f>
        <v>-23.200000000000003</v>
      </c>
      <c r="H24">
        <f>C36+C35*20</f>
        <v>4.1117097641680127</v>
      </c>
      <c r="I24">
        <f>(4-H24)^2</f>
        <v>1.2479071410473015E-2</v>
      </c>
    </row>
    <row r="25" spans="1:9">
      <c r="B25">
        <v>38</v>
      </c>
      <c r="C25">
        <v>3</v>
      </c>
      <c r="D25">
        <f>38-43.2</f>
        <v>-5.2000000000000028</v>
      </c>
      <c r="E25">
        <v>0</v>
      </c>
      <c r="F25">
        <f>D25^2</f>
        <v>27.040000000000031</v>
      </c>
      <c r="G25">
        <f>D25*E25</f>
        <v>0</v>
      </c>
      <c r="H25">
        <f>C36+C35*38</f>
        <v>3.249176326451451</v>
      </c>
      <c r="I25">
        <f>(3-H25)^2</f>
        <v>6.20888416638401E-2</v>
      </c>
    </row>
    <row r="26" spans="1:9">
      <c r="B26">
        <v>60</v>
      </c>
      <c r="C26">
        <v>2</v>
      </c>
      <c r="D26">
        <f>60-43.2</f>
        <v>16.799999999999997</v>
      </c>
      <c r="E26">
        <v>-1</v>
      </c>
      <c r="F26">
        <f>D26^2</f>
        <v>282.2399999999999</v>
      </c>
      <c r="G26">
        <v>-16.8</v>
      </c>
      <c r="H26">
        <f>C36+C35*B26</f>
        <v>2.1949687914645426</v>
      </c>
      <c r="I26">
        <f>(2-H26)^2</f>
        <v>3.8012829645144297E-2</v>
      </c>
    </row>
    <row r="27" spans="1:9">
      <c r="B27">
        <v>90</v>
      </c>
      <c r="C27">
        <v>1</v>
      </c>
      <c r="D27">
        <f>90-43.2</f>
        <v>46.8</v>
      </c>
      <c r="E27">
        <v>-2</v>
      </c>
      <c r="F27">
        <f>D27^2</f>
        <v>2190.2399999999998</v>
      </c>
      <c r="G27">
        <f>D27*E27</f>
        <v>-93.6</v>
      </c>
      <c r="H27">
        <f>C36+C35*90</f>
        <v>0.75741306193693969</v>
      </c>
      <c r="I27">
        <f>(1-H27)^2</f>
        <v>5.8848422518811061E-2</v>
      </c>
    </row>
    <row r="28" spans="1:9">
      <c r="A28" s="23" t="s">
        <v>386</v>
      </c>
      <c r="B28" s="23">
        <f>SUM(B23:B27)</f>
        <v>216</v>
      </c>
      <c r="C28" s="23">
        <f>SUM(C23:C27)</f>
        <v>15</v>
      </c>
      <c r="F28" s="23">
        <f>SUM(F23:F27)</f>
        <v>4228.01</v>
      </c>
      <c r="G28" s="23">
        <f>SUM(G23:G27)</f>
        <v>-202.6</v>
      </c>
      <c r="I28" s="23">
        <f>SUM(I23:I27)</f>
        <v>0.26956596998937932</v>
      </c>
    </row>
    <row r="29" spans="1:9">
      <c r="A29" s="23" t="s">
        <v>388</v>
      </c>
      <c r="B29">
        <f>216/5</f>
        <v>43.2</v>
      </c>
      <c r="C29" s="22">
        <v>3</v>
      </c>
    </row>
    <row r="31" spans="1:9">
      <c r="B31" s="22" t="s">
        <v>374</v>
      </c>
      <c r="C31" s="22" t="s">
        <v>378</v>
      </c>
    </row>
    <row r="32" spans="1:9">
      <c r="B32" s="22" t="s">
        <v>379</v>
      </c>
      <c r="C32" s="22" t="s">
        <v>383</v>
      </c>
      <c r="D32" t="s">
        <v>389</v>
      </c>
      <c r="E32" t="s">
        <v>390</v>
      </c>
    </row>
    <row r="33" spans="1:9">
      <c r="B33" s="22" t="s">
        <v>380</v>
      </c>
      <c r="C33" s="22" t="s">
        <v>381</v>
      </c>
    </row>
    <row r="35" spans="1:9">
      <c r="B35" t="s">
        <v>380</v>
      </c>
      <c r="C35">
        <f>-202.6/4228.01</f>
        <v>-4.791852431758676E-2</v>
      </c>
    </row>
    <row r="36" spans="1:9">
      <c r="B36" t="s">
        <v>379</v>
      </c>
      <c r="C36">
        <f>3-C35*43.2</f>
        <v>5.070080250519748</v>
      </c>
    </row>
    <row r="38" spans="1:9" ht="28.2" customHeight="1">
      <c r="A38" s="40"/>
      <c r="B38" s="47" t="s">
        <v>391</v>
      </c>
      <c r="C38" s="49" t="s">
        <v>392</v>
      </c>
      <c r="D38" s="49" t="s">
        <v>370</v>
      </c>
      <c r="E38" s="49" t="s">
        <v>371</v>
      </c>
      <c r="F38" s="48" t="s">
        <v>372</v>
      </c>
      <c r="G38" s="47" t="s">
        <v>373</v>
      </c>
      <c r="H38" s="49" t="s">
        <v>374</v>
      </c>
      <c r="I38" s="49" t="s">
        <v>375</v>
      </c>
    </row>
    <row r="39" spans="1:9">
      <c r="B39">
        <v>10</v>
      </c>
      <c r="C39">
        <v>130</v>
      </c>
      <c r="D39">
        <f>10-B47</f>
        <v>-22.571428571428569</v>
      </c>
      <c r="E39">
        <f>130-C47</f>
        <v>13.571428571428569</v>
      </c>
      <c r="F39">
        <f t="shared" ref="F39:F45" si="1">D39^2</f>
        <v>509.46938775510193</v>
      </c>
      <c r="G39">
        <f t="shared" ref="G39:G45" si="2">D39*E39</f>
        <v>-306.32653061224482</v>
      </c>
      <c r="H39">
        <f>137.3602736+(-0.64263998*10)</f>
        <v>130.93387379999999</v>
      </c>
      <c r="I39">
        <f>(130-H39)^2</f>
        <v>0.8721202743264147</v>
      </c>
    </row>
    <row r="40" spans="1:9">
      <c r="B40">
        <v>20</v>
      </c>
      <c r="C40">
        <v>125</v>
      </c>
      <c r="D40">
        <f>20-B47</f>
        <v>-12.571428571428569</v>
      </c>
      <c r="E40">
        <f>125-C47</f>
        <v>8.5714285714285694</v>
      </c>
      <c r="F40">
        <f t="shared" si="1"/>
        <v>158.04081632653057</v>
      </c>
      <c r="G40">
        <f t="shared" si="2"/>
        <v>-107.75510204081628</v>
      </c>
      <c r="H40">
        <f>137.3602736+(-0.64263998*20)</f>
        <v>124.507474</v>
      </c>
      <c r="I40">
        <f>(125-H40)^2</f>
        <v>0.24258186067599805</v>
      </c>
    </row>
    <row r="41" spans="1:9">
      <c r="B41">
        <v>30</v>
      </c>
      <c r="C41">
        <v>120</v>
      </c>
      <c r="D41">
        <f>30-B47</f>
        <v>-2.5714285714285694</v>
      </c>
      <c r="E41">
        <f>120-C47</f>
        <v>3.5714285714285694</v>
      </c>
      <c r="F41">
        <f t="shared" si="1"/>
        <v>6.6122448979591733</v>
      </c>
      <c r="G41">
        <f t="shared" si="2"/>
        <v>-9.1836734693877418</v>
      </c>
      <c r="H41">
        <f>137.3602736+(-0.64263998*30)</f>
        <v>118.0810742</v>
      </c>
      <c r="I41">
        <f>(120-H41)^2</f>
        <v>3.6822762259056274</v>
      </c>
    </row>
    <row r="42" spans="1:9">
      <c r="B42">
        <v>35</v>
      </c>
      <c r="C42">
        <v>115</v>
      </c>
      <c r="D42">
        <f>35-B47</f>
        <v>2.4285714285714306</v>
      </c>
      <c r="E42">
        <f>115-C47</f>
        <v>-1.4285714285714306</v>
      </c>
      <c r="F42">
        <f t="shared" si="1"/>
        <v>5.8979591836734793</v>
      </c>
      <c r="G42">
        <f t="shared" si="2"/>
        <v>-3.4693877551020487</v>
      </c>
      <c r="H42">
        <f>137.3602736+(-0.64263998*35)</f>
        <v>114.8678743</v>
      </c>
      <c r="I42">
        <f>(115-H42)^2</f>
        <v>1.7457200600490826E-2</v>
      </c>
    </row>
    <row r="43" spans="1:9">
      <c r="B43">
        <v>40</v>
      </c>
      <c r="C43">
        <v>110</v>
      </c>
      <c r="D43">
        <f>40-B47</f>
        <v>7.4285714285714306</v>
      </c>
      <c r="E43">
        <f>110-C47</f>
        <v>-6.4285714285714306</v>
      </c>
      <c r="F43">
        <f t="shared" si="1"/>
        <v>55.183673469387784</v>
      </c>
      <c r="G43">
        <f t="shared" si="2"/>
        <v>-47.755102040816354</v>
      </c>
      <c r="H43">
        <f>137.3602736+(-0.64263998*40)</f>
        <v>111.6546744</v>
      </c>
      <c r="I43">
        <f>(110-H43)^2</f>
        <v>2.7379473700153754</v>
      </c>
    </row>
    <row r="44" spans="1:9">
      <c r="B44">
        <v>45</v>
      </c>
      <c r="C44">
        <v>108</v>
      </c>
      <c r="D44">
        <f>45-B47</f>
        <v>12.428571428571431</v>
      </c>
      <c r="E44">
        <f>108-C47</f>
        <v>-8.4285714285714306</v>
      </c>
      <c r="F44">
        <f t="shared" si="1"/>
        <v>154.4693877551021</v>
      </c>
      <c r="G44">
        <f t="shared" si="2"/>
        <v>-104.75510204081637</v>
      </c>
      <c r="H44">
        <f>137.3602736+(-0.64263998*45)</f>
        <v>108.4414745</v>
      </c>
      <c r="I44">
        <f>(108-H44)^2</f>
        <v>0.19489973415024842</v>
      </c>
    </row>
    <row r="45" spans="1:9">
      <c r="B45">
        <v>48</v>
      </c>
      <c r="C45">
        <v>107</v>
      </c>
      <c r="D45">
        <f>48-B47</f>
        <v>15.428571428571431</v>
      </c>
      <c r="E45">
        <f>107-C47</f>
        <v>-9.4285714285714306</v>
      </c>
      <c r="F45">
        <f t="shared" si="1"/>
        <v>238.04081632653069</v>
      </c>
      <c r="G45">
        <f t="shared" si="2"/>
        <v>-145.4693877551021</v>
      </c>
      <c r="H45">
        <f>137.3602736+(-0.64263998*48)</f>
        <v>106.51355456</v>
      </c>
      <c r="I45">
        <f>(107-H45)^2</f>
        <v>0.2366291660967908</v>
      </c>
    </row>
    <row r="46" spans="1:9">
      <c r="A46" s="23" t="s">
        <v>386</v>
      </c>
      <c r="B46" s="23">
        <f>SUM(B39:B45)</f>
        <v>228</v>
      </c>
      <c r="C46" s="23">
        <f>SUM(C39:C45)</f>
        <v>815</v>
      </c>
      <c r="F46" s="23">
        <f>SUM(F39:F45)</f>
        <v>1127.7142857142858</v>
      </c>
      <c r="G46" s="23">
        <f>SUM(G39:G45)</f>
        <v>-724.71428571428578</v>
      </c>
      <c r="I46" s="23">
        <f>SUM(I39:I45)</f>
        <v>7.9839118317709463</v>
      </c>
    </row>
    <row r="47" spans="1:9">
      <c r="A47" s="23" t="s">
        <v>388</v>
      </c>
      <c r="B47">
        <f>228/7</f>
        <v>32.571428571428569</v>
      </c>
      <c r="C47">
        <f>815/7</f>
        <v>116.42857142857143</v>
      </c>
    </row>
    <row r="49" spans="1:9">
      <c r="B49" s="22" t="s">
        <v>374</v>
      </c>
      <c r="C49" s="22" t="s">
        <v>378</v>
      </c>
    </row>
    <row r="50" spans="1:9">
      <c r="B50" s="22" t="s">
        <v>379</v>
      </c>
      <c r="C50" s="22" t="s">
        <v>383</v>
      </c>
    </row>
    <row r="51" spans="1:9">
      <c r="B51" s="22" t="s">
        <v>380</v>
      </c>
      <c r="C51" s="22" t="s">
        <v>381</v>
      </c>
      <c r="D51" t="s">
        <v>389</v>
      </c>
      <c r="E51" t="s">
        <v>393</v>
      </c>
    </row>
    <row r="53" spans="1:9">
      <c r="B53" t="s">
        <v>380</v>
      </c>
      <c r="C53">
        <f>G46/F46</f>
        <v>-0.6426399797314416</v>
      </c>
    </row>
    <row r="54" spans="1:9">
      <c r="B54" t="s">
        <v>379</v>
      </c>
      <c r="C54">
        <f>C47-(C53*B47)</f>
        <v>137.36027362553838</v>
      </c>
    </row>
    <row r="56" spans="1:9" ht="28.8" customHeight="1">
      <c r="A56" s="40"/>
      <c r="B56" s="47" t="s">
        <v>394</v>
      </c>
      <c r="C56" s="49" t="s">
        <v>395</v>
      </c>
      <c r="D56" s="49" t="s">
        <v>370</v>
      </c>
      <c r="E56" s="49" t="s">
        <v>371</v>
      </c>
      <c r="F56" s="48" t="s">
        <v>372</v>
      </c>
      <c r="G56" s="47" t="s">
        <v>373</v>
      </c>
      <c r="H56" s="49" t="s">
        <v>374</v>
      </c>
      <c r="I56" s="49" t="s">
        <v>375</v>
      </c>
    </row>
    <row r="57" spans="1:9">
      <c r="B57">
        <v>90</v>
      </c>
      <c r="C57">
        <v>1000</v>
      </c>
      <c r="D57">
        <f>90-118</f>
        <v>-28</v>
      </c>
      <c r="E57">
        <v>-336</v>
      </c>
      <c r="F57">
        <f>28*28</f>
        <v>784</v>
      </c>
      <c r="G57">
        <f>D57*E57</f>
        <v>9408</v>
      </c>
      <c r="H57">
        <f>-69.64912281+(11.9122807*90)</f>
        <v>1002.4561401899999</v>
      </c>
      <c r="I57">
        <f>(1000-H57)^2</f>
        <v>6.0326246329328832</v>
      </c>
    </row>
    <row r="58" spans="1:9">
      <c r="B58">
        <v>120</v>
      </c>
      <c r="C58">
        <v>1300</v>
      </c>
      <c r="D58">
        <f>120-118</f>
        <v>2</v>
      </c>
      <c r="E58">
        <v>-36</v>
      </c>
      <c r="F58">
        <v>4</v>
      </c>
      <c r="G58">
        <f>D58*E58</f>
        <v>-72</v>
      </c>
      <c r="H58">
        <f>-69.64912281+(11.9122807*120)</f>
        <v>1359.8245611900002</v>
      </c>
      <c r="I58">
        <f>(1300-H58)^2</f>
        <v>3578.9781215760745</v>
      </c>
    </row>
    <row r="59" spans="1:9">
      <c r="B59">
        <v>150</v>
      </c>
      <c r="C59">
        <v>1800</v>
      </c>
      <c r="D59">
        <f>150-118</f>
        <v>32</v>
      </c>
      <c r="E59">
        <f>1800-1336</f>
        <v>464</v>
      </c>
      <c r="F59">
        <f>32*32</f>
        <v>1024</v>
      </c>
      <c r="G59">
        <f>D59*E59</f>
        <v>14848</v>
      </c>
      <c r="H59">
        <f>-69.64912281+(11.9122807*150)</f>
        <v>1717.1929821899998</v>
      </c>
      <c r="I59">
        <f>(1800-H59)^2</f>
        <v>6857.0021985856838</v>
      </c>
    </row>
    <row r="60" spans="1:9">
      <c r="B60">
        <v>100</v>
      </c>
      <c r="C60">
        <v>1200</v>
      </c>
      <c r="D60">
        <v>-18</v>
      </c>
      <c r="E60">
        <f>1200-1336</f>
        <v>-136</v>
      </c>
      <c r="F60">
        <f>18*18</f>
        <v>324</v>
      </c>
      <c r="G60">
        <f>D60*E60</f>
        <v>2448</v>
      </c>
      <c r="H60">
        <f>-69.64912281+(11.9122807*100)</f>
        <v>1121.5789471900002</v>
      </c>
      <c r="I60">
        <f>(1200-H60)^2</f>
        <v>6149.8615238287721</v>
      </c>
    </row>
    <row r="61" spans="1:9">
      <c r="B61">
        <v>130</v>
      </c>
      <c r="C61">
        <v>1380</v>
      </c>
      <c r="D61">
        <v>12</v>
      </c>
      <c r="E61">
        <f>1380-1336</f>
        <v>44</v>
      </c>
      <c r="F61">
        <v>144</v>
      </c>
      <c r="G61">
        <f>D61*E61</f>
        <v>528</v>
      </c>
      <c r="H61">
        <f>-69.64912281+(11.9122807*130)</f>
        <v>1478.9473681899999</v>
      </c>
      <c r="I61">
        <f>(1380-H61)^2</f>
        <v>9790.5816717274047</v>
      </c>
    </row>
    <row r="62" spans="1:9">
      <c r="A62" s="23" t="s">
        <v>376</v>
      </c>
      <c r="B62" s="23">
        <f>SUM(B57:B61)</f>
        <v>590</v>
      </c>
      <c r="C62" s="23">
        <f>SUM(C57:C61)</f>
        <v>6680</v>
      </c>
      <c r="F62" s="23">
        <f>SUM(F57:F61)</f>
        <v>2280</v>
      </c>
      <c r="G62" s="23">
        <f>SUM(G57:G61)</f>
        <v>27160</v>
      </c>
      <c r="I62" s="23">
        <f>SUM(I57:I61)</f>
        <v>26382.456140350871</v>
      </c>
    </row>
    <row r="63" spans="1:9">
      <c r="A63" s="23" t="s">
        <v>388</v>
      </c>
      <c r="B63">
        <f>590/5</f>
        <v>118</v>
      </c>
      <c r="C63">
        <f>6680/5</f>
        <v>1336</v>
      </c>
    </row>
    <row r="65" spans="1:9">
      <c r="B65" s="22" t="s">
        <v>374</v>
      </c>
      <c r="C65" s="22" t="s">
        <v>378</v>
      </c>
    </row>
    <row r="66" spans="1:9">
      <c r="B66" s="22" t="s">
        <v>379</v>
      </c>
      <c r="C66" s="22" t="s">
        <v>383</v>
      </c>
    </row>
    <row r="67" spans="1:9">
      <c r="B67" s="22" t="s">
        <v>380</v>
      </c>
      <c r="C67" s="22" t="s">
        <v>381</v>
      </c>
    </row>
    <row r="68" spans="1:9">
      <c r="D68" t="s">
        <v>389</v>
      </c>
      <c r="E68" s="22" t="s">
        <v>396</v>
      </c>
    </row>
    <row r="69" spans="1:9">
      <c r="B69" t="s">
        <v>380</v>
      </c>
      <c r="C69">
        <f>G62/F62</f>
        <v>11.912280701754385</v>
      </c>
    </row>
    <row r="70" spans="1:9">
      <c r="B70" t="s">
        <v>379</v>
      </c>
      <c r="C70">
        <f>C63-(C69*B63)</f>
        <v>-69.64912280701742</v>
      </c>
      <c r="E70" t="s">
        <v>397</v>
      </c>
      <c r="F70" t="s">
        <v>389</v>
      </c>
      <c r="G70">
        <f>C70+(C69*200)</f>
        <v>2312.8070175438597</v>
      </c>
    </row>
    <row r="72" spans="1:9" ht="28.8" customHeight="1">
      <c r="A72" s="40"/>
      <c r="B72" s="47" t="s">
        <v>398</v>
      </c>
      <c r="C72" s="49" t="s">
        <v>399</v>
      </c>
      <c r="D72" s="49" t="s">
        <v>370</v>
      </c>
      <c r="E72" s="49" t="s">
        <v>371</v>
      </c>
      <c r="F72" s="48" t="s">
        <v>372</v>
      </c>
      <c r="G72" s="47" t="s">
        <v>373</v>
      </c>
      <c r="H72" s="49" t="s">
        <v>374</v>
      </c>
      <c r="I72" s="49" t="s">
        <v>375</v>
      </c>
    </row>
    <row r="73" spans="1:9">
      <c r="B73">
        <v>140</v>
      </c>
      <c r="C73">
        <v>60</v>
      </c>
      <c r="D73">
        <f>140-B81</f>
        <v>-36.714285714285722</v>
      </c>
      <c r="E73">
        <f>60-C81</f>
        <v>-8.1428571428571388</v>
      </c>
      <c r="F73">
        <f t="shared" ref="F73:F79" si="3">D73^2</f>
        <v>1347.9387755102048</v>
      </c>
      <c r="G73">
        <f t="shared" ref="G73:G79" si="4">D73*E73</f>
        <v>298.95918367346928</v>
      </c>
      <c r="H73">
        <f>32.78300591+0.200096167*140</f>
        <v>60.796469289999997</v>
      </c>
      <c r="I73">
        <f>(60-H73)^2</f>
        <v>0.63436332991310007</v>
      </c>
    </row>
    <row r="74" spans="1:9">
      <c r="B74">
        <v>155</v>
      </c>
      <c r="C74">
        <v>62</v>
      </c>
      <c r="D74">
        <f>155-B81</f>
        <v>-21.714285714285722</v>
      </c>
      <c r="E74">
        <f>62-C81</f>
        <v>-6.1428571428571388</v>
      </c>
      <c r="F74">
        <f t="shared" si="3"/>
        <v>471.51020408163299</v>
      </c>
      <c r="G74">
        <f t="shared" si="4"/>
        <v>133.38775510204079</v>
      </c>
      <c r="H74">
        <f>32.78300591+0.200096167*155</f>
        <v>63.797911794999997</v>
      </c>
      <c r="I74">
        <f>(62-H74)^2</f>
        <v>3.2324868226001127</v>
      </c>
    </row>
    <row r="75" spans="1:9">
      <c r="B75">
        <v>159</v>
      </c>
      <c r="C75">
        <v>67</v>
      </c>
      <c r="D75">
        <f>159-B81</f>
        <v>-17.714285714285722</v>
      </c>
      <c r="E75">
        <f>67-C81</f>
        <v>-1.1428571428571388</v>
      </c>
      <c r="F75">
        <f t="shared" si="3"/>
        <v>313.79591836734721</v>
      </c>
      <c r="G75">
        <f t="shared" si="4"/>
        <v>20.244897959183611</v>
      </c>
      <c r="H75">
        <f>32.78300591+0.200096167*159</f>
        <v>64.598296462999997</v>
      </c>
      <c r="I75">
        <f>(67-H75)^2</f>
        <v>5.7681798796383248</v>
      </c>
    </row>
    <row r="76" spans="1:9">
      <c r="B76">
        <v>179</v>
      </c>
      <c r="C76">
        <v>70</v>
      </c>
      <c r="D76">
        <f>179-B81</f>
        <v>2.2857142857142776</v>
      </c>
      <c r="E76">
        <f>70-C81</f>
        <v>1.8571428571428612</v>
      </c>
      <c r="F76">
        <f t="shared" si="3"/>
        <v>5.2244897959183305</v>
      </c>
      <c r="G76">
        <f t="shared" si="4"/>
        <v>4.2448979591836675</v>
      </c>
      <c r="H76">
        <f>32.78300591+0.200096167*179</f>
        <v>68.600219803000002</v>
      </c>
      <c r="I76">
        <f>(70-H76)^2</f>
        <v>1.9593845999133541</v>
      </c>
    </row>
    <row r="77" spans="1:9">
      <c r="B77">
        <v>192</v>
      </c>
      <c r="C77">
        <v>71</v>
      </c>
      <c r="D77">
        <f>192-B81</f>
        <v>15.285714285714278</v>
      </c>
      <c r="E77">
        <f>71-C81</f>
        <v>2.8571428571428612</v>
      </c>
      <c r="F77">
        <f t="shared" si="3"/>
        <v>233.65306122448953</v>
      </c>
      <c r="G77">
        <f t="shared" si="4"/>
        <v>43.673469387755141</v>
      </c>
      <c r="H77">
        <f>32.78300591+0.200096167*192</f>
        <v>71.201469973999991</v>
      </c>
      <c r="I77">
        <f>(71-H77)^2</f>
        <v>4.0590150423557139E-2</v>
      </c>
    </row>
    <row r="78" spans="1:9">
      <c r="B78">
        <v>200</v>
      </c>
      <c r="C78">
        <v>72</v>
      </c>
      <c r="D78">
        <f>200-B81</f>
        <v>23.285714285714278</v>
      </c>
      <c r="E78">
        <f>72-C81</f>
        <v>3.8571428571428612</v>
      </c>
      <c r="F78">
        <f t="shared" si="3"/>
        <v>542.22448979591798</v>
      </c>
      <c r="G78">
        <f t="shared" si="4"/>
        <v>89.816326530612315</v>
      </c>
      <c r="H78">
        <f>32.78300591+0.200096167*200</f>
        <v>72.802239310000004</v>
      </c>
      <c r="I78">
        <f>(72-H78)^2</f>
        <v>0.64358791050928332</v>
      </c>
    </row>
    <row r="79" spans="1:9">
      <c r="B79">
        <v>212</v>
      </c>
      <c r="C79">
        <v>75</v>
      </c>
      <c r="D79">
        <f>212-B81</f>
        <v>35.285714285714278</v>
      </c>
      <c r="E79">
        <f>75-C81</f>
        <v>6.8571428571428612</v>
      </c>
      <c r="F79">
        <f t="shared" si="3"/>
        <v>1245.0816326530608</v>
      </c>
      <c r="G79">
        <f t="shared" si="4"/>
        <v>241.95918367346948</v>
      </c>
      <c r="H79">
        <f>32.78300591+0.200096167*212</f>
        <v>75.203393313999996</v>
      </c>
      <c r="I79">
        <f>(75-H79)^2</f>
        <v>4.1368840179900945E-2</v>
      </c>
    </row>
    <row r="80" spans="1:9">
      <c r="A80" s="23" t="s">
        <v>386</v>
      </c>
      <c r="B80" s="23">
        <f>SUM(B73:B79)</f>
        <v>1237</v>
      </c>
      <c r="C80" s="23">
        <f>SUM(C73:C79)</f>
        <v>477</v>
      </c>
      <c r="F80" s="23">
        <f>SUM(F73:F79)</f>
        <v>4159.4285714285725</v>
      </c>
      <c r="G80" s="23">
        <f>SUM(G73:G79)</f>
        <v>832.28571428571433</v>
      </c>
      <c r="I80" s="23">
        <f>SUM(I73:I79)</f>
        <v>12.319961533177635</v>
      </c>
    </row>
    <row r="81" spans="1:9">
      <c r="A81" s="23" t="s">
        <v>400</v>
      </c>
      <c r="B81">
        <f>1237/7</f>
        <v>176.71428571428572</v>
      </c>
      <c r="C81">
        <f>477/7</f>
        <v>68.142857142857139</v>
      </c>
    </row>
    <row r="83" spans="1:9">
      <c r="B83" s="22" t="s">
        <v>374</v>
      </c>
      <c r="C83" s="22" t="s">
        <v>378</v>
      </c>
    </row>
    <row r="84" spans="1:9">
      <c r="B84" s="22" t="s">
        <v>379</v>
      </c>
      <c r="C84" s="22" t="s">
        <v>383</v>
      </c>
    </row>
    <row r="85" spans="1:9">
      <c r="B85" s="22" t="s">
        <v>380</v>
      </c>
      <c r="C85" s="22" t="s">
        <v>381</v>
      </c>
    </row>
    <row r="86" spans="1:9">
      <c r="D86" t="s">
        <v>389</v>
      </c>
      <c r="E86" t="s">
        <v>401</v>
      </c>
    </row>
    <row r="87" spans="1:9">
      <c r="B87" t="s">
        <v>380</v>
      </c>
      <c r="C87">
        <f>G80/F80</f>
        <v>0.20009616705591424</v>
      </c>
    </row>
    <row r="88" spans="1:9">
      <c r="B88" t="s">
        <v>379</v>
      </c>
      <c r="C88">
        <f>C81-(C87*B81)</f>
        <v>32.783005907404863</v>
      </c>
    </row>
    <row r="90" spans="1:9" ht="29.4" customHeight="1">
      <c r="A90" s="40"/>
      <c r="B90" s="47" t="s">
        <v>402</v>
      </c>
      <c r="C90" s="49" t="s">
        <v>403</v>
      </c>
      <c r="D90" s="49" t="s">
        <v>370</v>
      </c>
      <c r="E90" s="49" t="s">
        <v>371</v>
      </c>
      <c r="F90" s="48" t="s">
        <v>372</v>
      </c>
      <c r="G90" s="47" t="s">
        <v>373</v>
      </c>
      <c r="H90" s="49" t="s">
        <v>374</v>
      </c>
      <c r="I90" s="49" t="s">
        <v>375</v>
      </c>
    </row>
    <row r="91" spans="1:9">
      <c r="B91">
        <v>100</v>
      </c>
      <c r="C91">
        <v>10</v>
      </c>
      <c r="D91">
        <v>-250</v>
      </c>
      <c r="E91">
        <v>-25</v>
      </c>
      <c r="F91">
        <f>250*250</f>
        <v>62500</v>
      </c>
      <c r="G91">
        <f t="shared" ref="G91:G96" si="5">D91*E91</f>
        <v>6250</v>
      </c>
      <c r="H91">
        <f>0+(0.1*100)</f>
        <v>10</v>
      </c>
      <c r="I91">
        <f>(C91-H91)^2</f>
        <v>0</v>
      </c>
    </row>
    <row r="92" spans="1:9">
      <c r="B92">
        <v>200</v>
      </c>
      <c r="C92">
        <v>20</v>
      </c>
      <c r="D92">
        <v>-150</v>
      </c>
      <c r="E92">
        <v>-15</v>
      </c>
      <c r="F92">
        <f>150*150</f>
        <v>22500</v>
      </c>
      <c r="G92">
        <f t="shared" si="5"/>
        <v>2250</v>
      </c>
      <c r="H92">
        <f>0+(0.1*200)</f>
        <v>20</v>
      </c>
      <c r="I92">
        <v>0</v>
      </c>
    </row>
    <row r="93" spans="1:9">
      <c r="B93">
        <v>300</v>
      </c>
      <c r="C93">
        <v>30</v>
      </c>
      <c r="D93">
        <v>-50</v>
      </c>
      <c r="E93">
        <v>-5</v>
      </c>
      <c r="F93">
        <v>2500</v>
      </c>
      <c r="G93">
        <f t="shared" si="5"/>
        <v>250</v>
      </c>
      <c r="H93">
        <f>0+(0.1*300)</f>
        <v>30</v>
      </c>
      <c r="I93">
        <v>0</v>
      </c>
    </row>
    <row r="94" spans="1:9">
      <c r="B94">
        <v>400</v>
      </c>
      <c r="C94">
        <v>40</v>
      </c>
      <c r="D94">
        <v>50</v>
      </c>
      <c r="E94">
        <v>5</v>
      </c>
      <c r="F94">
        <v>2500</v>
      </c>
      <c r="G94">
        <f t="shared" si="5"/>
        <v>250</v>
      </c>
      <c r="H94">
        <f>0+(0.1*400)</f>
        <v>40</v>
      </c>
      <c r="I94">
        <v>0</v>
      </c>
    </row>
    <row r="95" spans="1:9">
      <c r="B95">
        <v>500</v>
      </c>
      <c r="C95">
        <v>50</v>
      </c>
      <c r="D95">
        <v>150</v>
      </c>
      <c r="E95">
        <v>15</v>
      </c>
      <c r="F95">
        <v>22500</v>
      </c>
      <c r="G95">
        <f t="shared" si="5"/>
        <v>2250</v>
      </c>
      <c r="H95">
        <f>0+(0.1*500)</f>
        <v>50</v>
      </c>
      <c r="I95">
        <v>0</v>
      </c>
    </row>
    <row r="96" spans="1:9">
      <c r="B96">
        <v>600</v>
      </c>
      <c r="C96">
        <v>60</v>
      </c>
      <c r="D96">
        <v>250</v>
      </c>
      <c r="E96">
        <v>25</v>
      </c>
      <c r="F96">
        <v>62500</v>
      </c>
      <c r="G96">
        <f t="shared" si="5"/>
        <v>6250</v>
      </c>
      <c r="H96">
        <f>0+(0.1*600)</f>
        <v>60</v>
      </c>
      <c r="I96">
        <v>0</v>
      </c>
    </row>
    <row r="97" spans="1:9">
      <c r="A97" s="23" t="s">
        <v>386</v>
      </c>
      <c r="B97" s="23">
        <f>SUM(B91:B96)</f>
        <v>2100</v>
      </c>
      <c r="C97" s="23">
        <f>SUM(C91:C96)</f>
        <v>210</v>
      </c>
      <c r="F97" s="23">
        <f>SUM(F91:F96)</f>
        <v>175000</v>
      </c>
      <c r="G97" s="23">
        <f>SUM(G91:G96)</f>
        <v>17500</v>
      </c>
      <c r="I97" s="23">
        <f>SUM(I91:I96)</f>
        <v>0</v>
      </c>
    </row>
    <row r="98" spans="1:9">
      <c r="A98" s="23" t="s">
        <v>400</v>
      </c>
      <c r="B98">
        <f>2100/6</f>
        <v>350</v>
      </c>
      <c r="C98">
        <f>210/6</f>
        <v>35</v>
      </c>
    </row>
    <row r="100" spans="1:9">
      <c r="B100" s="22" t="s">
        <v>374</v>
      </c>
      <c r="C100" s="22" t="s">
        <v>378</v>
      </c>
    </row>
    <row r="101" spans="1:9">
      <c r="B101" s="22" t="s">
        <v>379</v>
      </c>
      <c r="C101" s="22" t="s">
        <v>383</v>
      </c>
    </row>
    <row r="102" spans="1:9">
      <c r="B102" s="22" t="s">
        <v>380</v>
      </c>
      <c r="C102" s="22" t="s">
        <v>381</v>
      </c>
    </row>
    <row r="103" spans="1:9">
      <c r="D103" t="s">
        <v>389</v>
      </c>
      <c r="E103" t="s">
        <v>404</v>
      </c>
    </row>
    <row r="104" spans="1:9">
      <c r="B104" t="s">
        <v>380</v>
      </c>
      <c r="C104">
        <f>G97/F97</f>
        <v>0.1</v>
      </c>
    </row>
    <row r="105" spans="1:9">
      <c r="B105" t="s">
        <v>379</v>
      </c>
      <c r="C105">
        <f>C98-(C104*B98)</f>
        <v>0</v>
      </c>
    </row>
    <row r="107" spans="1:9" ht="28.8" customHeight="1">
      <c r="A107" s="40"/>
      <c r="B107" s="47" t="s">
        <v>405</v>
      </c>
      <c r="C107" s="49" t="s">
        <v>406</v>
      </c>
      <c r="D107" s="49" t="s">
        <v>370</v>
      </c>
      <c r="E107" s="49" t="s">
        <v>371</v>
      </c>
      <c r="F107" s="48" t="s">
        <v>372</v>
      </c>
      <c r="G107" s="47" t="s">
        <v>373</v>
      </c>
      <c r="H107" s="49" t="s">
        <v>374</v>
      </c>
      <c r="I107" s="49" t="s">
        <v>375</v>
      </c>
    </row>
    <row r="108" spans="1:9">
      <c r="B108">
        <v>1400</v>
      </c>
      <c r="C108">
        <v>245</v>
      </c>
      <c r="D108">
        <f>1400-B119</f>
        <v>-315</v>
      </c>
      <c r="E108">
        <f>245-C119</f>
        <v>-41.5</v>
      </c>
      <c r="F108">
        <f t="shared" ref="F108:F116" si="6">D108^2</f>
        <v>99225</v>
      </c>
      <c r="G108">
        <f t="shared" ref="G108:G117" si="7">D108*E108</f>
        <v>13072.5</v>
      </c>
      <c r="H108">
        <f>98.24832962+(0.109767738*1400)</f>
        <v>251.92316282000002</v>
      </c>
      <c r="I108">
        <f>(245-H108)^2</f>
        <v>47.930183432230571</v>
      </c>
    </row>
    <row r="109" spans="1:9">
      <c r="B109">
        <v>1600</v>
      </c>
      <c r="C109">
        <v>312</v>
      </c>
      <c r="D109">
        <f>1600-B119</f>
        <v>-115</v>
      </c>
      <c r="E109">
        <f>312-C119</f>
        <v>25.5</v>
      </c>
      <c r="F109">
        <f t="shared" si="6"/>
        <v>13225</v>
      </c>
      <c r="G109">
        <f t="shared" si="7"/>
        <v>-2932.5</v>
      </c>
      <c r="H109">
        <f>98.24832962+(0.109767738*1600)</f>
        <v>273.87671041999999</v>
      </c>
      <c r="I109">
        <f>(312-H109)^2</f>
        <v>1453.3852084005371</v>
      </c>
    </row>
    <row r="110" spans="1:9">
      <c r="B110">
        <v>1700</v>
      </c>
      <c r="C110">
        <v>279</v>
      </c>
      <c r="D110">
        <f>1700-B119</f>
        <v>-15</v>
      </c>
      <c r="E110">
        <f>279-C119</f>
        <v>-7.5</v>
      </c>
      <c r="F110">
        <f t="shared" si="6"/>
        <v>225</v>
      </c>
      <c r="G110">
        <f t="shared" si="7"/>
        <v>112.5</v>
      </c>
      <c r="H110">
        <f>98.24832962+(0.109767738*1700)</f>
        <v>284.85348422000004</v>
      </c>
      <c r="I110">
        <f>(279-H110)^2</f>
        <v>34.26327751378949</v>
      </c>
    </row>
    <row r="111" spans="1:9">
      <c r="B111">
        <v>1875</v>
      </c>
      <c r="C111">
        <v>308</v>
      </c>
      <c r="D111">
        <f>1875-B119</f>
        <v>160</v>
      </c>
      <c r="E111">
        <f>308-C119</f>
        <v>21.5</v>
      </c>
      <c r="F111">
        <f t="shared" si="6"/>
        <v>25600</v>
      </c>
      <c r="G111">
        <f t="shared" si="7"/>
        <v>3440</v>
      </c>
      <c r="H111">
        <f>98.24832962+(0.109767738*1875)</f>
        <v>304.06283837000001</v>
      </c>
      <c r="I111">
        <f>(308-H111)^2</f>
        <v>15.50124170074419</v>
      </c>
    </row>
    <row r="112" spans="1:9">
      <c r="B112">
        <v>1100</v>
      </c>
      <c r="C112">
        <v>199</v>
      </c>
      <c r="D112">
        <f>1100-B119</f>
        <v>-615</v>
      </c>
      <c r="E112">
        <f>199-C119</f>
        <v>-87.5</v>
      </c>
      <c r="F112">
        <f t="shared" si="6"/>
        <v>378225</v>
      </c>
      <c r="G112">
        <f t="shared" si="7"/>
        <v>53812.5</v>
      </c>
      <c r="H112">
        <f>98.24832962+(0.109767738*1100)</f>
        <v>218.99284141999999</v>
      </c>
      <c r="I112">
        <f>(199-H112)^2</f>
        <v>399.71370804526725</v>
      </c>
    </row>
    <row r="113" spans="1:9">
      <c r="B113">
        <v>1550</v>
      </c>
      <c r="C113">
        <v>219</v>
      </c>
      <c r="D113">
        <f>1550-B119</f>
        <v>-165</v>
      </c>
      <c r="E113">
        <f>219-C119</f>
        <v>-67.5</v>
      </c>
      <c r="F113">
        <f t="shared" si="6"/>
        <v>27225</v>
      </c>
      <c r="G113">
        <f t="shared" si="7"/>
        <v>11137.5</v>
      </c>
      <c r="H113">
        <f>98.24832962+(0.109767738*1550)</f>
        <v>268.38832352000003</v>
      </c>
      <c r="I113">
        <f>(219-H113)^2</f>
        <v>2439.2065001161882</v>
      </c>
    </row>
    <row r="114" spans="1:9">
      <c r="B114">
        <v>2350</v>
      </c>
      <c r="C114">
        <v>405</v>
      </c>
      <c r="D114">
        <f>2350-B119</f>
        <v>635</v>
      </c>
      <c r="E114">
        <f>405-C119</f>
        <v>118.5</v>
      </c>
      <c r="F114">
        <f t="shared" si="6"/>
        <v>403225</v>
      </c>
      <c r="G114">
        <f t="shared" si="7"/>
        <v>75247.5</v>
      </c>
      <c r="H114">
        <f>98.24832962+(0.109767738*2350)</f>
        <v>356.20251392</v>
      </c>
      <c r="I114">
        <f>(405-H114)^2</f>
        <v>2381.1946477277938</v>
      </c>
    </row>
    <row r="115" spans="1:9">
      <c r="B115">
        <v>2450</v>
      </c>
      <c r="C115">
        <v>324</v>
      </c>
      <c r="D115">
        <f>2450-B119</f>
        <v>735</v>
      </c>
      <c r="E115">
        <f>324-C119</f>
        <v>37.5</v>
      </c>
      <c r="F115">
        <f t="shared" si="6"/>
        <v>540225</v>
      </c>
      <c r="G115">
        <f t="shared" si="7"/>
        <v>27562.5</v>
      </c>
      <c r="H115">
        <f>98.24832962+(0.109767738*2450)</f>
        <v>367.17928771999999</v>
      </c>
      <c r="I115">
        <f>(324-H115)^2</f>
        <v>1864.4508880065421</v>
      </c>
    </row>
    <row r="116" spans="1:9">
      <c r="B116">
        <v>1425</v>
      </c>
      <c r="C116">
        <v>319</v>
      </c>
      <c r="D116">
        <f>1425-B119</f>
        <v>-290</v>
      </c>
      <c r="E116">
        <f>319-C119</f>
        <v>32.5</v>
      </c>
      <c r="F116">
        <f t="shared" si="6"/>
        <v>84100</v>
      </c>
      <c r="G116">
        <f t="shared" si="7"/>
        <v>-9425</v>
      </c>
      <c r="H116">
        <f>98.24832962+(0.109767738*1425)</f>
        <v>254.66735627000003</v>
      </c>
      <c r="I116">
        <f>(319-H116)^2</f>
        <v>4138.6890492911052</v>
      </c>
    </row>
    <row r="117" spans="1:9">
      <c r="B117">
        <v>1700</v>
      </c>
      <c r="C117">
        <v>255</v>
      </c>
      <c r="D117">
        <f>1700-B119</f>
        <v>-15</v>
      </c>
      <c r="E117">
        <f>255-C119</f>
        <v>-31.5</v>
      </c>
      <c r="F117">
        <v>225</v>
      </c>
      <c r="G117" s="46">
        <f t="shared" si="7"/>
        <v>472.5</v>
      </c>
      <c r="H117">
        <f>98.24832962+(0.109767738*1700)</f>
        <v>284.85348422000004</v>
      </c>
      <c r="I117">
        <f>(255-H117)^2</f>
        <v>891.23052007379147</v>
      </c>
    </row>
    <row r="118" spans="1:9">
      <c r="A118" s="23" t="s">
        <v>386</v>
      </c>
      <c r="B118" s="23">
        <f>SUM(B108:B117)</f>
        <v>17150</v>
      </c>
      <c r="C118" s="23">
        <f>SUM(C108:C117)</f>
        <v>2865</v>
      </c>
      <c r="F118" s="23">
        <f>SUM(F108:F117)</f>
        <v>1571500</v>
      </c>
      <c r="G118" s="23">
        <f>SUM(G108:G117)</f>
        <v>172500</v>
      </c>
      <c r="H118" s="23"/>
      <c r="I118" s="23">
        <f>SUM(I108:I117)</f>
        <v>13665.565224307991</v>
      </c>
    </row>
    <row r="119" spans="1:9">
      <c r="A119" s="23" t="s">
        <v>400</v>
      </c>
      <c r="B119">
        <f>B118/10</f>
        <v>1715</v>
      </c>
      <c r="C119">
        <f>C118/10</f>
        <v>286.5</v>
      </c>
    </row>
    <row r="121" spans="1:9">
      <c r="B121" s="22" t="s">
        <v>374</v>
      </c>
      <c r="C121" s="22" t="s">
        <v>378</v>
      </c>
    </row>
    <row r="122" spans="1:9">
      <c r="B122" s="22" t="s">
        <v>379</v>
      </c>
      <c r="C122" s="22" t="s">
        <v>383</v>
      </c>
    </row>
    <row r="123" spans="1:9">
      <c r="B123" s="22" t="s">
        <v>380</v>
      </c>
      <c r="C123" s="22" t="s">
        <v>381</v>
      </c>
      <c r="D123" t="s">
        <v>389</v>
      </c>
      <c r="E123" t="s">
        <v>407</v>
      </c>
    </row>
    <row r="125" spans="1:9">
      <c r="B125" t="s">
        <v>380</v>
      </c>
      <c r="C125">
        <f>G118/F118</f>
        <v>0.10976773783009863</v>
      </c>
    </row>
    <row r="126" spans="1:9">
      <c r="B126" t="s">
        <v>379</v>
      </c>
      <c r="C126">
        <f>C119-(C125*B119)</f>
        <v>98.248329621380833</v>
      </c>
    </row>
    <row r="128" spans="1:9" ht="28.8" customHeight="1">
      <c r="A128" s="40"/>
      <c r="B128" s="47" t="s">
        <v>408</v>
      </c>
      <c r="C128" s="49" t="s">
        <v>409</v>
      </c>
      <c r="D128" s="49" t="s">
        <v>370</v>
      </c>
      <c r="E128" s="49" t="s">
        <v>371</v>
      </c>
      <c r="F128" s="48" t="s">
        <v>372</v>
      </c>
      <c r="G128" s="47" t="s">
        <v>373</v>
      </c>
      <c r="H128" s="49" t="s">
        <v>374</v>
      </c>
      <c r="I128" s="49" t="s">
        <v>375</v>
      </c>
    </row>
    <row r="129" spans="1:9">
      <c r="B129">
        <v>10</v>
      </c>
      <c r="C129">
        <v>40</v>
      </c>
      <c r="D129">
        <v>-3</v>
      </c>
      <c r="E129">
        <v>-1</v>
      </c>
      <c r="F129">
        <v>9</v>
      </c>
      <c r="G129">
        <v>3</v>
      </c>
      <c r="H129">
        <f>66.45833333+(-1.958333333*10)</f>
        <v>46.875</v>
      </c>
      <c r="I129">
        <f>(40-46.875)^2</f>
        <v>47.265625</v>
      </c>
    </row>
    <row r="130" spans="1:9">
      <c r="B130">
        <v>12</v>
      </c>
      <c r="C130">
        <v>38</v>
      </c>
      <c r="D130">
        <v>-1</v>
      </c>
      <c r="E130">
        <v>-3</v>
      </c>
      <c r="F130">
        <v>1</v>
      </c>
      <c r="G130">
        <v>-38</v>
      </c>
      <c r="H130">
        <f>66.45833333+(-1.958333333*12)</f>
        <v>42.958333334000002</v>
      </c>
      <c r="I130">
        <f>(38-H130)^2</f>
        <v>24.585069451055581</v>
      </c>
    </row>
    <row r="131" spans="1:9">
      <c r="B131">
        <v>13</v>
      </c>
      <c r="C131">
        <v>43</v>
      </c>
      <c r="D131">
        <v>0</v>
      </c>
      <c r="E131">
        <v>2</v>
      </c>
      <c r="F131">
        <v>0</v>
      </c>
      <c r="G131">
        <v>0</v>
      </c>
      <c r="H131">
        <f>66.45833333+(-1.958333333*13)</f>
        <v>41.000000001000004</v>
      </c>
      <c r="I131">
        <f>(43-41)^2</f>
        <v>4</v>
      </c>
    </row>
    <row r="132" spans="1:9">
      <c r="B132">
        <v>12</v>
      </c>
      <c r="C132">
        <v>45</v>
      </c>
      <c r="D132">
        <v>-1</v>
      </c>
      <c r="E132">
        <v>4</v>
      </c>
      <c r="F132">
        <v>1</v>
      </c>
      <c r="G132">
        <v>-4</v>
      </c>
      <c r="H132">
        <f>66.45833333+(-1.958333333*12)</f>
        <v>42.958333334000002</v>
      </c>
      <c r="I132">
        <f>(45-H132)^2</f>
        <v>4.1684027750555455</v>
      </c>
    </row>
    <row r="133" spans="1:9">
      <c r="B133">
        <v>16</v>
      </c>
      <c r="C133">
        <v>37</v>
      </c>
      <c r="D133">
        <v>3</v>
      </c>
      <c r="E133">
        <v>-4</v>
      </c>
      <c r="F133">
        <v>9</v>
      </c>
      <c r="G133">
        <v>-12</v>
      </c>
      <c r="H133">
        <f>66.45833333+(-1.958333333*16)</f>
        <v>35.125000002000007</v>
      </c>
      <c r="I133">
        <f>(37-H133)^2</f>
        <v>3.5156249924999727</v>
      </c>
    </row>
    <row r="134" spans="1:9">
      <c r="B134">
        <v>15</v>
      </c>
      <c r="C134">
        <v>43</v>
      </c>
      <c r="D134">
        <v>2</v>
      </c>
      <c r="E134">
        <v>2</v>
      </c>
      <c r="F134">
        <v>4</v>
      </c>
      <c r="G134">
        <v>4</v>
      </c>
      <c r="H134">
        <f>66.45833333+(-1.958333333*15)</f>
        <v>37.083333335000006</v>
      </c>
      <c r="I134">
        <f>(43-H134)^2</f>
        <v>35.00694442472215</v>
      </c>
    </row>
    <row r="135" spans="1:9">
      <c r="A135" s="23" t="s">
        <v>386</v>
      </c>
      <c r="B135" s="23">
        <f>SUM(B129:B134)</f>
        <v>78</v>
      </c>
      <c r="C135" s="23">
        <f>SUM(C129:C134)</f>
        <v>246</v>
      </c>
      <c r="F135" s="23">
        <f>SUM(F129:F134)</f>
        <v>24</v>
      </c>
      <c r="G135" s="23">
        <f>SUM(G129:G134)</f>
        <v>-47</v>
      </c>
      <c r="I135" s="23">
        <f>SUM(I129:I134)</f>
        <v>118.54166664333323</v>
      </c>
    </row>
    <row r="136" spans="1:9">
      <c r="A136" s="23" t="s">
        <v>410</v>
      </c>
      <c r="B136">
        <f>78/6</f>
        <v>13</v>
      </c>
      <c r="C136">
        <f>246/6</f>
        <v>41</v>
      </c>
    </row>
    <row r="138" spans="1:9">
      <c r="B138" s="22" t="s">
        <v>374</v>
      </c>
      <c r="C138" s="22" t="s">
        <v>378</v>
      </c>
    </row>
    <row r="139" spans="1:9">
      <c r="B139" s="22" t="s">
        <v>379</v>
      </c>
      <c r="C139" s="22" t="s">
        <v>383</v>
      </c>
      <c r="D139" t="s">
        <v>389</v>
      </c>
      <c r="E139" t="s">
        <v>411</v>
      </c>
    </row>
    <row r="140" spans="1:9">
      <c r="B140" s="22" t="s">
        <v>380</v>
      </c>
      <c r="C140" s="22" t="s">
        <v>381</v>
      </c>
    </row>
    <row r="141" spans="1:9">
      <c r="E141" t="s">
        <v>412</v>
      </c>
      <c r="F141" t="s">
        <v>389</v>
      </c>
      <c r="G141">
        <f>66.45833333+(-1.958333333*20)</f>
        <v>27.291666670000005</v>
      </c>
    </row>
    <row r="142" spans="1:9">
      <c r="B142" t="s">
        <v>380</v>
      </c>
      <c r="C142">
        <f>G135/F135</f>
        <v>-1.9583333333333333</v>
      </c>
    </row>
    <row r="143" spans="1:9">
      <c r="B143" t="s">
        <v>379</v>
      </c>
      <c r="C143">
        <f>41-(C142*13)</f>
        <v>66.458333333333329</v>
      </c>
    </row>
    <row r="145" spans="1:9" ht="28.8" customHeight="1">
      <c r="A145" s="40"/>
      <c r="B145" s="47" t="s">
        <v>413</v>
      </c>
      <c r="C145" s="49" t="s">
        <v>414</v>
      </c>
      <c r="D145" s="49" t="s">
        <v>370</v>
      </c>
      <c r="E145" s="49" t="s">
        <v>371</v>
      </c>
      <c r="F145" s="48" t="s">
        <v>372</v>
      </c>
      <c r="G145" s="47" t="s">
        <v>373</v>
      </c>
      <c r="H145" s="49" t="s">
        <v>374</v>
      </c>
      <c r="I145" s="49" t="s">
        <v>375</v>
      </c>
    </row>
    <row r="146" spans="1:9">
      <c r="B146">
        <v>40</v>
      </c>
      <c r="C146">
        <v>38</v>
      </c>
      <c r="D146">
        <f>40-B154</f>
        <v>-8.2857142857142847</v>
      </c>
      <c r="E146">
        <f>38-C154</f>
        <v>-13.571428571428569</v>
      </c>
      <c r="F146">
        <f t="shared" ref="F146:F152" si="8">D146^2</f>
        <v>68.653061224489775</v>
      </c>
      <c r="G146">
        <f t="shared" ref="G146:G152" si="9">D146*E146</f>
        <v>112.4489795918367</v>
      </c>
      <c r="H146">
        <f>6.068341337+(0.942371629*40)</f>
        <v>43.763206496999999</v>
      </c>
      <c r="I146">
        <f>(38-H146)^2</f>
        <v>33.214549127062995</v>
      </c>
    </row>
    <row r="147" spans="1:9">
      <c r="B147">
        <v>50</v>
      </c>
      <c r="C147">
        <v>60</v>
      </c>
      <c r="D147">
        <f>50-B154</f>
        <v>1.7142857142857153</v>
      </c>
      <c r="E147">
        <f>60-C154</f>
        <v>8.4285714285714306</v>
      </c>
      <c r="F147">
        <f t="shared" si="8"/>
        <v>2.9387755102040849</v>
      </c>
      <c r="G147">
        <f t="shared" si="9"/>
        <v>14.448979591836746</v>
      </c>
      <c r="H147">
        <f>6.068341337+(0.942371629*50)</f>
        <v>53.186922787</v>
      </c>
      <c r="I147">
        <f>(60-H147)^2</f>
        <v>46.41802111029984</v>
      </c>
    </row>
    <row r="148" spans="1:9">
      <c r="B148">
        <v>38</v>
      </c>
      <c r="C148">
        <v>55</v>
      </c>
      <c r="D148">
        <f>38-B154</f>
        <v>-10.285714285714285</v>
      </c>
      <c r="E148">
        <f>55-C154</f>
        <v>3.4285714285714306</v>
      </c>
      <c r="F148">
        <f t="shared" si="8"/>
        <v>105.79591836734691</v>
      </c>
      <c r="G148">
        <f t="shared" si="9"/>
        <v>-35.265306122448997</v>
      </c>
      <c r="H148">
        <f>6.068341337+(0.942371629*38)</f>
        <v>41.878463238999998</v>
      </c>
      <c r="I148">
        <f>(55-H148)^2</f>
        <v>172.17472697027441</v>
      </c>
    </row>
    <row r="149" spans="1:9">
      <c r="B149">
        <v>60</v>
      </c>
      <c r="C149">
        <v>70</v>
      </c>
      <c r="D149">
        <f>60-B154</f>
        <v>11.714285714285715</v>
      </c>
      <c r="E149">
        <f>70-C154</f>
        <v>18.428571428571431</v>
      </c>
      <c r="F149">
        <f t="shared" si="8"/>
        <v>137.2244897959184</v>
      </c>
      <c r="G149">
        <f t="shared" si="9"/>
        <v>215.87755102040822</v>
      </c>
      <c r="H149">
        <f>6.068341337+(0.942371629*60)</f>
        <v>62.610639077000002</v>
      </c>
      <c r="I149">
        <f>(70-H149)^2</f>
        <v>54.602654850359386</v>
      </c>
    </row>
    <row r="150" spans="1:9">
      <c r="B150">
        <v>65</v>
      </c>
      <c r="C150">
        <v>60</v>
      </c>
      <c r="D150">
        <f>65-B154</f>
        <v>16.714285714285715</v>
      </c>
      <c r="E150">
        <f>60-C154</f>
        <v>8.4285714285714306</v>
      </c>
      <c r="F150">
        <f t="shared" si="8"/>
        <v>279.36734693877554</v>
      </c>
      <c r="G150">
        <f t="shared" si="9"/>
        <v>140.87755102040822</v>
      </c>
      <c r="H150">
        <f>6.068341337+(0.942371629*65)</f>
        <v>67.32249722200001</v>
      </c>
      <c r="I150">
        <f>(60-H150)^2</f>
        <v>53.618965566197858</v>
      </c>
    </row>
    <row r="151" spans="1:9">
      <c r="B151">
        <v>50</v>
      </c>
      <c r="C151">
        <v>48</v>
      </c>
      <c r="D151">
        <f>50-B154</f>
        <v>1.7142857142857153</v>
      </c>
      <c r="E151">
        <f>48-C154</f>
        <v>-3.5714285714285694</v>
      </c>
      <c r="F151">
        <f t="shared" si="8"/>
        <v>2.9387755102040849</v>
      </c>
      <c r="G151">
        <f t="shared" si="9"/>
        <v>-6.1224489795918373</v>
      </c>
      <c r="H151">
        <f>6.068341337+(0.942371629*50)</f>
        <v>53.186922787</v>
      </c>
      <c r="I151">
        <f>(48-H151)^2</f>
        <v>26.904167998299851</v>
      </c>
    </row>
    <row r="152" spans="1:9">
      <c r="B152">
        <v>35</v>
      </c>
      <c r="C152">
        <v>30</v>
      </c>
      <c r="D152">
        <f>35-B154</f>
        <v>-13.285714285714285</v>
      </c>
      <c r="E152">
        <f>30-C154</f>
        <v>-21.571428571428569</v>
      </c>
      <c r="F152">
        <f t="shared" si="8"/>
        <v>176.51020408163262</v>
      </c>
      <c r="G152">
        <f t="shared" si="9"/>
        <v>286.59183673469386</v>
      </c>
      <c r="H152">
        <f>6.068341337+(0.942371629*35)</f>
        <v>39.051348351999998</v>
      </c>
      <c r="I152">
        <f>(30-H152)^2</f>
        <v>81.926906989253084</v>
      </c>
    </row>
    <row r="153" spans="1:9">
      <c r="A153" s="23" t="s">
        <v>386</v>
      </c>
      <c r="B153" s="23">
        <f>SUM(B146:B152)</f>
        <v>338</v>
      </c>
      <c r="C153" s="23">
        <f>SUM(C146:C152)</f>
        <v>361</v>
      </c>
      <c r="F153" s="23">
        <f>SUM(F146:F152)</f>
        <v>773.42857142857144</v>
      </c>
      <c r="G153" s="23">
        <f>SUM(G146:G152)</f>
        <v>728.85714285714289</v>
      </c>
      <c r="I153" s="23">
        <f>SUM(I146:I152)</f>
        <v>468.85999261174743</v>
      </c>
    </row>
    <row r="154" spans="1:9">
      <c r="A154" s="23" t="s">
        <v>410</v>
      </c>
      <c r="B154">
        <f>338/7</f>
        <v>48.285714285714285</v>
      </c>
      <c r="C154">
        <f>361/7</f>
        <v>51.571428571428569</v>
      </c>
    </row>
    <row r="156" spans="1:9">
      <c r="B156" s="22" t="s">
        <v>374</v>
      </c>
      <c r="C156" s="22" t="s">
        <v>378</v>
      </c>
    </row>
    <row r="157" spans="1:9">
      <c r="B157" s="22" t="s">
        <v>379</v>
      </c>
      <c r="C157" s="22" t="s">
        <v>383</v>
      </c>
      <c r="D157" t="s">
        <v>389</v>
      </c>
      <c r="E157" t="s">
        <v>415</v>
      </c>
    </row>
    <row r="158" spans="1:9">
      <c r="B158" s="22" t="s">
        <v>380</v>
      </c>
      <c r="C158" s="22" t="s">
        <v>381</v>
      </c>
    </row>
    <row r="159" spans="1:9">
      <c r="E159" t="s">
        <v>416</v>
      </c>
      <c r="F159" t="s">
        <v>389</v>
      </c>
      <c r="G159">
        <f xml:space="preserve"> 6.068341337+(0.942371629*55)</f>
        <v>57.898780932000001</v>
      </c>
    </row>
    <row r="160" spans="1:9">
      <c r="B160" t="s">
        <v>380</v>
      </c>
      <c r="C160">
        <f>G153/F153</f>
        <v>0.94237162910971561</v>
      </c>
    </row>
    <row r="161" spans="1:9">
      <c r="B161" t="s">
        <v>379</v>
      </c>
      <c r="C161">
        <f>C154-(C160*B154)</f>
        <v>6.0683413372737292</v>
      </c>
    </row>
    <row r="163" spans="1:9" ht="28.8" customHeight="1">
      <c r="A163" s="40"/>
      <c r="B163" s="47" t="s">
        <v>413</v>
      </c>
      <c r="C163" s="49" t="s">
        <v>414</v>
      </c>
      <c r="D163" s="49" t="s">
        <v>370</v>
      </c>
      <c r="E163" s="49" t="s">
        <v>371</v>
      </c>
      <c r="F163" s="48" t="s">
        <v>372</v>
      </c>
      <c r="G163" s="47" t="s">
        <v>373</v>
      </c>
      <c r="H163" s="49" t="s">
        <v>374</v>
      </c>
      <c r="I163" s="49" t="s">
        <v>375</v>
      </c>
    </row>
    <row r="164" spans="1:9">
      <c r="B164">
        <v>61</v>
      </c>
      <c r="C164">
        <v>112</v>
      </c>
      <c r="D164">
        <f>61-B175</f>
        <v>-4.2000000000000028</v>
      </c>
      <c r="E164">
        <f>112-C175</f>
        <v>-4.9000000000000057</v>
      </c>
      <c r="F164">
        <f>4.2^2</f>
        <v>17.64</v>
      </c>
      <c r="G164">
        <f t="shared" ref="G164:G173" si="10">D164*E164</f>
        <v>20.580000000000037</v>
      </c>
      <c r="H164">
        <f>-37.43857347+(2.367156035*61)</f>
        <v>106.95794466499999</v>
      </c>
      <c r="I164">
        <f>(112-H164)^2</f>
        <v>25.422322001202112</v>
      </c>
    </row>
    <row r="165" spans="1:9">
      <c r="B165">
        <v>68</v>
      </c>
      <c r="C165">
        <v>123</v>
      </c>
      <c r="D165">
        <f>68-B175</f>
        <v>2.7999999999999972</v>
      </c>
      <c r="E165">
        <f>123-C175</f>
        <v>6.0999999999999943</v>
      </c>
      <c r="F165">
        <f>2.8*2.8</f>
        <v>7.839999999999999</v>
      </c>
      <c r="G165">
        <f t="shared" si="10"/>
        <v>17.079999999999966</v>
      </c>
      <c r="H165">
        <f>-37.43857347+(2.367156035*68)</f>
        <v>123.52803691</v>
      </c>
      <c r="I165">
        <f>(123-H165)^2</f>
        <v>0.27882297832234526</v>
      </c>
    </row>
    <row r="166" spans="1:9">
      <c r="B166">
        <v>68</v>
      </c>
      <c r="C166">
        <v>130</v>
      </c>
      <c r="D166">
        <f>2.8</f>
        <v>2.8</v>
      </c>
      <c r="E166">
        <f>130-C175</f>
        <v>13.099999999999994</v>
      </c>
      <c r="F166">
        <f>7.84</f>
        <v>7.84</v>
      </c>
      <c r="G166">
        <f t="shared" si="10"/>
        <v>36.679999999999978</v>
      </c>
      <c r="H166">
        <f>-37.43857347+(2.367156035*68)</f>
        <v>123.52803691</v>
      </c>
      <c r="I166">
        <f>(130-H166)^2</f>
        <v>41.886306238322383</v>
      </c>
    </row>
    <row r="167" spans="1:9">
      <c r="B167">
        <v>64</v>
      </c>
      <c r="C167">
        <v>115</v>
      </c>
      <c r="D167">
        <f>64-B175</f>
        <v>-1.2000000000000028</v>
      </c>
      <c r="E167">
        <f>115-C175</f>
        <v>-1.9000000000000057</v>
      </c>
      <c r="F167">
        <f>1.2*1.2</f>
        <v>1.44</v>
      </c>
      <c r="G167">
        <f t="shared" si="10"/>
        <v>2.2800000000000122</v>
      </c>
      <c r="H167">
        <f>-37.43857347+(2.367156035*64)</f>
        <v>114.05941276999999</v>
      </c>
      <c r="I167">
        <f>(115-H167)^2</f>
        <v>0.88470433723908337</v>
      </c>
    </row>
    <row r="168" spans="1:9">
      <c r="B168">
        <v>65</v>
      </c>
      <c r="C168">
        <v>110</v>
      </c>
      <c r="D168">
        <f>65-B175</f>
        <v>-0.20000000000000284</v>
      </c>
      <c r="E168">
        <f>110-C175</f>
        <v>-6.9000000000000057</v>
      </c>
      <c r="F168">
        <f>0.2*0.2</f>
        <v>4.0000000000000008E-2</v>
      </c>
      <c r="G168">
        <f t="shared" si="10"/>
        <v>1.3800000000000208</v>
      </c>
      <c r="H168">
        <f>-37.43857347+(2.367156035*65)</f>
        <v>116.42656880499999</v>
      </c>
      <c r="I168">
        <f>(110-H168)^2</f>
        <v>41.300786605398976</v>
      </c>
    </row>
    <row r="169" spans="1:9">
      <c r="B169">
        <v>70</v>
      </c>
      <c r="C169">
        <v>125</v>
      </c>
      <c r="D169">
        <f>70-B175</f>
        <v>4.7999999999999972</v>
      </c>
      <c r="E169">
        <f>125-C175</f>
        <v>8.0999999999999943</v>
      </c>
      <c r="F169">
        <f>4.8*4.8</f>
        <v>23.04</v>
      </c>
      <c r="G169">
        <f t="shared" si="10"/>
        <v>38.879999999999953</v>
      </c>
      <c r="H169">
        <f>-37.43857347+(2.367156035*70)</f>
        <v>128.26234897999998</v>
      </c>
      <c r="I169">
        <f>(125-H169)^2</f>
        <v>10.642920867306939</v>
      </c>
    </row>
    <row r="170" spans="1:9">
      <c r="B170">
        <v>63</v>
      </c>
      <c r="C170">
        <v>100</v>
      </c>
      <c r="D170">
        <f>63-B175</f>
        <v>-2.2000000000000028</v>
      </c>
      <c r="E170">
        <f>100-C175</f>
        <v>-16.900000000000006</v>
      </c>
      <c r="F170">
        <f>2.2*2.2</f>
        <v>4.8400000000000007</v>
      </c>
      <c r="G170">
        <f t="shared" si="10"/>
        <v>37.180000000000064</v>
      </c>
      <c r="H170">
        <f>-37.43857347+(2.367156035*63)</f>
        <v>111.692256735</v>
      </c>
      <c r="I170">
        <f>(100-H170)^2</f>
        <v>136.70886755715287</v>
      </c>
    </row>
    <row r="171" spans="1:9">
      <c r="B171">
        <v>62</v>
      </c>
      <c r="C171">
        <v>113</v>
      </c>
      <c r="D171">
        <f>62-B175</f>
        <v>-3.2000000000000028</v>
      </c>
      <c r="E171">
        <f>113-C175</f>
        <v>-3.9000000000000057</v>
      </c>
      <c r="F171">
        <f>3.2*3.2</f>
        <v>10.240000000000002</v>
      </c>
      <c r="G171">
        <f t="shared" si="10"/>
        <v>12.480000000000029</v>
      </c>
      <c r="H171">
        <f>-37.43857347+(2.367156035*62)</f>
        <v>109.32510070000001</v>
      </c>
      <c r="I171">
        <f>(113-H171)^2</f>
        <v>13.504884865140436</v>
      </c>
    </row>
    <row r="172" spans="1:9">
      <c r="B172">
        <v>64</v>
      </c>
      <c r="C172">
        <v>116</v>
      </c>
      <c r="D172">
        <f>64-B175</f>
        <v>-1.2000000000000028</v>
      </c>
      <c r="E172">
        <f>116-C175</f>
        <v>-0.90000000000000568</v>
      </c>
      <c r="F172">
        <f>0.9*0.9</f>
        <v>0.81</v>
      </c>
      <c r="G172">
        <f t="shared" si="10"/>
        <v>1.0800000000000094</v>
      </c>
      <c r="H172">
        <f>-37.43857347+(2.367156035*64)</f>
        <v>114.05941276999999</v>
      </c>
      <c r="I172">
        <f>(116-H172)^2</f>
        <v>3.7658787972390946</v>
      </c>
    </row>
    <row r="173" spans="1:9">
      <c r="B173">
        <v>67</v>
      </c>
      <c r="C173">
        <v>125</v>
      </c>
      <c r="D173">
        <f>67-B175</f>
        <v>1.7999999999999972</v>
      </c>
      <c r="E173">
        <f>125-C175</f>
        <v>8.0999999999999943</v>
      </c>
      <c r="F173">
        <f>1.8*1.8</f>
        <v>3.24</v>
      </c>
      <c r="G173">
        <f t="shared" si="10"/>
        <v>14.579999999999966</v>
      </c>
      <c r="H173">
        <f>-37.43857347+(2.367156035*67)</f>
        <v>121.160880875</v>
      </c>
      <c r="I173">
        <f>(125-H173)^2</f>
        <v>14.738835655940738</v>
      </c>
    </row>
    <row r="174" spans="1:9">
      <c r="A174" s="23" t="s">
        <v>386</v>
      </c>
      <c r="B174" s="23">
        <f>SUM(B164:B173)</f>
        <v>652</v>
      </c>
      <c r="C174" s="23">
        <f>SUM(C164:C173)</f>
        <v>1169</v>
      </c>
      <c r="F174" s="23">
        <f>SUM(F164:F173)</f>
        <v>76.97</v>
      </c>
      <c r="G174" s="23">
        <f>SUM(G164:G173)</f>
        <v>182.20000000000002</v>
      </c>
      <c r="I174" s="23">
        <f>SUM(I164:I173)</f>
        <v>289.13432990326498</v>
      </c>
    </row>
    <row r="175" spans="1:9">
      <c r="A175" s="23" t="s">
        <v>410</v>
      </c>
      <c r="B175">
        <f>652/10</f>
        <v>65.2</v>
      </c>
      <c r="C175">
        <f>C174/10</f>
        <v>116.9</v>
      </c>
    </row>
    <row r="177" spans="1:9">
      <c r="B177" s="22" t="s">
        <v>374</v>
      </c>
      <c r="C177" s="22" t="s">
        <v>378</v>
      </c>
    </row>
    <row r="178" spans="1:9">
      <c r="B178" s="22" t="s">
        <v>379</v>
      </c>
      <c r="C178" s="22" t="s">
        <v>383</v>
      </c>
    </row>
    <row r="179" spans="1:9">
      <c r="B179" s="22" t="s">
        <v>380</v>
      </c>
      <c r="C179" s="22" t="s">
        <v>381</v>
      </c>
      <c r="D179" t="s">
        <v>389</v>
      </c>
      <c r="E179" t="s">
        <v>417</v>
      </c>
    </row>
    <row r="181" spans="1:9">
      <c r="B181" t="s">
        <v>380</v>
      </c>
      <c r="C181">
        <f>G174/F174</f>
        <v>2.3671560348187608</v>
      </c>
    </row>
    <row r="182" spans="1:9">
      <c r="B182" t="s">
        <v>379</v>
      </c>
      <c r="C182">
        <f>C175-(C181*B175)</f>
        <v>-37.438573470183201</v>
      </c>
    </row>
    <row r="184" spans="1:9" ht="28.2" customHeight="1">
      <c r="A184" s="40"/>
      <c r="B184" s="47" t="s">
        <v>413</v>
      </c>
      <c r="C184" s="49" t="s">
        <v>414</v>
      </c>
      <c r="D184" s="49" t="s">
        <v>370</v>
      </c>
      <c r="E184" s="49" t="s">
        <v>371</v>
      </c>
      <c r="F184" s="48" t="s">
        <v>372</v>
      </c>
      <c r="G184" s="47" t="s">
        <v>373</v>
      </c>
      <c r="H184" s="49" t="s">
        <v>374</v>
      </c>
      <c r="I184" s="49" t="s">
        <v>375</v>
      </c>
    </row>
    <row r="185" spans="1:9">
      <c r="B185">
        <v>1</v>
      </c>
      <c r="C185">
        <v>9</v>
      </c>
      <c r="D185">
        <v>-3</v>
      </c>
      <c r="E185">
        <v>-2</v>
      </c>
      <c r="F185">
        <v>9</v>
      </c>
      <c r="G185">
        <v>6</v>
      </c>
      <c r="H185">
        <f>7.28571486+(0.928571429*1)</f>
        <v>8.2142862890000004</v>
      </c>
      <c r="I185">
        <f>(9-H185)^2</f>
        <v>0.61734603565339097</v>
      </c>
    </row>
    <row r="186" spans="1:9">
      <c r="B186">
        <v>2</v>
      </c>
      <c r="C186">
        <v>8</v>
      </c>
      <c r="D186">
        <v>-2</v>
      </c>
      <c r="E186">
        <v>-3</v>
      </c>
      <c r="F186">
        <v>4</v>
      </c>
      <c r="G186">
        <v>6</v>
      </c>
      <c r="H186">
        <f>7.28571486+(0.928571429*2)</f>
        <v>9.1428577180000001</v>
      </c>
      <c r="I186">
        <f>(8-H186)^2</f>
        <v>1.3061237635921679</v>
      </c>
    </row>
    <row r="187" spans="1:9">
      <c r="B187">
        <v>3</v>
      </c>
      <c r="C187">
        <v>10</v>
      </c>
      <c r="D187">
        <v>-1</v>
      </c>
      <c r="E187">
        <v>-1</v>
      </c>
      <c r="F187">
        <v>1</v>
      </c>
      <c r="G187">
        <v>1</v>
      </c>
      <c r="H187">
        <f>7.28571486+(0.928571429*3)</f>
        <v>10.071429147</v>
      </c>
      <c r="I187">
        <f>(10-H187)^2</f>
        <v>5.1021230411475967E-3</v>
      </c>
    </row>
    <row r="188" spans="1:9">
      <c r="B188">
        <v>4</v>
      </c>
      <c r="C188">
        <v>12</v>
      </c>
      <c r="D188">
        <v>0</v>
      </c>
      <c r="E188">
        <v>1</v>
      </c>
      <c r="F188">
        <v>0</v>
      </c>
      <c r="G188">
        <v>0</v>
      </c>
      <c r="H188">
        <f>7.28571486+(0.928571429*4)</f>
        <v>11.000000576</v>
      </c>
      <c r="I188">
        <f>(12-H188)^2</f>
        <v>0.99999884800033234</v>
      </c>
    </row>
    <row r="189" spans="1:9">
      <c r="B189">
        <v>5</v>
      </c>
      <c r="C189">
        <v>11</v>
      </c>
      <c r="D189">
        <v>1</v>
      </c>
      <c r="E189">
        <v>0</v>
      </c>
      <c r="F189">
        <v>1</v>
      </c>
      <c r="G189">
        <v>0</v>
      </c>
      <c r="H189">
        <f>7.28571486+(0.928571429*5)</f>
        <v>11.928572004999999</v>
      </c>
      <c r="I189">
        <f>(11-H189)^2</f>
        <v>0.86224596846971902</v>
      </c>
    </row>
    <row r="190" spans="1:9">
      <c r="B190">
        <v>6</v>
      </c>
      <c r="C190">
        <v>13</v>
      </c>
      <c r="D190">
        <v>2</v>
      </c>
      <c r="E190">
        <v>2</v>
      </c>
      <c r="F190">
        <v>4</v>
      </c>
      <c r="G190">
        <v>4</v>
      </c>
      <c r="H190">
        <f>7.28571486+(0.928571429*6)</f>
        <v>12.857143434000001</v>
      </c>
      <c r="I190">
        <f>(13-H190)^2</f>
        <v>2.040799844931206E-2</v>
      </c>
    </row>
    <row r="191" spans="1:9">
      <c r="B191">
        <v>7</v>
      </c>
      <c r="C191">
        <v>14</v>
      </c>
      <c r="D191">
        <v>3</v>
      </c>
      <c r="E191">
        <v>3</v>
      </c>
      <c r="F191">
        <v>9</v>
      </c>
      <c r="G191">
        <v>9</v>
      </c>
      <c r="H191">
        <f>7.28571486+(0.928571429*7)</f>
        <v>13.785714862999999</v>
      </c>
      <c r="I191">
        <f>(7-H191)^2</f>
        <v>46.045926201939096</v>
      </c>
    </row>
    <row r="192" spans="1:9">
      <c r="A192" s="23" t="s">
        <v>386</v>
      </c>
      <c r="B192" s="23">
        <f>SUM(B185:B191)</f>
        <v>28</v>
      </c>
      <c r="C192" s="23">
        <f>SUM(C185:C191)</f>
        <v>77</v>
      </c>
      <c r="F192" s="23">
        <f>SUM(F185:F191)</f>
        <v>28</v>
      </c>
      <c r="G192" s="23">
        <f>SUM(G185:G191)</f>
        <v>26</v>
      </c>
      <c r="I192" s="23">
        <f>SUM(I185:I191)</f>
        <v>49.857150939145164</v>
      </c>
    </row>
    <row r="193" spans="1:9">
      <c r="A193" s="23" t="s">
        <v>410</v>
      </c>
      <c r="B193">
        <f>28/7</f>
        <v>4</v>
      </c>
      <c r="C193">
        <f>77/7</f>
        <v>11</v>
      </c>
    </row>
    <row r="195" spans="1:9">
      <c r="B195" s="22" t="s">
        <v>374</v>
      </c>
      <c r="C195" s="22" t="s">
        <v>378</v>
      </c>
    </row>
    <row r="196" spans="1:9">
      <c r="B196" s="22" t="s">
        <v>379</v>
      </c>
      <c r="C196" s="22" t="s">
        <v>383</v>
      </c>
    </row>
    <row r="197" spans="1:9">
      <c r="B197" s="22" t="s">
        <v>380</v>
      </c>
      <c r="C197" s="22" t="s">
        <v>381</v>
      </c>
      <c r="D197" t="s">
        <v>389</v>
      </c>
      <c r="E197" t="s">
        <v>418</v>
      </c>
    </row>
    <row r="199" spans="1:9">
      <c r="B199" t="s">
        <v>380</v>
      </c>
      <c r="C199">
        <f>G192/F192</f>
        <v>0.9285714285714286</v>
      </c>
    </row>
    <row r="200" spans="1:9">
      <c r="B200" t="s">
        <v>379</v>
      </c>
      <c r="C200">
        <f>C193-(C199*B193)</f>
        <v>7.2857142857142856</v>
      </c>
    </row>
    <row r="202" spans="1:9" ht="28.8" customHeight="1">
      <c r="A202" s="40"/>
      <c r="B202" s="47" t="s">
        <v>419</v>
      </c>
      <c r="C202" s="49" t="s">
        <v>420</v>
      </c>
      <c r="D202" s="49" t="s">
        <v>370</v>
      </c>
      <c r="E202" s="49" t="s">
        <v>371</v>
      </c>
      <c r="F202" s="48" t="s">
        <v>372</v>
      </c>
      <c r="G202" s="47" t="s">
        <v>373</v>
      </c>
      <c r="H202" s="49" t="s">
        <v>374</v>
      </c>
      <c r="I202" s="49" t="s">
        <v>375</v>
      </c>
    </row>
    <row r="203" spans="1:9">
      <c r="B203">
        <v>158</v>
      </c>
      <c r="C203">
        <v>163</v>
      </c>
      <c r="D203">
        <f>158-B214</f>
        <v>-10.599999999999994</v>
      </c>
      <c r="E203">
        <f>163-C214</f>
        <v>-6</v>
      </c>
      <c r="F203">
        <f>D203^2</f>
        <v>112.35999999999989</v>
      </c>
      <c r="G203">
        <f>D203*E203</f>
        <v>63.599999999999966</v>
      </c>
      <c r="H203">
        <f>66.11417323+(0.61023622*158)</f>
        <v>162.53149599</v>
      </c>
      <c r="I203">
        <f>(163-H203)^2</f>
        <v>0.2194960073860836</v>
      </c>
    </row>
    <row r="204" spans="1:9">
      <c r="B204">
        <v>166</v>
      </c>
      <c r="C204">
        <v>158</v>
      </c>
      <c r="D204">
        <f>166-B214</f>
        <v>-2.5999999999999943</v>
      </c>
      <c r="E204">
        <f>158-C214</f>
        <v>-11</v>
      </c>
      <c r="F204">
        <f>D204^2</f>
        <v>6.7599999999999705</v>
      </c>
      <c r="G204">
        <f>D204*E204</f>
        <v>28.599999999999937</v>
      </c>
      <c r="H204">
        <f>66.11417323+(0.61023622*166)</f>
        <v>167.41338575</v>
      </c>
      <c r="I204">
        <f>(158-H204)^2</f>
        <v>88.611831278303129</v>
      </c>
    </row>
    <row r="205" spans="1:9">
      <c r="B205">
        <v>163</v>
      </c>
      <c r="C205">
        <v>167</v>
      </c>
      <c r="D205">
        <f>163-B214</f>
        <v>-5.5999999999999943</v>
      </c>
      <c r="E205">
        <f>167-C214</f>
        <v>-2</v>
      </c>
      <c r="F205">
        <f>D205^2</f>
        <v>31.359999999999935</v>
      </c>
      <c r="G205">
        <f>D205*E205</f>
        <v>11.199999999999989</v>
      </c>
      <c r="H205">
        <f>66.11417323+(0.61023622*163)</f>
        <v>165.58267709</v>
      </c>
      <c r="I205">
        <f>(167-H205)^2</f>
        <v>2.0088042312108563</v>
      </c>
    </row>
    <row r="206" spans="1:9">
      <c r="B206">
        <v>165</v>
      </c>
      <c r="C206">
        <v>170</v>
      </c>
      <c r="D206">
        <f>165-B214</f>
        <v>-3.5999999999999943</v>
      </c>
      <c r="E206">
        <f>170-C214</f>
        <v>1</v>
      </c>
      <c r="F206">
        <f>D206^2</f>
        <v>12.959999999999958</v>
      </c>
      <c r="G206">
        <f>D206*E206</f>
        <v>-3.5999999999999943</v>
      </c>
      <c r="H206">
        <f>66.11417323+(0.61023622*165)</f>
        <v>166.80314952999998</v>
      </c>
      <c r="I206">
        <f>(170-H206)^2</f>
        <v>10.21985292753932</v>
      </c>
    </row>
    <row r="207" spans="1:9">
      <c r="B207">
        <v>167</v>
      </c>
      <c r="C207">
        <v>160</v>
      </c>
      <c r="D207">
        <f>167-B214</f>
        <v>-1.5999999999999943</v>
      </c>
      <c r="E207">
        <f>160-C214</f>
        <v>-9</v>
      </c>
      <c r="F207">
        <f>D207^2</f>
        <v>2.5599999999999818</v>
      </c>
      <c r="G207">
        <f>D207*E207</f>
        <v>14.399999999999949</v>
      </c>
      <c r="H207">
        <f>66.11417323+(0.61023622*167)</f>
        <v>168.02362197000002</v>
      </c>
      <c r="I207">
        <f>(160-H207)^2</f>
        <v>64.378509517467037</v>
      </c>
    </row>
    <row r="208" spans="1:9">
      <c r="B208">
        <v>170</v>
      </c>
      <c r="C208">
        <v>180</v>
      </c>
      <c r="D208">
        <f>170-B214</f>
        <v>1.4000000000000057</v>
      </c>
      <c r="E208">
        <f>180-C214</f>
        <v>11</v>
      </c>
      <c r="F208">
        <f>D208^2</f>
        <v>1.960000000000016</v>
      </c>
      <c r="G208">
        <f>D208*E208</f>
        <v>15.400000000000063</v>
      </c>
      <c r="H208">
        <f>66.11417323+(0.61023622*170)</f>
        <v>169.85433062999999</v>
      </c>
      <c r="I208">
        <f>(180-H208)^2</f>
        <v>102.93460696535635</v>
      </c>
    </row>
    <row r="209" spans="1:9">
      <c r="B209">
        <v>167</v>
      </c>
      <c r="C209">
        <v>170</v>
      </c>
      <c r="D209">
        <f>167-B214</f>
        <v>-1.5999999999999943</v>
      </c>
      <c r="E209">
        <f>170-C214</f>
        <v>1</v>
      </c>
      <c r="F209">
        <f>D209^2</f>
        <v>2.5599999999999818</v>
      </c>
      <c r="G209">
        <f>D209*E209</f>
        <v>-1.5999999999999943</v>
      </c>
      <c r="H209">
        <f>66.11417323+(0.61023622*167)</f>
        <v>168.02362197000002</v>
      </c>
      <c r="I209">
        <f>(170-H209)^2</f>
        <v>3.9060701174665939</v>
      </c>
    </row>
    <row r="210" spans="1:9">
      <c r="B210">
        <v>172</v>
      </c>
      <c r="C210">
        <v>175</v>
      </c>
      <c r="D210">
        <f>172-B214</f>
        <v>3.4000000000000057</v>
      </c>
      <c r="E210">
        <f>175-C214</f>
        <v>6</v>
      </c>
      <c r="F210">
        <f>D210^2</f>
        <v>11.560000000000038</v>
      </c>
      <c r="G210">
        <f>D210*E210</f>
        <v>20.400000000000034</v>
      </c>
      <c r="H210">
        <f>66.11417323+(0.61023622*172)</f>
        <v>171.07480307</v>
      </c>
      <c r="I210">
        <f>(175-H210)^2</f>
        <v>15.407170939281412</v>
      </c>
    </row>
    <row r="211" spans="1:9">
      <c r="B211">
        <v>177</v>
      </c>
      <c r="C211">
        <v>172</v>
      </c>
      <c r="D211">
        <f>177-B214</f>
        <v>8.4000000000000057</v>
      </c>
      <c r="E211">
        <f>172-C214</f>
        <v>3</v>
      </c>
      <c r="F211">
        <f>D211^2</f>
        <v>70.560000000000102</v>
      </c>
      <c r="G211">
        <f>D211*E211</f>
        <v>25.200000000000017</v>
      </c>
      <c r="H211">
        <f>66.11417323+(0.61023622*177)</f>
        <v>174.12598417000001</v>
      </c>
      <c r="I211">
        <f>(172-H211)^2</f>
        <v>4.5198086910906294</v>
      </c>
    </row>
    <row r="212" spans="1:9">
      <c r="B212">
        <v>181</v>
      </c>
      <c r="C212">
        <v>175</v>
      </c>
      <c r="D212">
        <f>181-B214</f>
        <v>12.400000000000006</v>
      </c>
      <c r="E212">
        <f>175-C214</f>
        <v>6</v>
      </c>
      <c r="F212">
        <f>D212^2</f>
        <v>153.76000000000013</v>
      </c>
      <c r="G212">
        <f>D212*E212</f>
        <v>74.400000000000034</v>
      </c>
      <c r="H212">
        <f>66.11417323+(0.61023622*181)</f>
        <v>176.56692905</v>
      </c>
      <c r="I212">
        <f>(175-H212)^2</f>
        <v>2.4552666477338989</v>
      </c>
    </row>
    <row r="213" spans="1:9">
      <c r="A213" s="23" t="s">
        <v>386</v>
      </c>
      <c r="B213" s="23">
        <f>SUM(B203:B212)</f>
        <v>1686</v>
      </c>
      <c r="C213" s="23">
        <f>SUM(C203:C212)</f>
        <v>1690</v>
      </c>
      <c r="F213" s="23">
        <f>SUM(F203:F212)</f>
        <v>406.4</v>
      </c>
      <c r="G213" s="23">
        <f>SUM(G203:G212)</f>
        <v>248</v>
      </c>
      <c r="I213" s="23">
        <f>SUM(I203:I212)</f>
        <v>294.66141732283529</v>
      </c>
    </row>
    <row r="214" spans="1:9">
      <c r="A214" s="23" t="s">
        <v>410</v>
      </c>
      <c r="B214">
        <f>B213/10</f>
        <v>168.6</v>
      </c>
      <c r="C214">
        <f>C213/10</f>
        <v>169</v>
      </c>
    </row>
    <row r="216" spans="1:9">
      <c r="B216" s="22" t="s">
        <v>374</v>
      </c>
      <c r="C216" s="22" t="s">
        <v>378</v>
      </c>
    </row>
    <row r="217" spans="1:9">
      <c r="B217" s="22" t="s">
        <v>379</v>
      </c>
      <c r="C217" s="22" t="s">
        <v>383</v>
      </c>
    </row>
    <row r="218" spans="1:9">
      <c r="B218" s="22" t="s">
        <v>380</v>
      </c>
      <c r="C218" s="22" t="s">
        <v>381</v>
      </c>
      <c r="D218" t="s">
        <v>389</v>
      </c>
      <c r="E218" t="s">
        <v>421</v>
      </c>
    </row>
    <row r="220" spans="1:9">
      <c r="B220" t="s">
        <v>380</v>
      </c>
      <c r="C220">
        <f>G213/F213</f>
        <v>0.61023622047244097</v>
      </c>
    </row>
    <row r="221" spans="1:9">
      <c r="B221" t="s">
        <v>379</v>
      </c>
      <c r="C221">
        <f>169-(C220*B214)</f>
        <v>66.114173228346459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6"/>
  <sheetViews>
    <sheetView topLeftCell="A100" zoomScaleNormal="100" workbookViewId="0">
      <selection activeCell="P105" sqref="P105:Q116"/>
    </sheetView>
  </sheetViews>
  <sheetFormatPr defaultRowHeight="14.4"/>
  <sheetData>
    <row r="1" spans="1:21">
      <c r="A1" t="s">
        <v>0</v>
      </c>
      <c r="B1" t="s">
        <v>1</v>
      </c>
      <c r="C1" t="s">
        <v>15</v>
      </c>
    </row>
    <row r="2" spans="1:21">
      <c r="A2" t="s">
        <v>2</v>
      </c>
      <c r="B2">
        <v>5</v>
      </c>
      <c r="C2">
        <v>5</v>
      </c>
      <c r="I2" s="6" t="s">
        <v>22</v>
      </c>
      <c r="J2" s="6" t="s">
        <v>19</v>
      </c>
      <c r="K2" t="s">
        <v>18</v>
      </c>
      <c r="P2" s="6" t="s">
        <v>22</v>
      </c>
      <c r="Q2" s="6" t="s">
        <v>19</v>
      </c>
      <c r="R2" t="s">
        <v>18</v>
      </c>
    </row>
    <row r="3" spans="1:21">
      <c r="A3" t="s">
        <v>3</v>
      </c>
      <c r="B3">
        <v>2</v>
      </c>
      <c r="C3">
        <v>7</v>
      </c>
      <c r="I3" s="8" t="s">
        <v>34</v>
      </c>
      <c r="J3" s="6">
        <v>2</v>
      </c>
      <c r="K3">
        <v>2</v>
      </c>
      <c r="P3" s="6" t="s">
        <v>50</v>
      </c>
      <c r="Q3" s="6">
        <v>2</v>
      </c>
      <c r="R3">
        <v>2</v>
      </c>
    </row>
    <row r="4" spans="1:21">
      <c r="A4" t="s">
        <v>4</v>
      </c>
      <c r="B4">
        <v>3</v>
      </c>
      <c r="C4">
        <v>10</v>
      </c>
      <c r="E4" t="s">
        <v>16</v>
      </c>
      <c r="F4">
        <v>35</v>
      </c>
      <c r="I4" s="6" t="s">
        <v>35</v>
      </c>
      <c r="J4" s="6">
        <v>7</v>
      </c>
      <c r="K4">
        <v>9</v>
      </c>
      <c r="M4" t="s">
        <v>16</v>
      </c>
      <c r="N4">
        <v>21</v>
      </c>
      <c r="P4" s="6" t="s">
        <v>49</v>
      </c>
      <c r="Q4" s="6">
        <v>2</v>
      </c>
      <c r="R4">
        <v>4</v>
      </c>
    </row>
    <row r="5" spans="1:21">
      <c r="A5" t="s">
        <v>5</v>
      </c>
      <c r="B5">
        <v>5</v>
      </c>
      <c r="C5">
        <v>15</v>
      </c>
      <c r="E5" t="s">
        <v>17</v>
      </c>
      <c r="F5">
        <v>20</v>
      </c>
      <c r="I5" s="6" t="s">
        <v>36</v>
      </c>
      <c r="J5" s="6">
        <v>10</v>
      </c>
      <c r="K5">
        <v>19</v>
      </c>
      <c r="M5" t="s">
        <v>17</v>
      </c>
      <c r="N5">
        <v>11.5</v>
      </c>
      <c r="P5" s="6" t="s">
        <v>48</v>
      </c>
      <c r="Q5" s="6">
        <v>4</v>
      </c>
      <c r="R5">
        <v>8</v>
      </c>
    </row>
    <row r="6" spans="1:21">
      <c r="A6" t="s">
        <v>6</v>
      </c>
      <c r="B6">
        <v>2</v>
      </c>
      <c r="C6">
        <v>17</v>
      </c>
      <c r="E6" t="s">
        <v>18</v>
      </c>
      <c r="F6">
        <v>17</v>
      </c>
      <c r="I6" s="6" t="s">
        <v>37</v>
      </c>
      <c r="J6" s="6">
        <v>3</v>
      </c>
      <c r="K6">
        <v>22</v>
      </c>
      <c r="M6" t="s">
        <v>18</v>
      </c>
      <c r="N6">
        <v>9</v>
      </c>
      <c r="P6" s="6" t="s">
        <v>47</v>
      </c>
      <c r="Q6" s="6">
        <v>5</v>
      </c>
      <c r="R6">
        <v>13</v>
      </c>
    </row>
    <row r="7" spans="1:21">
      <c r="A7" t="s">
        <v>7</v>
      </c>
      <c r="B7">
        <v>9</v>
      </c>
      <c r="C7">
        <v>26</v>
      </c>
      <c r="E7" t="s">
        <v>19</v>
      </c>
      <c r="F7">
        <v>9</v>
      </c>
      <c r="I7" s="6" t="s">
        <v>38</v>
      </c>
      <c r="J7" s="6">
        <v>1</v>
      </c>
      <c r="K7">
        <v>23</v>
      </c>
      <c r="M7" t="s">
        <v>19</v>
      </c>
      <c r="N7">
        <v>10</v>
      </c>
      <c r="P7" s="6" t="s">
        <v>46</v>
      </c>
      <c r="Q7" s="6">
        <v>11</v>
      </c>
      <c r="R7">
        <v>24</v>
      </c>
      <c r="T7" t="s">
        <v>16</v>
      </c>
      <c r="U7">
        <v>58</v>
      </c>
    </row>
    <row r="8" spans="1:21">
      <c r="A8" t="s">
        <v>8</v>
      </c>
      <c r="B8">
        <v>6</v>
      </c>
      <c r="C8">
        <v>32</v>
      </c>
      <c r="E8" t="s">
        <v>20</v>
      </c>
      <c r="F8">
        <v>5</v>
      </c>
      <c r="I8" s="6"/>
      <c r="J8" s="7">
        <v>23</v>
      </c>
      <c r="M8" t="s">
        <v>20</v>
      </c>
      <c r="N8">
        <v>10</v>
      </c>
      <c r="P8" s="6" t="s">
        <v>45</v>
      </c>
      <c r="Q8" s="6">
        <v>8</v>
      </c>
      <c r="R8">
        <v>32</v>
      </c>
      <c r="T8" t="s">
        <v>17</v>
      </c>
      <c r="U8">
        <v>20</v>
      </c>
    </row>
    <row r="9" spans="1:21">
      <c r="A9" t="s">
        <v>9</v>
      </c>
      <c r="B9">
        <v>3</v>
      </c>
      <c r="C9">
        <v>35</v>
      </c>
      <c r="E9" t="s">
        <v>21</v>
      </c>
      <c r="F9">
        <v>36.700000000000003</v>
      </c>
      <c r="P9" s="6" t="s">
        <v>44</v>
      </c>
      <c r="Q9" s="6">
        <v>4</v>
      </c>
      <c r="R9">
        <v>36</v>
      </c>
      <c r="T9" t="s">
        <v>18</v>
      </c>
      <c r="U9">
        <v>13</v>
      </c>
    </row>
    <row r="10" spans="1:21">
      <c r="A10" t="s">
        <v>10</v>
      </c>
      <c r="B10">
        <v>5</v>
      </c>
      <c r="C10">
        <v>40</v>
      </c>
      <c r="L10" t="s">
        <v>21</v>
      </c>
      <c r="M10" t="s">
        <v>40</v>
      </c>
      <c r="P10" s="6" t="s">
        <v>43</v>
      </c>
      <c r="Q10" s="6">
        <v>2</v>
      </c>
      <c r="R10">
        <v>38</v>
      </c>
      <c r="T10" t="s">
        <v>19</v>
      </c>
      <c r="U10">
        <v>11</v>
      </c>
    </row>
    <row r="11" spans="1:21">
      <c r="A11" t="s">
        <v>11</v>
      </c>
      <c r="B11">
        <v>40</v>
      </c>
      <c r="M11">
        <v>23.5</v>
      </c>
      <c r="P11" s="6" t="s">
        <v>42</v>
      </c>
      <c r="Q11" s="6">
        <v>1</v>
      </c>
      <c r="R11">
        <v>39</v>
      </c>
      <c r="T11" t="s">
        <v>20</v>
      </c>
      <c r="U11">
        <v>3</v>
      </c>
    </row>
    <row r="12" spans="1:21">
      <c r="P12" s="6" t="s">
        <v>41</v>
      </c>
      <c r="Q12" s="6">
        <v>1</v>
      </c>
      <c r="R12">
        <v>40</v>
      </c>
    </row>
    <row r="13" spans="1:21">
      <c r="P13" s="6"/>
      <c r="Q13" s="7">
        <f>SUM(Q3:Q12)</f>
        <v>40</v>
      </c>
    </row>
    <row r="14" spans="1:21">
      <c r="S14" t="s">
        <v>21</v>
      </c>
      <c r="T14" t="s">
        <v>63</v>
      </c>
    </row>
    <row r="15" spans="1:21">
      <c r="T15">
        <f>SUM(58+7/11*3)</f>
        <v>59.909090909090907</v>
      </c>
    </row>
    <row r="17" spans="1:21">
      <c r="A17" s="7" t="s">
        <v>52</v>
      </c>
      <c r="B17" s="6"/>
      <c r="H17" s="7" t="s">
        <v>33</v>
      </c>
      <c r="I17" s="6"/>
      <c r="P17" s="7" t="s">
        <v>64</v>
      </c>
      <c r="Q17" s="6"/>
    </row>
    <row r="18" spans="1:21">
      <c r="A18" s="6" t="s">
        <v>22</v>
      </c>
      <c r="B18" s="6" t="s">
        <v>19</v>
      </c>
      <c r="C18" t="s">
        <v>18</v>
      </c>
      <c r="H18" s="6" t="s">
        <v>31</v>
      </c>
      <c r="I18" s="6"/>
      <c r="P18" s="22" t="s">
        <v>22</v>
      </c>
      <c r="Q18" s="22" t="s">
        <v>19</v>
      </c>
      <c r="R18" t="s">
        <v>18</v>
      </c>
    </row>
    <row r="19" spans="1:21">
      <c r="A19" s="6" t="s">
        <v>53</v>
      </c>
      <c r="B19" s="6">
        <v>2</v>
      </c>
      <c r="C19">
        <v>2</v>
      </c>
      <c r="H19" s="6">
        <v>3</v>
      </c>
      <c r="I19" s="6"/>
      <c r="P19" s="24" t="s">
        <v>68</v>
      </c>
      <c r="Q19" s="22">
        <v>1</v>
      </c>
      <c r="R19">
        <v>1</v>
      </c>
      <c r="T19" t="s">
        <v>16</v>
      </c>
      <c r="U19">
        <v>15</v>
      </c>
    </row>
    <row r="20" spans="1:21">
      <c r="A20" s="6" t="s">
        <v>54</v>
      </c>
      <c r="B20" s="6">
        <v>7</v>
      </c>
      <c r="C20">
        <v>9</v>
      </c>
      <c r="E20" t="s">
        <v>16</v>
      </c>
      <c r="F20">
        <v>27</v>
      </c>
      <c r="H20" s="6">
        <v>9</v>
      </c>
      <c r="I20" s="6"/>
      <c r="P20" s="25" t="s">
        <v>69</v>
      </c>
      <c r="Q20" s="22">
        <v>4</v>
      </c>
      <c r="R20">
        <v>5</v>
      </c>
      <c r="T20" t="s">
        <v>17</v>
      </c>
      <c r="U20">
        <v>10</v>
      </c>
    </row>
    <row r="21" spans="1:21">
      <c r="A21" s="6" t="s">
        <v>55</v>
      </c>
      <c r="B21" s="6">
        <v>12</v>
      </c>
      <c r="C21">
        <v>21</v>
      </c>
      <c r="E21" t="s">
        <v>17</v>
      </c>
      <c r="F21">
        <v>17.5</v>
      </c>
      <c r="H21" s="6">
        <v>12</v>
      </c>
      <c r="I21" s="6"/>
      <c r="P21" s="22" t="s">
        <v>70</v>
      </c>
      <c r="Q21" s="22">
        <v>6</v>
      </c>
      <c r="R21">
        <v>11</v>
      </c>
      <c r="T21" t="s">
        <v>18</v>
      </c>
      <c r="U21">
        <v>5</v>
      </c>
    </row>
    <row r="22" spans="1:21">
      <c r="A22" s="6" t="s">
        <v>56</v>
      </c>
      <c r="B22" s="6">
        <v>5</v>
      </c>
      <c r="C22">
        <v>26</v>
      </c>
      <c r="E22" t="s">
        <v>18</v>
      </c>
      <c r="F22">
        <v>9</v>
      </c>
      <c r="H22" s="6">
        <v>14</v>
      </c>
      <c r="I22" s="6"/>
      <c r="P22" s="22" t="s">
        <v>71</v>
      </c>
      <c r="Q22" s="22">
        <v>4</v>
      </c>
      <c r="R22">
        <v>15</v>
      </c>
      <c r="T22" t="s">
        <v>19</v>
      </c>
      <c r="U22">
        <v>6</v>
      </c>
    </row>
    <row r="23" spans="1:21">
      <c r="A23" s="6" t="s">
        <v>57</v>
      </c>
      <c r="B23" s="6">
        <v>6</v>
      </c>
      <c r="C23">
        <v>32</v>
      </c>
      <c r="E23" t="s">
        <v>19</v>
      </c>
      <c r="F23">
        <v>12</v>
      </c>
      <c r="H23" s="6">
        <v>15</v>
      </c>
      <c r="I23" s="6"/>
      <c r="P23" s="22" t="s">
        <v>72</v>
      </c>
      <c r="Q23" s="22">
        <v>2</v>
      </c>
      <c r="R23">
        <v>17</v>
      </c>
      <c r="T23" t="s">
        <v>20</v>
      </c>
      <c r="U23">
        <v>5</v>
      </c>
    </row>
    <row r="24" spans="1:21">
      <c r="A24" s="6" t="s">
        <v>58</v>
      </c>
      <c r="B24" s="6">
        <v>1</v>
      </c>
      <c r="C24">
        <v>33</v>
      </c>
      <c r="E24" t="s">
        <v>20</v>
      </c>
      <c r="F24">
        <v>6</v>
      </c>
      <c r="H24" s="6">
        <v>17</v>
      </c>
      <c r="I24" s="6"/>
      <c r="P24" s="22" t="s">
        <v>73</v>
      </c>
      <c r="Q24" s="22">
        <v>3</v>
      </c>
      <c r="R24">
        <v>20</v>
      </c>
    </row>
    <row r="25" spans="1:21">
      <c r="A25" s="6" t="s">
        <v>59</v>
      </c>
      <c r="B25" s="6">
        <v>0</v>
      </c>
      <c r="C25">
        <v>33</v>
      </c>
      <c r="H25" s="6">
        <v>70</v>
      </c>
      <c r="I25" s="6"/>
      <c r="P25" s="22"/>
      <c r="Q25" s="23">
        <v>20</v>
      </c>
    </row>
    <row r="26" spans="1:21">
      <c r="A26" s="6" t="s">
        <v>60</v>
      </c>
      <c r="B26" s="6">
        <v>2</v>
      </c>
      <c r="C26">
        <v>35</v>
      </c>
      <c r="S26" t="s">
        <v>21</v>
      </c>
      <c r="T26" t="s">
        <v>75</v>
      </c>
    </row>
    <row r="27" spans="1:21">
      <c r="A27" s="6"/>
      <c r="B27" s="7">
        <f>SUM(B19:B26)</f>
        <v>35</v>
      </c>
      <c r="T27">
        <f>SUM(15+10-5/6*5)</f>
        <v>20.833333333333332</v>
      </c>
    </row>
    <row r="28" spans="1:21">
      <c r="E28" t="s">
        <v>21</v>
      </c>
      <c r="F28" t="s">
        <v>62</v>
      </c>
    </row>
    <row r="29" spans="1:21">
      <c r="F29">
        <f>SUM(27+8.5/12*6)</f>
        <v>31.25</v>
      </c>
    </row>
    <row r="31" spans="1:21">
      <c r="A31" s="20" t="s">
        <v>22</v>
      </c>
      <c r="B31" s="20" t="s">
        <v>19</v>
      </c>
      <c r="C31" s="20" t="s">
        <v>18</v>
      </c>
      <c r="D31" s="20"/>
      <c r="E31" s="20"/>
      <c r="F31" s="20"/>
      <c r="G31" s="20"/>
      <c r="I31" s="30" t="s">
        <v>22</v>
      </c>
      <c r="J31" s="30" t="s">
        <v>19</v>
      </c>
      <c r="K31" s="30" t="s">
        <v>18</v>
      </c>
      <c r="L31" s="30"/>
      <c r="M31" s="30"/>
      <c r="N31" s="30"/>
      <c r="O31" s="30"/>
      <c r="P31" s="22"/>
      <c r="Q31" s="22">
        <v>149</v>
      </c>
      <c r="R31" s="22"/>
    </row>
    <row r="32" spans="1:21">
      <c r="A32" s="13" t="s">
        <v>76</v>
      </c>
      <c r="B32" s="13">
        <v>30</v>
      </c>
      <c r="C32" s="13">
        <v>30</v>
      </c>
      <c r="D32" s="13"/>
      <c r="E32" s="13" t="s">
        <v>16</v>
      </c>
      <c r="F32" s="13">
        <v>10</v>
      </c>
      <c r="G32" s="13"/>
      <c r="I32" s="27" t="s">
        <v>68</v>
      </c>
      <c r="J32" s="26">
        <v>1</v>
      </c>
      <c r="K32" s="26">
        <v>1</v>
      </c>
      <c r="L32" s="26"/>
      <c r="M32" s="26" t="s">
        <v>16</v>
      </c>
      <c r="N32" s="26">
        <v>15</v>
      </c>
      <c r="O32" s="26"/>
      <c r="P32" s="22">
        <v>161</v>
      </c>
      <c r="Q32" s="22">
        <v>150</v>
      </c>
      <c r="R32" s="22">
        <v>169</v>
      </c>
    </row>
    <row r="33" spans="1:21">
      <c r="A33" s="21" t="s">
        <v>77</v>
      </c>
      <c r="B33" s="13">
        <v>27</v>
      </c>
      <c r="C33" s="13">
        <v>57</v>
      </c>
      <c r="D33" s="13"/>
      <c r="E33" s="13" t="s">
        <v>17</v>
      </c>
      <c r="F33" s="13">
        <v>46</v>
      </c>
      <c r="G33" s="13"/>
      <c r="I33" s="28" t="s">
        <v>69</v>
      </c>
      <c r="J33" s="26">
        <v>4</v>
      </c>
      <c r="K33" s="26">
        <v>5</v>
      </c>
      <c r="L33" s="26"/>
      <c r="M33" s="26" t="s">
        <v>17</v>
      </c>
      <c r="N33" s="26">
        <v>10</v>
      </c>
      <c r="O33" s="26"/>
      <c r="P33" s="22">
        <v>155</v>
      </c>
      <c r="Q33" s="22">
        <v>150</v>
      </c>
      <c r="R33" s="22">
        <v>182</v>
      </c>
    </row>
    <row r="34" spans="1:21">
      <c r="A34" s="13" t="s">
        <v>78</v>
      </c>
      <c r="B34" s="13">
        <v>14</v>
      </c>
      <c r="C34" s="13">
        <v>71</v>
      </c>
      <c r="D34" s="13"/>
      <c r="E34" s="13" t="s">
        <v>18</v>
      </c>
      <c r="F34" s="13">
        <v>30</v>
      </c>
      <c r="G34" s="13"/>
      <c r="I34" s="26" t="s">
        <v>70</v>
      </c>
      <c r="J34" s="26">
        <v>6</v>
      </c>
      <c r="K34" s="26">
        <v>11</v>
      </c>
      <c r="L34" s="26"/>
      <c r="M34" s="26" t="s">
        <v>18</v>
      </c>
      <c r="N34" s="26">
        <v>5</v>
      </c>
      <c r="O34" s="26"/>
      <c r="P34" s="22">
        <v>155</v>
      </c>
      <c r="Q34" s="22">
        <v>152</v>
      </c>
      <c r="R34" s="22">
        <v>163</v>
      </c>
    </row>
    <row r="35" spans="1:21">
      <c r="A35" s="13" t="s">
        <v>79</v>
      </c>
      <c r="B35" s="13">
        <v>19</v>
      </c>
      <c r="C35" s="13">
        <v>90</v>
      </c>
      <c r="D35" s="13"/>
      <c r="E35" s="13" t="s">
        <v>19</v>
      </c>
      <c r="F35" s="13">
        <v>27</v>
      </c>
      <c r="G35" s="13"/>
      <c r="I35" s="26" t="s">
        <v>71</v>
      </c>
      <c r="J35" s="26">
        <v>4</v>
      </c>
      <c r="K35" s="26">
        <v>15</v>
      </c>
      <c r="L35" s="26"/>
      <c r="M35" s="26" t="s">
        <v>19</v>
      </c>
      <c r="N35" s="26">
        <v>6</v>
      </c>
      <c r="O35" s="26"/>
      <c r="P35" s="22">
        <v>183</v>
      </c>
      <c r="Q35" s="22">
        <v>158</v>
      </c>
      <c r="R35" s="22">
        <v>149</v>
      </c>
    </row>
    <row r="36" spans="1:21">
      <c r="A36" s="13" t="s">
        <v>80</v>
      </c>
      <c r="B36" s="13">
        <v>2</v>
      </c>
      <c r="C36" s="13">
        <v>92</v>
      </c>
      <c r="D36" s="13"/>
      <c r="E36" s="13" t="s">
        <v>20</v>
      </c>
      <c r="F36" s="13">
        <v>10</v>
      </c>
      <c r="G36" s="13"/>
      <c r="I36" s="26" t="s">
        <v>72</v>
      </c>
      <c r="J36" s="26">
        <v>2</v>
      </c>
      <c r="K36" s="26">
        <v>17</v>
      </c>
      <c r="L36" s="26"/>
      <c r="M36" s="26" t="s">
        <v>20</v>
      </c>
      <c r="N36" s="26">
        <v>5</v>
      </c>
      <c r="O36" s="26"/>
      <c r="P36" s="22">
        <v>191</v>
      </c>
      <c r="Q36" s="22">
        <v>159</v>
      </c>
      <c r="R36" s="22">
        <v>174</v>
      </c>
    </row>
    <row r="37" spans="1:21">
      <c r="A37" s="13"/>
      <c r="B37" s="14">
        <v>92</v>
      </c>
      <c r="C37" s="13"/>
      <c r="D37" s="13"/>
      <c r="E37" s="13"/>
      <c r="F37" s="13"/>
      <c r="G37" s="13"/>
      <c r="I37" s="26" t="s">
        <v>73</v>
      </c>
      <c r="J37" s="26">
        <v>3</v>
      </c>
      <c r="K37" s="26">
        <v>20</v>
      </c>
      <c r="L37" s="26"/>
      <c r="M37" s="26"/>
      <c r="N37" s="26"/>
      <c r="O37" s="26"/>
      <c r="P37" s="22">
        <v>185</v>
      </c>
      <c r="Q37" s="22">
        <v>174</v>
      </c>
      <c r="R37" s="22">
        <v>174</v>
      </c>
    </row>
    <row r="38" spans="1:21">
      <c r="A38" s="13"/>
      <c r="B38" s="13"/>
      <c r="C38" s="13"/>
      <c r="D38" s="13"/>
      <c r="E38" s="13" t="s">
        <v>21</v>
      </c>
      <c r="F38" s="13" t="s">
        <v>81</v>
      </c>
      <c r="G38" s="13"/>
      <c r="I38" s="26"/>
      <c r="J38" s="29">
        <v>20</v>
      </c>
      <c r="K38" s="26"/>
      <c r="L38" s="26"/>
      <c r="M38" s="26" t="s">
        <v>21</v>
      </c>
      <c r="N38" s="26" t="s">
        <v>75</v>
      </c>
      <c r="O38" s="26"/>
      <c r="P38" s="22">
        <v>170</v>
      </c>
      <c r="Q38" s="22">
        <v>178</v>
      </c>
      <c r="R38" s="22">
        <v>177</v>
      </c>
    </row>
    <row r="39" spans="1:21">
      <c r="A39" s="13"/>
      <c r="B39" s="13"/>
      <c r="C39" s="13"/>
      <c r="D39" s="13"/>
      <c r="E39" s="13"/>
      <c r="F39" s="13">
        <f>SUM(10+46-30/27*10)</f>
        <v>44.888888888888886</v>
      </c>
      <c r="G39" s="13"/>
      <c r="I39" s="26"/>
      <c r="J39" s="26"/>
      <c r="K39" s="26"/>
      <c r="L39" s="26"/>
      <c r="M39" s="26"/>
      <c r="N39" s="26">
        <f>SUM(15+10-5/6*5)</f>
        <v>20.833333333333332</v>
      </c>
      <c r="O39" s="26"/>
      <c r="P39" s="22">
        <v>172</v>
      </c>
      <c r="Q39" s="22">
        <v>179</v>
      </c>
      <c r="R39" s="22">
        <v>181</v>
      </c>
      <c r="T39" t="s">
        <v>21</v>
      </c>
    </row>
    <row r="40" spans="1:21">
      <c r="P40" s="22">
        <v>177</v>
      </c>
      <c r="Q40" s="22">
        <v>190</v>
      </c>
      <c r="R40" s="22">
        <v>170</v>
      </c>
      <c r="U40" t="s">
        <v>82</v>
      </c>
    </row>
    <row r="41" spans="1:21">
      <c r="P41" s="22">
        <v>183</v>
      </c>
      <c r="Q41" s="22">
        <v>170</v>
      </c>
      <c r="R41" s="22">
        <v>182</v>
      </c>
      <c r="U41" t="s">
        <v>83</v>
      </c>
    </row>
    <row r="42" spans="1:21">
      <c r="P42" s="22">
        <v>190</v>
      </c>
      <c r="Q42" s="22">
        <v>143</v>
      </c>
      <c r="R42" s="22">
        <v>170</v>
      </c>
      <c r="U42">
        <v>178</v>
      </c>
    </row>
    <row r="43" spans="1:21">
      <c r="P43" s="22">
        <v>139</v>
      </c>
      <c r="Q43" s="22">
        <v>165</v>
      </c>
      <c r="R43" s="22">
        <v>145</v>
      </c>
    </row>
    <row r="44" spans="1:21">
      <c r="P44" s="22"/>
      <c r="Q44" s="22">
        <v>167</v>
      </c>
      <c r="R44" s="22">
        <v>143</v>
      </c>
    </row>
    <row r="45" spans="1:21">
      <c r="P45" s="22"/>
      <c r="Q45" s="22">
        <v>187</v>
      </c>
      <c r="R45" s="22">
        <f>SUM(N31:N71)</f>
        <v>88.833333333333329</v>
      </c>
    </row>
    <row r="46" spans="1:21">
      <c r="A46" s="23" t="s">
        <v>84</v>
      </c>
      <c r="P46" s="22"/>
      <c r="Q46" s="22"/>
      <c r="R46" s="22" t="s">
        <v>66</v>
      </c>
    </row>
    <row r="47" spans="1:21">
      <c r="A47">
        <v>24</v>
      </c>
      <c r="B47">
        <v>32</v>
      </c>
      <c r="C47">
        <v>27</v>
      </c>
      <c r="D47">
        <v>23</v>
      </c>
      <c r="E47">
        <v>33</v>
      </c>
      <c r="F47">
        <v>33</v>
      </c>
      <c r="G47">
        <v>29</v>
      </c>
      <c r="H47">
        <v>25</v>
      </c>
      <c r="I47">
        <v>23</v>
      </c>
      <c r="J47">
        <v>28</v>
      </c>
    </row>
    <row r="48" spans="1:21">
      <c r="A48">
        <v>21</v>
      </c>
      <c r="B48">
        <v>26</v>
      </c>
      <c r="C48">
        <v>31</v>
      </c>
      <c r="D48">
        <v>20</v>
      </c>
      <c r="E48">
        <v>27</v>
      </c>
      <c r="F48">
        <v>33</v>
      </c>
      <c r="G48">
        <v>27</v>
      </c>
      <c r="H48">
        <v>23</v>
      </c>
      <c r="I48">
        <v>28</v>
      </c>
      <c r="J48">
        <v>29</v>
      </c>
    </row>
    <row r="49" spans="1:22">
      <c r="A49">
        <v>31</v>
      </c>
      <c r="B49">
        <v>35</v>
      </c>
      <c r="C49">
        <v>34</v>
      </c>
      <c r="D49">
        <v>22</v>
      </c>
      <c r="E49">
        <v>26</v>
      </c>
      <c r="F49">
        <v>28</v>
      </c>
      <c r="G49">
        <v>23</v>
      </c>
      <c r="H49">
        <v>35</v>
      </c>
      <c r="I49">
        <v>31</v>
      </c>
      <c r="J49">
        <v>27</v>
      </c>
    </row>
    <row r="51" spans="1:22">
      <c r="A51">
        <v>20</v>
      </c>
      <c r="B51">
        <v>21</v>
      </c>
      <c r="C51">
        <v>22</v>
      </c>
      <c r="D51">
        <v>23</v>
      </c>
      <c r="E51">
        <v>23</v>
      </c>
      <c r="F51">
        <v>23</v>
      </c>
      <c r="G51">
        <v>23</v>
      </c>
      <c r="H51">
        <v>24</v>
      </c>
      <c r="I51">
        <v>25</v>
      </c>
      <c r="J51">
        <v>26</v>
      </c>
      <c r="K51">
        <v>26</v>
      </c>
      <c r="L51">
        <v>27</v>
      </c>
      <c r="M51">
        <v>27</v>
      </c>
      <c r="N51">
        <v>27</v>
      </c>
      <c r="O51">
        <v>27</v>
      </c>
      <c r="P51">
        <v>28</v>
      </c>
      <c r="Q51">
        <v>28</v>
      </c>
      <c r="R51">
        <v>28</v>
      </c>
      <c r="S51">
        <v>29</v>
      </c>
      <c r="T51">
        <v>29</v>
      </c>
    </row>
    <row r="52" spans="1:22">
      <c r="A52">
        <v>31</v>
      </c>
      <c r="B52">
        <v>31</v>
      </c>
      <c r="C52">
        <v>31</v>
      </c>
      <c r="D52">
        <v>32</v>
      </c>
      <c r="E52">
        <v>33</v>
      </c>
      <c r="F52">
        <v>33</v>
      </c>
      <c r="G52">
        <v>33</v>
      </c>
      <c r="H52">
        <v>34</v>
      </c>
      <c r="I52">
        <v>35</v>
      </c>
      <c r="J52">
        <v>35</v>
      </c>
      <c r="K52" t="s">
        <v>21</v>
      </c>
    </row>
    <row r="53" spans="1:22">
      <c r="K53" t="s">
        <v>202</v>
      </c>
      <c r="L53" t="s">
        <v>203</v>
      </c>
      <c r="M53">
        <v>27</v>
      </c>
    </row>
    <row r="54" spans="1:22">
      <c r="A54" s="23" t="s">
        <v>184</v>
      </c>
      <c r="H54" s="23" t="s">
        <v>188</v>
      </c>
      <c r="I54" s="22"/>
      <c r="P54" s="23" t="s">
        <v>226</v>
      </c>
    </row>
    <row r="55" spans="1:22">
      <c r="A55" s="23" t="s">
        <v>22</v>
      </c>
      <c r="B55" s="23" t="s">
        <v>19</v>
      </c>
      <c r="C55" s="23" t="s">
        <v>18</v>
      </c>
      <c r="H55" s="23" t="s">
        <v>22</v>
      </c>
      <c r="I55" s="23" t="s">
        <v>19</v>
      </c>
      <c r="J55" s="23" t="s">
        <v>18</v>
      </c>
      <c r="P55" s="23" t="s">
        <v>195</v>
      </c>
      <c r="S55" s="23" t="s">
        <v>197</v>
      </c>
      <c r="V55" s="23" t="s">
        <v>199</v>
      </c>
    </row>
    <row r="56" spans="1:22">
      <c r="A56" s="22" t="s">
        <v>178</v>
      </c>
      <c r="B56" s="22">
        <v>2</v>
      </c>
      <c r="C56">
        <v>2</v>
      </c>
      <c r="E56" t="s">
        <v>16</v>
      </c>
      <c r="F56">
        <v>8</v>
      </c>
      <c r="H56" s="22">
        <v>1</v>
      </c>
      <c r="I56" s="22">
        <v>3</v>
      </c>
      <c r="J56">
        <v>3</v>
      </c>
      <c r="P56" s="22">
        <v>12</v>
      </c>
      <c r="S56" s="22">
        <v>8</v>
      </c>
      <c r="V56" s="22">
        <v>7.9</v>
      </c>
    </row>
    <row r="57" spans="1:22">
      <c r="A57" s="22" t="s">
        <v>179</v>
      </c>
      <c r="B57" s="22">
        <v>3</v>
      </c>
      <c r="C57">
        <v>5</v>
      </c>
      <c r="E57" t="s">
        <v>17</v>
      </c>
      <c r="F57">
        <v>9</v>
      </c>
      <c r="H57" s="22">
        <v>2</v>
      </c>
      <c r="I57" s="23">
        <v>8</v>
      </c>
      <c r="J57">
        <v>11</v>
      </c>
      <c r="L57" t="s">
        <v>16</v>
      </c>
      <c r="M57">
        <v>3</v>
      </c>
      <c r="P57" s="22">
        <v>17</v>
      </c>
      <c r="S57" s="22">
        <v>8</v>
      </c>
      <c r="V57" s="22">
        <v>8.5</v>
      </c>
    </row>
    <row r="58" spans="1:22">
      <c r="A58" s="22" t="s">
        <v>180</v>
      </c>
      <c r="B58" s="22">
        <v>8</v>
      </c>
      <c r="C58">
        <v>13</v>
      </c>
      <c r="E58" t="s">
        <v>18</v>
      </c>
      <c r="F58">
        <v>5</v>
      </c>
      <c r="H58" s="22">
        <v>3</v>
      </c>
      <c r="I58" s="22">
        <v>5</v>
      </c>
      <c r="J58">
        <v>16</v>
      </c>
      <c r="L58" t="s">
        <v>17</v>
      </c>
      <c r="M58">
        <v>12</v>
      </c>
      <c r="P58" s="22">
        <v>20</v>
      </c>
      <c r="S58" s="22">
        <v>8</v>
      </c>
      <c r="V58" s="22">
        <v>9.1</v>
      </c>
    </row>
    <row r="59" spans="1:22">
      <c r="A59" s="22" t="s">
        <v>181</v>
      </c>
      <c r="B59" s="22">
        <v>3</v>
      </c>
      <c r="C59">
        <v>16</v>
      </c>
      <c r="E59" t="s">
        <v>19</v>
      </c>
      <c r="F59">
        <v>8</v>
      </c>
      <c r="H59" s="22">
        <v>4</v>
      </c>
      <c r="I59" s="23">
        <v>4</v>
      </c>
      <c r="J59">
        <v>20</v>
      </c>
      <c r="L59" t="s">
        <v>189</v>
      </c>
      <c r="M59">
        <v>11</v>
      </c>
      <c r="P59" s="22">
        <v>24</v>
      </c>
      <c r="S59" s="22">
        <v>10</v>
      </c>
      <c r="V59" s="22">
        <v>9.1999999999999993</v>
      </c>
    </row>
    <row r="60" spans="1:22">
      <c r="A60" s="22" t="s">
        <v>182</v>
      </c>
      <c r="B60" s="22">
        <v>2</v>
      </c>
      <c r="C60">
        <v>18</v>
      </c>
      <c r="E60" t="s">
        <v>20</v>
      </c>
      <c r="F60">
        <v>3</v>
      </c>
      <c r="H60" s="22">
        <v>5</v>
      </c>
      <c r="I60" s="22">
        <v>2</v>
      </c>
      <c r="J60">
        <v>22</v>
      </c>
      <c r="L60" t="s">
        <v>19</v>
      </c>
      <c r="M60">
        <v>5</v>
      </c>
      <c r="P60" s="22">
        <v>25</v>
      </c>
      <c r="S60" s="22">
        <v>11</v>
      </c>
      <c r="V60" s="22">
        <v>9.9</v>
      </c>
    </row>
    <row r="61" spans="1:22">
      <c r="A61" s="22"/>
      <c r="B61" s="23">
        <f>SUM(B56:B60)</f>
        <v>18</v>
      </c>
      <c r="E61" t="s">
        <v>21</v>
      </c>
      <c r="F61" t="s">
        <v>190</v>
      </c>
      <c r="H61" s="22">
        <v>6</v>
      </c>
      <c r="I61" s="23">
        <v>1</v>
      </c>
      <c r="J61">
        <v>23</v>
      </c>
      <c r="L61" t="s">
        <v>20</v>
      </c>
      <c r="M61">
        <v>1</v>
      </c>
      <c r="P61" s="22">
        <v>30</v>
      </c>
      <c r="S61" s="22">
        <v>12</v>
      </c>
      <c r="V61" s="22">
        <v>10</v>
      </c>
    </row>
    <row r="62" spans="1:22">
      <c r="F62">
        <f>8+4/8*3</f>
        <v>9.5</v>
      </c>
      <c r="H62" s="22">
        <v>7</v>
      </c>
      <c r="I62" s="22">
        <v>1</v>
      </c>
      <c r="J62">
        <v>24</v>
      </c>
      <c r="P62" s="22">
        <v>40</v>
      </c>
      <c r="S62" s="22">
        <v>12</v>
      </c>
      <c r="V62" s="22">
        <v>11.1</v>
      </c>
    </row>
    <row r="63" spans="1:22">
      <c r="H63" s="22"/>
      <c r="I63" s="23">
        <f>SUM(I56:I62)</f>
        <v>24</v>
      </c>
      <c r="L63" t="s">
        <v>21</v>
      </c>
      <c r="M63" t="s">
        <v>191</v>
      </c>
      <c r="P63" t="s">
        <v>196</v>
      </c>
      <c r="S63" s="22">
        <v>16</v>
      </c>
      <c r="V63" s="22">
        <v>11.2</v>
      </c>
    </row>
    <row r="64" spans="1:22">
      <c r="M64">
        <f>3+1/5*1</f>
        <v>3.2</v>
      </c>
      <c r="P64" t="s">
        <v>204</v>
      </c>
      <c r="Q64" t="s">
        <v>205</v>
      </c>
      <c r="S64" s="22">
        <v>20</v>
      </c>
      <c r="V64" s="22">
        <v>11.2</v>
      </c>
    </row>
    <row r="65" spans="1:23">
      <c r="P65" t="s">
        <v>21</v>
      </c>
      <c r="Q65">
        <f>44/2</f>
        <v>22</v>
      </c>
      <c r="S65" s="22">
        <v>20</v>
      </c>
      <c r="V65" s="22">
        <v>12.6</v>
      </c>
    </row>
    <row r="66" spans="1:23">
      <c r="A66" s="23" t="s">
        <v>188</v>
      </c>
      <c r="B66" s="22"/>
      <c r="H66" s="23" t="s">
        <v>216</v>
      </c>
      <c r="I66" s="22"/>
      <c r="S66" s="22">
        <v>24</v>
      </c>
      <c r="V66" s="22">
        <v>12.9</v>
      </c>
    </row>
    <row r="67" spans="1:23">
      <c r="A67" s="23" t="s">
        <v>143</v>
      </c>
      <c r="B67" s="23" t="s">
        <v>19</v>
      </c>
      <c r="H67" s="23" t="s">
        <v>143</v>
      </c>
      <c r="I67" s="23" t="s">
        <v>19</v>
      </c>
      <c r="J67" s="23" t="s">
        <v>18</v>
      </c>
      <c r="S67" t="s">
        <v>198</v>
      </c>
      <c r="V67" t="s">
        <v>198</v>
      </c>
    </row>
    <row r="68" spans="1:23">
      <c r="A68" s="22">
        <v>0</v>
      </c>
      <c r="B68" s="22">
        <v>2</v>
      </c>
      <c r="H68" s="22" t="s">
        <v>77</v>
      </c>
      <c r="I68" s="22">
        <v>3</v>
      </c>
      <c r="J68">
        <v>3</v>
      </c>
      <c r="S68" t="s">
        <v>206</v>
      </c>
      <c r="T68" t="s">
        <v>207</v>
      </c>
      <c r="V68" s="22" t="s">
        <v>206</v>
      </c>
      <c r="W68" s="22" t="s">
        <v>207</v>
      </c>
    </row>
    <row r="69" spans="1:23">
      <c r="A69" s="22">
        <v>1</v>
      </c>
      <c r="B69" s="22">
        <v>4</v>
      </c>
      <c r="H69" s="22" t="s">
        <v>78</v>
      </c>
      <c r="I69" s="22">
        <v>9</v>
      </c>
      <c r="J69">
        <v>12</v>
      </c>
      <c r="L69" t="s">
        <v>16</v>
      </c>
      <c r="M69">
        <v>40</v>
      </c>
      <c r="S69" t="s">
        <v>21</v>
      </c>
      <c r="T69">
        <f>(11+12)/2</f>
        <v>11.5</v>
      </c>
      <c r="V69" t="s">
        <v>21</v>
      </c>
      <c r="W69">
        <f>(9.9+11)/2</f>
        <v>10.45</v>
      </c>
    </row>
    <row r="70" spans="1:23">
      <c r="A70" s="22">
        <v>2</v>
      </c>
      <c r="B70" s="22">
        <v>7</v>
      </c>
      <c r="H70" s="22" t="s">
        <v>79</v>
      </c>
      <c r="I70" s="22">
        <v>12</v>
      </c>
      <c r="J70">
        <v>24</v>
      </c>
      <c r="L70" t="s">
        <v>17</v>
      </c>
      <c r="M70">
        <v>25</v>
      </c>
      <c r="T70" s="23" t="s">
        <v>200</v>
      </c>
    </row>
    <row r="71" spans="1:23">
      <c r="A71" s="22">
        <v>3</v>
      </c>
      <c r="B71" s="22">
        <v>4</v>
      </c>
      <c r="H71" s="22" t="s">
        <v>80</v>
      </c>
      <c r="I71" s="22">
        <v>20</v>
      </c>
      <c r="J71">
        <v>44</v>
      </c>
      <c r="L71" t="s">
        <v>189</v>
      </c>
      <c r="M71">
        <v>24</v>
      </c>
      <c r="T71" s="22">
        <v>427</v>
      </c>
      <c r="U71">
        <v>403</v>
      </c>
    </row>
    <row r="72" spans="1:23">
      <c r="A72" s="22">
        <v>4</v>
      </c>
      <c r="B72" s="22">
        <v>2</v>
      </c>
      <c r="H72" s="22" t="s">
        <v>167</v>
      </c>
      <c r="I72" s="22">
        <v>6</v>
      </c>
      <c r="J72">
        <v>50</v>
      </c>
      <c r="L72" t="s">
        <v>19</v>
      </c>
      <c r="M72">
        <v>20</v>
      </c>
      <c r="T72" s="22">
        <v>423</v>
      </c>
      <c r="U72">
        <v>405</v>
      </c>
    </row>
    <row r="73" spans="1:23">
      <c r="A73" s="22">
        <v>5</v>
      </c>
      <c r="B73" s="22">
        <v>0</v>
      </c>
      <c r="H73" s="22"/>
      <c r="I73" s="23">
        <f>SUM(I68:I72)</f>
        <v>50</v>
      </c>
      <c r="L73" t="s">
        <v>20</v>
      </c>
      <c r="M73">
        <v>10</v>
      </c>
      <c r="T73" s="22">
        <v>415</v>
      </c>
      <c r="U73">
        <v>415</v>
      </c>
    </row>
    <row r="74" spans="1:23">
      <c r="A74" s="22">
        <v>6</v>
      </c>
      <c r="B74" s="22">
        <v>1</v>
      </c>
      <c r="T74" s="22">
        <v>405</v>
      </c>
      <c r="U74">
        <v>415</v>
      </c>
    </row>
    <row r="75" spans="1:23">
      <c r="A75" s="22">
        <v>7</v>
      </c>
      <c r="B75" s="22">
        <v>8</v>
      </c>
      <c r="K75" t="s">
        <v>21</v>
      </c>
      <c r="L75" t="s">
        <v>218</v>
      </c>
      <c r="T75" s="22">
        <v>445</v>
      </c>
      <c r="U75">
        <v>419</v>
      </c>
    </row>
    <row r="76" spans="1:23">
      <c r="A76" s="22">
        <v>8</v>
      </c>
      <c r="B76" s="22">
        <v>13</v>
      </c>
      <c r="L76">
        <f>40+1/20*10</f>
        <v>40.5</v>
      </c>
      <c r="T76" s="22">
        <v>433</v>
      </c>
      <c r="U76">
        <v>423</v>
      </c>
    </row>
    <row r="77" spans="1:23">
      <c r="A77" s="22">
        <v>9</v>
      </c>
      <c r="B77" s="22">
        <v>7</v>
      </c>
      <c r="T77" s="22">
        <v>442</v>
      </c>
      <c r="U77">
        <v>424</v>
      </c>
    </row>
    <row r="78" spans="1:23">
      <c r="A78" s="22">
        <v>10</v>
      </c>
      <c r="B78" s="22">
        <v>2</v>
      </c>
      <c r="T78" s="22">
        <v>415</v>
      </c>
      <c r="U78">
        <v>425</v>
      </c>
    </row>
    <row r="79" spans="1:23">
      <c r="A79" s="22"/>
      <c r="B79" s="23">
        <f>SUM(B68:B78)</f>
        <v>50</v>
      </c>
      <c r="T79" s="22">
        <v>435</v>
      </c>
      <c r="U79">
        <v>427</v>
      </c>
    </row>
    <row r="80" spans="1:23">
      <c r="T80" s="22">
        <v>448</v>
      </c>
      <c r="U80">
        <v>427</v>
      </c>
    </row>
    <row r="81" spans="1:23">
      <c r="A81" s="23" t="s">
        <v>220</v>
      </c>
      <c r="B81" s="22"/>
      <c r="H81" s="23" t="s">
        <v>232</v>
      </c>
      <c r="I81" s="22"/>
      <c r="T81" s="22">
        <v>429</v>
      </c>
      <c r="U81">
        <v>428</v>
      </c>
    </row>
    <row r="82" spans="1:23">
      <c r="A82" s="23" t="s">
        <v>22</v>
      </c>
      <c r="B82" s="23" t="s">
        <v>19</v>
      </c>
      <c r="C82" s="23" t="s">
        <v>18</v>
      </c>
      <c r="H82" s="23" t="s">
        <v>22</v>
      </c>
      <c r="I82" s="23" t="s">
        <v>19</v>
      </c>
      <c r="J82" s="23" t="s">
        <v>18</v>
      </c>
      <c r="T82" s="22">
        <v>427</v>
      </c>
      <c r="U82">
        <v>429</v>
      </c>
      <c r="V82" t="s">
        <v>201</v>
      </c>
    </row>
    <row r="83" spans="1:23">
      <c r="A83" s="22" t="s">
        <v>221</v>
      </c>
      <c r="B83" s="22">
        <v>12</v>
      </c>
      <c r="C83">
        <v>12</v>
      </c>
      <c r="E83" t="s">
        <v>16</v>
      </c>
      <c r="F83">
        <v>5</v>
      </c>
      <c r="H83" s="22" t="s">
        <v>229</v>
      </c>
      <c r="I83" s="22">
        <v>7</v>
      </c>
      <c r="J83">
        <v>7</v>
      </c>
      <c r="T83" s="22">
        <v>403</v>
      </c>
      <c r="U83">
        <v>430</v>
      </c>
      <c r="V83" t="s">
        <v>208</v>
      </c>
    </row>
    <row r="84" spans="1:23">
      <c r="A84" s="22" t="s">
        <v>222</v>
      </c>
      <c r="B84" s="22">
        <v>22</v>
      </c>
      <c r="C84">
        <v>34</v>
      </c>
      <c r="E84" t="s">
        <v>17</v>
      </c>
      <c r="F84">
        <v>40</v>
      </c>
      <c r="H84" s="25" t="s">
        <v>77</v>
      </c>
      <c r="I84" s="22">
        <v>5</v>
      </c>
      <c r="J84">
        <v>12</v>
      </c>
      <c r="L84" t="s">
        <v>16</v>
      </c>
      <c r="M84">
        <v>30</v>
      </c>
      <c r="T84" s="22">
        <v>430</v>
      </c>
      <c r="U84">
        <v>433</v>
      </c>
      <c r="V84" t="s">
        <v>21</v>
      </c>
      <c r="W84">
        <v>427</v>
      </c>
    </row>
    <row r="85" spans="1:23">
      <c r="A85" s="22" t="s">
        <v>223</v>
      </c>
      <c r="B85" s="22">
        <v>27</v>
      </c>
      <c r="C85">
        <v>61</v>
      </c>
      <c r="E85" t="s">
        <v>189</v>
      </c>
      <c r="F85">
        <v>34</v>
      </c>
      <c r="H85" s="22" t="s">
        <v>78</v>
      </c>
      <c r="I85" s="22">
        <v>6</v>
      </c>
      <c r="J85">
        <v>18</v>
      </c>
      <c r="L85" t="s">
        <v>17</v>
      </c>
      <c r="M85">
        <v>20</v>
      </c>
      <c r="T85" s="22">
        <v>446</v>
      </c>
      <c r="U85">
        <v>435</v>
      </c>
    </row>
    <row r="86" spans="1:23">
      <c r="A86" s="22" t="s">
        <v>224</v>
      </c>
      <c r="B86" s="22">
        <v>19</v>
      </c>
      <c r="C86">
        <v>80</v>
      </c>
      <c r="E86" t="s">
        <v>19</v>
      </c>
      <c r="F86">
        <v>27</v>
      </c>
      <c r="H86" s="22" t="s">
        <v>79</v>
      </c>
      <c r="I86" s="22">
        <v>12</v>
      </c>
      <c r="J86">
        <v>30</v>
      </c>
      <c r="L86" t="s">
        <v>189</v>
      </c>
      <c r="M86">
        <v>18</v>
      </c>
      <c r="T86" s="22">
        <v>440</v>
      </c>
      <c r="U86">
        <v>440</v>
      </c>
    </row>
    <row r="87" spans="1:23">
      <c r="A87" s="22"/>
      <c r="B87" s="23">
        <f>SUM(B83:B86)</f>
        <v>80</v>
      </c>
      <c r="E87" t="s">
        <v>20</v>
      </c>
      <c r="F87">
        <v>2</v>
      </c>
      <c r="H87" s="22" t="s">
        <v>80</v>
      </c>
      <c r="I87" s="22">
        <v>8</v>
      </c>
      <c r="J87">
        <v>38</v>
      </c>
      <c r="L87" t="s">
        <v>19</v>
      </c>
      <c r="M87">
        <v>12</v>
      </c>
      <c r="T87" s="22">
        <v>425</v>
      </c>
      <c r="U87">
        <v>441</v>
      </c>
    </row>
    <row r="88" spans="1:23">
      <c r="H88" s="22" t="s">
        <v>167</v>
      </c>
      <c r="I88" s="22">
        <v>2</v>
      </c>
      <c r="J88">
        <v>40</v>
      </c>
      <c r="L88" t="s">
        <v>20</v>
      </c>
      <c r="M88">
        <v>10</v>
      </c>
      <c r="T88" s="22">
        <v>424</v>
      </c>
      <c r="U88">
        <v>442</v>
      </c>
    </row>
    <row r="89" spans="1:23">
      <c r="D89" t="s">
        <v>21</v>
      </c>
      <c r="E89" t="s">
        <v>227</v>
      </c>
      <c r="H89" s="22"/>
      <c r="I89" s="23">
        <f>SUM(I83:I88)</f>
        <v>40</v>
      </c>
      <c r="T89" s="22">
        <v>419</v>
      </c>
      <c r="U89">
        <v>445</v>
      </c>
    </row>
    <row r="90" spans="1:23">
      <c r="E90">
        <f>5+6/27*2</f>
        <v>5.4444444444444446</v>
      </c>
      <c r="K90" t="s">
        <v>21</v>
      </c>
      <c r="L90" t="s">
        <v>231</v>
      </c>
      <c r="T90" s="22">
        <v>428</v>
      </c>
      <c r="U90">
        <v>446</v>
      </c>
    </row>
    <row r="91" spans="1:23">
      <c r="L91">
        <f>30+8/12*10</f>
        <v>36.666666666666664</v>
      </c>
      <c r="T91" s="22">
        <v>441</v>
      </c>
      <c r="U91">
        <v>448</v>
      </c>
    </row>
    <row r="92" spans="1:23">
      <c r="A92" s="23" t="s">
        <v>234</v>
      </c>
      <c r="H92" s="23" t="s">
        <v>244</v>
      </c>
      <c r="P92" s="23" t="s">
        <v>253</v>
      </c>
    </row>
    <row r="93" spans="1:23">
      <c r="A93" s="23" t="s">
        <v>143</v>
      </c>
      <c r="B93" s="23" t="s">
        <v>19</v>
      </c>
      <c r="C93" s="23" t="s">
        <v>18</v>
      </c>
      <c r="H93" s="23" t="s">
        <v>143</v>
      </c>
      <c r="I93" s="23" t="s">
        <v>19</v>
      </c>
      <c r="J93" s="23" t="s">
        <v>18</v>
      </c>
      <c r="P93" s="23" t="s">
        <v>143</v>
      </c>
      <c r="Q93" s="23" t="s">
        <v>19</v>
      </c>
      <c r="R93" s="23" t="s">
        <v>18</v>
      </c>
    </row>
    <row r="94" spans="1:23">
      <c r="A94" s="22" t="s">
        <v>235</v>
      </c>
      <c r="B94" s="22">
        <v>6</v>
      </c>
      <c r="C94">
        <v>6</v>
      </c>
      <c r="E94" t="s">
        <v>16</v>
      </c>
      <c r="F94">
        <v>45</v>
      </c>
      <c r="H94" s="22" t="s">
        <v>245</v>
      </c>
      <c r="I94" s="22">
        <v>6</v>
      </c>
      <c r="J94">
        <v>6</v>
      </c>
      <c r="P94" s="22" t="s">
        <v>254</v>
      </c>
      <c r="Q94" s="22">
        <v>8</v>
      </c>
      <c r="R94">
        <v>8</v>
      </c>
    </row>
    <row r="95" spans="1:23">
      <c r="A95" s="22" t="s">
        <v>236</v>
      </c>
      <c r="B95" s="22">
        <v>10</v>
      </c>
      <c r="C95">
        <v>16</v>
      </c>
      <c r="E95" t="s">
        <v>17</v>
      </c>
      <c r="F95">
        <v>20</v>
      </c>
      <c r="H95" s="22" t="s">
        <v>246</v>
      </c>
      <c r="I95" s="22">
        <v>9</v>
      </c>
      <c r="J95">
        <v>15</v>
      </c>
      <c r="L95" s="22" t="s">
        <v>16</v>
      </c>
      <c r="M95">
        <v>200</v>
      </c>
      <c r="P95" s="22" t="s">
        <v>255</v>
      </c>
      <c r="Q95" s="22">
        <v>10</v>
      </c>
      <c r="R95">
        <v>18</v>
      </c>
      <c r="T95" s="22" t="s">
        <v>16</v>
      </c>
      <c r="U95">
        <v>102</v>
      </c>
    </row>
    <row r="96" spans="1:23">
      <c r="A96" s="22" t="s">
        <v>237</v>
      </c>
      <c r="B96" s="22">
        <v>8</v>
      </c>
      <c r="C96">
        <v>24</v>
      </c>
      <c r="E96" t="s">
        <v>189</v>
      </c>
      <c r="F96">
        <v>16</v>
      </c>
      <c r="H96" s="22" t="s">
        <v>247</v>
      </c>
      <c r="I96" s="22">
        <v>15</v>
      </c>
      <c r="J96">
        <v>30</v>
      </c>
      <c r="L96" s="22" t="s">
        <v>17</v>
      </c>
      <c r="M96">
        <v>25</v>
      </c>
      <c r="P96" s="22" t="s">
        <v>256</v>
      </c>
      <c r="Q96" s="22">
        <v>16</v>
      </c>
      <c r="R96">
        <v>34</v>
      </c>
      <c r="T96" s="22" t="s">
        <v>17</v>
      </c>
      <c r="U96">
        <v>40</v>
      </c>
    </row>
    <row r="97" spans="1:21">
      <c r="A97" s="22" t="s">
        <v>238</v>
      </c>
      <c r="B97" s="22">
        <v>12</v>
      </c>
      <c r="C97">
        <v>36</v>
      </c>
      <c r="E97" t="s">
        <v>19</v>
      </c>
      <c r="F97">
        <v>8</v>
      </c>
      <c r="H97" s="22" t="s">
        <v>248</v>
      </c>
      <c r="I97" s="22">
        <v>12</v>
      </c>
      <c r="J97">
        <v>42</v>
      </c>
      <c r="L97" s="22" t="s">
        <v>189</v>
      </c>
      <c r="M97">
        <v>15</v>
      </c>
      <c r="P97" s="22" t="s">
        <v>257</v>
      </c>
      <c r="Q97" s="22">
        <v>23</v>
      </c>
      <c r="R97">
        <v>57</v>
      </c>
      <c r="T97" s="22" t="s">
        <v>189</v>
      </c>
      <c r="U97">
        <v>34</v>
      </c>
    </row>
    <row r="98" spans="1:21">
      <c r="A98" s="22" t="s">
        <v>239</v>
      </c>
      <c r="B98" s="22">
        <v>4</v>
      </c>
      <c r="C98">
        <v>40</v>
      </c>
      <c r="E98" t="s">
        <v>20</v>
      </c>
      <c r="F98">
        <v>10</v>
      </c>
      <c r="H98" s="22" t="s">
        <v>249</v>
      </c>
      <c r="I98" s="22">
        <v>8</v>
      </c>
      <c r="J98">
        <v>50</v>
      </c>
      <c r="L98" s="22" t="s">
        <v>19</v>
      </c>
      <c r="M98">
        <v>15</v>
      </c>
      <c r="P98" s="22" t="s">
        <v>258</v>
      </c>
      <c r="Q98" s="22">
        <v>12</v>
      </c>
      <c r="R98">
        <v>69</v>
      </c>
      <c r="T98" s="22" t="s">
        <v>19</v>
      </c>
      <c r="U98">
        <v>23</v>
      </c>
    </row>
    <row r="99" spans="1:21">
      <c r="A99" s="22"/>
      <c r="B99" s="23">
        <f>SUM(B94:B98)</f>
        <v>40</v>
      </c>
      <c r="H99" s="22"/>
      <c r="I99" s="23">
        <f>SUM(I94:I98)</f>
        <v>50</v>
      </c>
      <c r="L99" s="22" t="s">
        <v>20</v>
      </c>
      <c r="M99">
        <v>100</v>
      </c>
      <c r="P99" s="22" t="s">
        <v>259</v>
      </c>
      <c r="Q99" s="22">
        <v>11</v>
      </c>
      <c r="R99">
        <v>80</v>
      </c>
      <c r="T99" s="22" t="s">
        <v>20</v>
      </c>
      <c r="U99">
        <v>6</v>
      </c>
    </row>
    <row r="100" spans="1:21">
      <c r="D100" t="s">
        <v>21</v>
      </c>
      <c r="E100" t="s">
        <v>242</v>
      </c>
      <c r="P100" s="22"/>
      <c r="Q100" s="23">
        <f>SUM(Q94:Q99)</f>
        <v>80</v>
      </c>
    </row>
    <row r="101" spans="1:21">
      <c r="E101">
        <f>45+4/8*10</f>
        <v>50</v>
      </c>
      <c r="K101" t="s">
        <v>21</v>
      </c>
      <c r="L101" t="s">
        <v>251</v>
      </c>
      <c r="S101" t="s">
        <v>21</v>
      </c>
      <c r="T101" t="s">
        <v>261</v>
      </c>
    </row>
    <row r="102" spans="1:21">
      <c r="L102">
        <f>200+10/15*100</f>
        <v>266.66666666666663</v>
      </c>
      <c r="T102">
        <f>102+6/23*6</f>
        <v>103.56521739130434</v>
      </c>
    </row>
    <row r="104" spans="1:21">
      <c r="A104" s="23" t="s">
        <v>253</v>
      </c>
      <c r="B104" s="22"/>
      <c r="H104" s="23" t="s">
        <v>266</v>
      </c>
      <c r="I104" s="22"/>
      <c r="P104" s="23" t="s">
        <v>266</v>
      </c>
      <c r="Q104" s="22"/>
    </row>
    <row r="105" spans="1:21">
      <c r="A105" s="23" t="s">
        <v>143</v>
      </c>
      <c r="B105" s="23" t="s">
        <v>19</v>
      </c>
      <c r="C105" s="23" t="s">
        <v>18</v>
      </c>
      <c r="H105" s="23" t="s">
        <v>143</v>
      </c>
      <c r="I105" s="23" t="s">
        <v>19</v>
      </c>
      <c r="J105" s="23" t="s">
        <v>18</v>
      </c>
      <c r="P105" s="23" t="s">
        <v>143</v>
      </c>
      <c r="Q105" s="23" t="s">
        <v>19</v>
      </c>
      <c r="R105" s="23" t="s">
        <v>18</v>
      </c>
    </row>
    <row r="106" spans="1:21">
      <c r="A106" s="22" t="s">
        <v>229</v>
      </c>
      <c r="B106" s="22">
        <v>20</v>
      </c>
      <c r="C106">
        <v>20</v>
      </c>
      <c r="E106" s="22" t="s">
        <v>16</v>
      </c>
      <c r="F106">
        <v>20</v>
      </c>
      <c r="H106" s="22" t="s">
        <v>268</v>
      </c>
      <c r="I106" s="22">
        <v>4</v>
      </c>
      <c r="J106">
        <v>4</v>
      </c>
      <c r="P106" s="22" t="s">
        <v>290</v>
      </c>
      <c r="Q106" s="22">
        <v>5</v>
      </c>
      <c r="R106">
        <v>5</v>
      </c>
    </row>
    <row r="107" spans="1:21">
      <c r="A107" s="22" t="s">
        <v>77</v>
      </c>
      <c r="B107" s="22">
        <v>24</v>
      </c>
      <c r="C107">
        <v>44</v>
      </c>
      <c r="E107" s="22" t="s">
        <v>17</v>
      </c>
      <c r="F107">
        <v>70</v>
      </c>
      <c r="H107" s="22" t="s">
        <v>269</v>
      </c>
      <c r="I107" s="22">
        <v>14</v>
      </c>
      <c r="J107">
        <v>18</v>
      </c>
      <c r="L107" s="22" t="s">
        <v>16</v>
      </c>
      <c r="M107">
        <v>35</v>
      </c>
      <c r="P107" s="22" t="s">
        <v>278</v>
      </c>
      <c r="Q107" s="22">
        <v>9</v>
      </c>
      <c r="R107">
        <v>14</v>
      </c>
      <c r="T107" s="22" t="s">
        <v>16</v>
      </c>
      <c r="U107">
        <v>70</v>
      </c>
    </row>
    <row r="108" spans="1:21">
      <c r="A108" s="22" t="s">
        <v>78</v>
      </c>
      <c r="B108" s="22">
        <v>40</v>
      </c>
      <c r="C108">
        <v>84</v>
      </c>
      <c r="E108" s="22" t="s">
        <v>189</v>
      </c>
      <c r="F108">
        <v>44</v>
      </c>
      <c r="H108" s="22" t="s">
        <v>270</v>
      </c>
      <c r="I108" s="22">
        <v>22</v>
      </c>
      <c r="J108">
        <v>40</v>
      </c>
      <c r="L108" s="22" t="s">
        <v>17</v>
      </c>
      <c r="M108">
        <v>35</v>
      </c>
      <c r="P108" s="22" t="s">
        <v>279</v>
      </c>
      <c r="Q108" s="22">
        <v>17</v>
      </c>
      <c r="R108">
        <v>31</v>
      </c>
      <c r="T108" s="22" t="s">
        <v>17</v>
      </c>
      <c r="U108">
        <v>240.5</v>
      </c>
    </row>
    <row r="109" spans="1:21">
      <c r="A109" s="22" t="s">
        <v>79</v>
      </c>
      <c r="B109" s="22">
        <v>36</v>
      </c>
      <c r="C109">
        <v>120</v>
      </c>
      <c r="E109" s="22" t="s">
        <v>19</v>
      </c>
      <c r="F109">
        <v>36</v>
      </c>
      <c r="H109" s="22" t="s">
        <v>271</v>
      </c>
      <c r="I109" s="22">
        <v>16</v>
      </c>
      <c r="J109">
        <v>56</v>
      </c>
      <c r="L109" s="22" t="s">
        <v>189</v>
      </c>
      <c r="M109">
        <v>18</v>
      </c>
      <c r="P109" s="22" t="s">
        <v>280</v>
      </c>
      <c r="Q109" s="22">
        <v>29</v>
      </c>
      <c r="R109">
        <v>60</v>
      </c>
      <c r="T109" s="22" t="s">
        <v>189</v>
      </c>
      <c r="U109">
        <v>235</v>
      </c>
    </row>
    <row r="110" spans="1:21">
      <c r="A110" s="22" t="s">
        <v>80</v>
      </c>
      <c r="B110" s="22">
        <v>20</v>
      </c>
      <c r="C110">
        <v>140</v>
      </c>
      <c r="E110" s="22" t="s">
        <v>20</v>
      </c>
      <c r="F110">
        <v>10</v>
      </c>
      <c r="H110" s="22" t="s">
        <v>272</v>
      </c>
      <c r="I110" s="22">
        <v>6</v>
      </c>
      <c r="J110">
        <v>62</v>
      </c>
      <c r="L110" s="22" t="s">
        <v>19</v>
      </c>
      <c r="M110">
        <v>22</v>
      </c>
      <c r="P110" s="22" t="s">
        <v>281</v>
      </c>
      <c r="Q110" s="22">
        <v>45</v>
      </c>
      <c r="R110">
        <v>105</v>
      </c>
      <c r="T110" s="22" t="s">
        <v>19</v>
      </c>
      <c r="U110">
        <v>78</v>
      </c>
    </row>
    <row r="111" spans="1:21">
      <c r="A111" s="22"/>
      <c r="B111" s="23">
        <f>SUM(B106:B110)</f>
        <v>140</v>
      </c>
      <c r="H111" s="22" t="s">
        <v>273</v>
      </c>
      <c r="I111" s="22">
        <v>5</v>
      </c>
      <c r="J111">
        <v>67</v>
      </c>
      <c r="L111" s="22" t="s">
        <v>20</v>
      </c>
      <c r="M111">
        <v>5</v>
      </c>
      <c r="P111" s="22" t="s">
        <v>282</v>
      </c>
      <c r="Q111" s="22">
        <v>60</v>
      </c>
      <c r="R111">
        <v>165</v>
      </c>
      <c r="T111" s="22" t="s">
        <v>20</v>
      </c>
      <c r="U111">
        <v>10</v>
      </c>
    </row>
    <row r="112" spans="1:21">
      <c r="D112" t="s">
        <v>21</v>
      </c>
      <c r="E112" t="s">
        <v>264</v>
      </c>
      <c r="H112" s="22" t="s">
        <v>274</v>
      </c>
      <c r="I112" s="22">
        <v>3</v>
      </c>
      <c r="J112">
        <v>70</v>
      </c>
      <c r="P112" s="22" t="s">
        <v>283</v>
      </c>
      <c r="Q112" s="22">
        <v>70</v>
      </c>
      <c r="R112">
        <v>235</v>
      </c>
    </row>
    <row r="113" spans="5:21">
      <c r="E113">
        <f>20+26/36*10</f>
        <v>27.222222222222221</v>
      </c>
      <c r="H113" s="22"/>
      <c r="I113" s="23">
        <f>SUM(I106:I112)</f>
        <v>70</v>
      </c>
      <c r="K113" t="s">
        <v>21</v>
      </c>
      <c r="L113" t="s">
        <v>276</v>
      </c>
      <c r="P113" s="22" t="s">
        <v>284</v>
      </c>
      <c r="Q113" s="22">
        <v>78</v>
      </c>
      <c r="R113">
        <v>313</v>
      </c>
      <c r="T113" t="s">
        <v>21</v>
      </c>
      <c r="U113" t="s">
        <v>293</v>
      </c>
    </row>
    <row r="114" spans="5:21">
      <c r="L114">
        <f>35+17/22*5</f>
        <v>38.86363636363636</v>
      </c>
      <c r="P114" s="22" t="s">
        <v>285</v>
      </c>
      <c r="Q114" s="22">
        <v>83</v>
      </c>
      <c r="R114">
        <v>396</v>
      </c>
      <c r="U114">
        <f>70+5.5/78*10</f>
        <v>70.705128205128204</v>
      </c>
    </row>
    <row r="115" spans="5:21">
      <c r="P115" s="22" t="s">
        <v>286</v>
      </c>
      <c r="Q115" s="22">
        <v>85</v>
      </c>
      <c r="R115">
        <v>481</v>
      </c>
    </row>
    <row r="116" spans="5:21">
      <c r="Q116" s="23">
        <f>SUM(Q106:Q115)</f>
        <v>481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topLeftCell="A60" zoomScaleNormal="100" workbookViewId="0">
      <selection activeCell="S79" sqref="S79"/>
    </sheetView>
  </sheetViews>
  <sheetFormatPr defaultRowHeight="14.4"/>
  <sheetData>
    <row r="1" spans="1:18">
      <c r="A1" s="23" t="s">
        <v>85</v>
      </c>
      <c r="H1" s="34" t="s">
        <v>30</v>
      </c>
      <c r="I1" s="31"/>
      <c r="N1" s="34" t="s">
        <v>33</v>
      </c>
      <c r="O1" s="31"/>
    </row>
    <row r="2" spans="1:18">
      <c r="A2" s="15" t="s">
        <v>0</v>
      </c>
      <c r="B2" s="15" t="s">
        <v>1</v>
      </c>
      <c r="H2" s="20" t="s">
        <v>22</v>
      </c>
      <c r="I2" s="20" t="s">
        <v>19</v>
      </c>
      <c r="N2" s="20" t="s">
        <v>22</v>
      </c>
      <c r="O2" s="20" t="s">
        <v>19</v>
      </c>
    </row>
    <row r="3" spans="1:18">
      <c r="A3" s="11" t="s">
        <v>2</v>
      </c>
      <c r="B3" s="11">
        <v>5</v>
      </c>
      <c r="H3" s="11" t="s">
        <v>76</v>
      </c>
      <c r="I3" s="11">
        <v>30</v>
      </c>
      <c r="J3" t="s">
        <v>95</v>
      </c>
      <c r="N3" s="33" t="s">
        <v>34</v>
      </c>
      <c r="O3" s="11">
        <v>2</v>
      </c>
    </row>
    <row r="4" spans="1:18">
      <c r="A4" s="11" t="s">
        <v>3</v>
      </c>
      <c r="B4" s="11">
        <v>2</v>
      </c>
      <c r="H4" s="32" t="s">
        <v>77</v>
      </c>
      <c r="I4" s="11">
        <v>27</v>
      </c>
      <c r="N4" s="11" t="s">
        <v>35</v>
      </c>
      <c r="O4" s="11">
        <v>7</v>
      </c>
    </row>
    <row r="5" spans="1:18">
      <c r="A5" s="11" t="s">
        <v>4</v>
      </c>
      <c r="B5" s="11">
        <v>3</v>
      </c>
      <c r="H5" s="11" t="s">
        <v>26</v>
      </c>
      <c r="I5" s="11">
        <v>14</v>
      </c>
      <c r="K5" s="22" t="s">
        <v>16</v>
      </c>
      <c r="L5" s="22">
        <v>0</v>
      </c>
      <c r="N5" s="11" t="s">
        <v>36</v>
      </c>
      <c r="O5" s="11">
        <v>10</v>
      </c>
      <c r="P5" t="s">
        <v>95</v>
      </c>
      <c r="Q5" s="22" t="s">
        <v>16</v>
      </c>
      <c r="R5" s="22">
        <v>21</v>
      </c>
    </row>
    <row r="6" spans="1:18">
      <c r="A6" s="11" t="s">
        <v>5</v>
      </c>
      <c r="B6" s="11">
        <v>5</v>
      </c>
      <c r="D6" t="s">
        <v>16</v>
      </c>
      <c r="E6">
        <v>35</v>
      </c>
      <c r="H6" s="11" t="s">
        <v>27</v>
      </c>
      <c r="I6" s="11">
        <v>19</v>
      </c>
      <c r="K6" s="22" t="s">
        <v>86</v>
      </c>
      <c r="L6" s="22">
        <v>30</v>
      </c>
      <c r="N6" s="11" t="s">
        <v>37</v>
      </c>
      <c r="O6" s="11">
        <v>3</v>
      </c>
      <c r="Q6" s="22" t="s">
        <v>86</v>
      </c>
      <c r="R6" s="22">
        <v>10</v>
      </c>
    </row>
    <row r="7" spans="1:18">
      <c r="A7" s="11" t="s">
        <v>6</v>
      </c>
      <c r="B7" s="11">
        <v>2</v>
      </c>
      <c r="D7" t="s">
        <v>86</v>
      </c>
      <c r="E7">
        <v>9</v>
      </c>
      <c r="H7" s="11" t="s">
        <v>94</v>
      </c>
      <c r="I7" s="11">
        <v>2</v>
      </c>
      <c r="K7" s="22" t="s">
        <v>87</v>
      </c>
      <c r="L7" s="22">
        <v>0</v>
      </c>
      <c r="N7" s="11" t="s">
        <v>38</v>
      </c>
      <c r="O7" s="11">
        <v>1</v>
      </c>
      <c r="Q7" s="22" t="s">
        <v>87</v>
      </c>
      <c r="R7" s="22">
        <v>7</v>
      </c>
    </row>
    <row r="8" spans="1:18">
      <c r="A8" s="11" t="s">
        <v>7</v>
      </c>
      <c r="B8" s="11">
        <v>9</v>
      </c>
      <c r="C8" t="s">
        <v>96</v>
      </c>
      <c r="D8" t="s">
        <v>87</v>
      </c>
      <c r="E8">
        <v>2</v>
      </c>
      <c r="H8" s="11" t="s">
        <v>91</v>
      </c>
      <c r="I8" s="12">
        <v>92</v>
      </c>
      <c r="K8" s="22" t="s">
        <v>88</v>
      </c>
      <c r="L8" s="22">
        <v>27</v>
      </c>
      <c r="N8" s="11" t="s">
        <v>91</v>
      </c>
      <c r="O8" s="12">
        <v>23</v>
      </c>
      <c r="Q8" s="22" t="s">
        <v>88</v>
      </c>
      <c r="R8" s="22">
        <v>3</v>
      </c>
    </row>
    <row r="9" spans="1:18">
      <c r="A9" s="11" t="s">
        <v>8</v>
      </c>
      <c r="B9" s="11">
        <v>6</v>
      </c>
      <c r="D9" t="s">
        <v>88</v>
      </c>
      <c r="E9">
        <v>6</v>
      </c>
      <c r="K9" s="22" t="s">
        <v>20</v>
      </c>
      <c r="L9" s="22">
        <v>10</v>
      </c>
      <c r="Q9" s="22" t="s">
        <v>20</v>
      </c>
      <c r="R9" s="22">
        <v>10</v>
      </c>
    </row>
    <row r="10" spans="1:18">
      <c r="A10" s="11" t="s">
        <v>9</v>
      </c>
      <c r="B10" s="11">
        <v>3</v>
      </c>
      <c r="D10" t="s">
        <v>20</v>
      </c>
      <c r="E10">
        <v>5</v>
      </c>
    </row>
    <row r="11" spans="1:18">
      <c r="A11" s="11" t="s">
        <v>10</v>
      </c>
      <c r="B11" s="11">
        <v>5</v>
      </c>
    </row>
    <row r="12" spans="1:18">
      <c r="A12" s="11" t="s">
        <v>11</v>
      </c>
      <c r="B12" s="11">
        <v>40</v>
      </c>
      <c r="D12" t="s">
        <v>89</v>
      </c>
      <c r="E12" t="s">
        <v>90</v>
      </c>
      <c r="J12" t="s">
        <v>89</v>
      </c>
      <c r="K12" t="s">
        <v>92</v>
      </c>
      <c r="P12" t="s">
        <v>89</v>
      </c>
      <c r="Q12" t="s">
        <v>93</v>
      </c>
    </row>
    <row r="13" spans="1:18">
      <c r="E13">
        <f>SUM(35+7/10*5)</f>
        <v>38.5</v>
      </c>
      <c r="K13">
        <f>SUM(30/33*10)</f>
        <v>9.0909090909090899</v>
      </c>
      <c r="Q13">
        <f>SUM(21+3/10*10)</f>
        <v>24</v>
      </c>
    </row>
    <row r="16" spans="1:18">
      <c r="A16" s="34" t="s">
        <v>101</v>
      </c>
      <c r="B16" s="22"/>
      <c r="H16" s="23" t="s">
        <v>99</v>
      </c>
      <c r="N16" s="23" t="s">
        <v>64</v>
      </c>
      <c r="O16" s="22"/>
    </row>
    <row r="17" spans="1:18">
      <c r="A17" s="20" t="s">
        <v>22</v>
      </c>
      <c r="B17" s="20" t="s">
        <v>19</v>
      </c>
      <c r="H17" s="20" t="s">
        <v>22</v>
      </c>
      <c r="I17" s="20" t="s">
        <v>19</v>
      </c>
      <c r="N17" s="20" t="s">
        <v>22</v>
      </c>
      <c r="O17" s="20" t="s">
        <v>19</v>
      </c>
    </row>
    <row r="18" spans="1:18">
      <c r="A18" s="11" t="s">
        <v>41</v>
      </c>
      <c r="B18" s="11">
        <v>1</v>
      </c>
      <c r="H18" s="33" t="s">
        <v>68</v>
      </c>
      <c r="I18" s="11">
        <v>1</v>
      </c>
      <c r="N18" s="11" t="s">
        <v>53</v>
      </c>
      <c r="O18" s="11">
        <v>2</v>
      </c>
    </row>
    <row r="19" spans="1:18">
      <c r="A19" s="11" t="s">
        <v>42</v>
      </c>
      <c r="B19" s="11">
        <v>1</v>
      </c>
      <c r="H19" s="32" t="s">
        <v>69</v>
      </c>
      <c r="I19" s="11">
        <v>4</v>
      </c>
      <c r="N19" s="11" t="s">
        <v>54</v>
      </c>
      <c r="O19" s="11">
        <v>7</v>
      </c>
    </row>
    <row r="20" spans="1:18">
      <c r="A20" s="11" t="s">
        <v>43</v>
      </c>
      <c r="B20" s="11">
        <v>2</v>
      </c>
      <c r="H20" s="11" t="s">
        <v>70</v>
      </c>
      <c r="I20" s="11">
        <v>6</v>
      </c>
      <c r="J20" t="s">
        <v>97</v>
      </c>
      <c r="K20" s="22" t="s">
        <v>16</v>
      </c>
      <c r="L20" s="22">
        <v>15</v>
      </c>
      <c r="N20" s="11" t="s">
        <v>55</v>
      </c>
      <c r="O20" s="11">
        <v>12</v>
      </c>
      <c r="P20" t="s">
        <v>97</v>
      </c>
      <c r="Q20" s="22" t="s">
        <v>16</v>
      </c>
      <c r="R20" s="22">
        <v>27</v>
      </c>
    </row>
    <row r="21" spans="1:18">
      <c r="A21" s="11" t="s">
        <v>44</v>
      </c>
      <c r="B21" s="11">
        <v>4</v>
      </c>
      <c r="D21" s="22" t="s">
        <v>16</v>
      </c>
      <c r="E21" s="22">
        <v>58</v>
      </c>
      <c r="H21" s="11" t="s">
        <v>71</v>
      </c>
      <c r="I21" s="11">
        <v>4</v>
      </c>
      <c r="K21" s="22" t="s">
        <v>86</v>
      </c>
      <c r="L21" s="22">
        <v>6</v>
      </c>
      <c r="N21" s="11" t="s">
        <v>56</v>
      </c>
      <c r="O21" s="11">
        <v>5</v>
      </c>
      <c r="Q21" s="22" t="s">
        <v>86</v>
      </c>
      <c r="R21" s="22">
        <v>12</v>
      </c>
    </row>
    <row r="22" spans="1:18">
      <c r="A22" s="11" t="s">
        <v>45</v>
      </c>
      <c r="B22" s="11">
        <v>8</v>
      </c>
      <c r="D22" s="22" t="s">
        <v>86</v>
      </c>
      <c r="E22" s="22">
        <v>11</v>
      </c>
      <c r="H22" s="11" t="s">
        <v>72</v>
      </c>
      <c r="I22" s="11">
        <v>2</v>
      </c>
      <c r="K22" s="22" t="s">
        <v>87</v>
      </c>
      <c r="L22" s="22">
        <v>4</v>
      </c>
      <c r="N22" s="11" t="s">
        <v>57</v>
      </c>
      <c r="O22" s="11">
        <v>6</v>
      </c>
      <c r="Q22" s="22" t="s">
        <v>87</v>
      </c>
      <c r="R22" s="22">
        <v>7</v>
      </c>
    </row>
    <row r="23" spans="1:18">
      <c r="A23" s="11" t="s">
        <v>46</v>
      </c>
      <c r="B23" s="11">
        <v>11</v>
      </c>
      <c r="C23" t="s">
        <v>97</v>
      </c>
      <c r="D23" s="22" t="s">
        <v>87</v>
      </c>
      <c r="E23" s="22">
        <v>8</v>
      </c>
      <c r="H23" s="11" t="s">
        <v>73</v>
      </c>
      <c r="I23" s="11">
        <v>3</v>
      </c>
      <c r="K23" s="22" t="s">
        <v>88</v>
      </c>
      <c r="L23" s="22">
        <v>4</v>
      </c>
      <c r="N23" s="11" t="s">
        <v>58</v>
      </c>
      <c r="O23" s="11">
        <v>1</v>
      </c>
      <c r="Q23" s="22" t="s">
        <v>88</v>
      </c>
      <c r="R23" s="22">
        <v>5</v>
      </c>
    </row>
    <row r="24" spans="1:18">
      <c r="A24" s="11" t="s">
        <v>47</v>
      </c>
      <c r="B24" s="11">
        <v>5</v>
      </c>
      <c r="D24" s="22" t="s">
        <v>88</v>
      </c>
      <c r="E24" s="22">
        <v>5</v>
      </c>
      <c r="H24" s="11"/>
      <c r="I24" s="12">
        <v>20</v>
      </c>
      <c r="K24" s="22" t="s">
        <v>20</v>
      </c>
      <c r="L24" s="22">
        <v>5</v>
      </c>
      <c r="N24" s="11" t="s">
        <v>59</v>
      </c>
      <c r="O24" s="11">
        <v>0</v>
      </c>
      <c r="Q24" s="22" t="s">
        <v>20</v>
      </c>
      <c r="R24" s="22">
        <v>6</v>
      </c>
    </row>
    <row r="25" spans="1:18">
      <c r="A25" s="11" t="s">
        <v>48</v>
      </c>
      <c r="B25" s="11">
        <v>4</v>
      </c>
      <c r="D25" s="22" t="s">
        <v>20</v>
      </c>
      <c r="E25" s="22">
        <v>3</v>
      </c>
      <c r="N25" s="11" t="s">
        <v>60</v>
      </c>
      <c r="O25" s="11">
        <v>2</v>
      </c>
    </row>
    <row r="26" spans="1:18">
      <c r="A26" s="11" t="s">
        <v>49</v>
      </c>
      <c r="B26" s="11">
        <v>2</v>
      </c>
      <c r="K26" t="s">
        <v>89</v>
      </c>
      <c r="L26" t="s">
        <v>100</v>
      </c>
      <c r="N26" s="11"/>
      <c r="O26" s="12">
        <f>SUM(O18:O25)</f>
        <v>35</v>
      </c>
      <c r="Q26" t="s">
        <v>89</v>
      </c>
      <c r="R26" t="s">
        <v>102</v>
      </c>
    </row>
    <row r="27" spans="1:18">
      <c r="A27" s="11" t="s">
        <v>50</v>
      </c>
      <c r="B27" s="11">
        <v>2</v>
      </c>
      <c r="D27" t="s">
        <v>89</v>
      </c>
      <c r="E27" t="s">
        <v>98</v>
      </c>
      <c r="L27">
        <f>SUM(15+2/4*5)</f>
        <v>17.5</v>
      </c>
      <c r="R27">
        <f>SUM(27+5/12*6)</f>
        <v>29.5</v>
      </c>
    </row>
    <row r="28" spans="1:18">
      <c r="A28" s="11"/>
      <c r="B28" s="12">
        <f>SUM(B18:B27)</f>
        <v>40</v>
      </c>
      <c r="E28">
        <f>SUM(58+3/9*3)</f>
        <v>59</v>
      </c>
    </row>
    <row r="32" spans="1:18">
      <c r="A32" s="23" t="s">
        <v>103</v>
      </c>
      <c r="H32" s="23" t="s">
        <v>109</v>
      </c>
      <c r="O32" s="23" t="s">
        <v>177</v>
      </c>
      <c r="P32" s="22"/>
    </row>
    <row r="33" spans="1:19">
      <c r="A33" s="20" t="s">
        <v>22</v>
      </c>
      <c r="B33" s="20" t="s">
        <v>19</v>
      </c>
      <c r="H33" s="20" t="s">
        <v>22</v>
      </c>
      <c r="I33" s="20" t="s">
        <v>19</v>
      </c>
      <c r="O33" s="23" t="s">
        <v>22</v>
      </c>
      <c r="P33" s="23" t="s">
        <v>19</v>
      </c>
    </row>
    <row r="34" spans="1:19">
      <c r="A34" s="11" t="s">
        <v>104</v>
      </c>
      <c r="B34" s="11">
        <v>7</v>
      </c>
      <c r="C34" t="s">
        <v>97</v>
      </c>
      <c r="D34" s="22" t="s">
        <v>16</v>
      </c>
      <c r="E34" s="22">
        <v>1</v>
      </c>
      <c r="H34" s="11" t="s">
        <v>110</v>
      </c>
      <c r="I34" s="11">
        <v>9</v>
      </c>
      <c r="O34" s="22" t="s">
        <v>178</v>
      </c>
      <c r="P34" s="22">
        <v>2</v>
      </c>
    </row>
    <row r="35" spans="1:19">
      <c r="A35" s="11" t="s">
        <v>105</v>
      </c>
      <c r="B35" s="11">
        <v>3</v>
      </c>
      <c r="D35" s="22" t="s">
        <v>86</v>
      </c>
      <c r="E35" s="22">
        <v>7</v>
      </c>
      <c r="H35" s="11" t="s">
        <v>111</v>
      </c>
      <c r="I35" s="11">
        <v>5</v>
      </c>
      <c r="K35" s="22" t="s">
        <v>16</v>
      </c>
      <c r="L35" s="22">
        <v>41</v>
      </c>
      <c r="O35" s="22" t="s">
        <v>179</v>
      </c>
      <c r="P35" s="22">
        <v>3</v>
      </c>
      <c r="R35" t="s">
        <v>16</v>
      </c>
      <c r="S35">
        <v>8</v>
      </c>
    </row>
    <row r="36" spans="1:19">
      <c r="A36" s="11" t="s">
        <v>106</v>
      </c>
      <c r="B36" s="11">
        <v>3</v>
      </c>
      <c r="D36" s="22" t="s">
        <v>87</v>
      </c>
      <c r="E36" s="22">
        <v>0</v>
      </c>
      <c r="H36" s="11" t="s">
        <v>112</v>
      </c>
      <c r="I36" s="11">
        <v>14</v>
      </c>
      <c r="J36" t="s">
        <v>97</v>
      </c>
      <c r="K36" s="22" t="s">
        <v>86</v>
      </c>
      <c r="L36" s="22">
        <v>14</v>
      </c>
      <c r="O36" s="22" t="s">
        <v>180</v>
      </c>
      <c r="P36" s="22">
        <v>8</v>
      </c>
      <c r="Q36" t="s">
        <v>97</v>
      </c>
      <c r="R36" t="s">
        <v>86</v>
      </c>
      <c r="S36">
        <v>8</v>
      </c>
    </row>
    <row r="37" spans="1:19">
      <c r="A37" s="33" t="s">
        <v>107</v>
      </c>
      <c r="B37" s="11">
        <v>2</v>
      </c>
      <c r="D37" s="22" t="s">
        <v>88</v>
      </c>
      <c r="E37" s="22">
        <v>3</v>
      </c>
      <c r="H37" s="11" t="s">
        <v>113</v>
      </c>
      <c r="I37" s="11">
        <v>3</v>
      </c>
      <c r="K37" s="22" t="s">
        <v>87</v>
      </c>
      <c r="L37" s="22">
        <v>5</v>
      </c>
      <c r="O37" s="22" t="s">
        <v>181</v>
      </c>
      <c r="P37" s="22">
        <v>3</v>
      </c>
      <c r="R37" t="s">
        <v>87</v>
      </c>
      <c r="S37">
        <v>3</v>
      </c>
    </row>
    <row r="38" spans="1:19">
      <c r="D38" s="22" t="s">
        <v>20</v>
      </c>
      <c r="E38" s="22">
        <v>1</v>
      </c>
      <c r="H38" s="11" t="s">
        <v>114</v>
      </c>
      <c r="I38" s="11">
        <v>1</v>
      </c>
      <c r="K38" s="22" t="s">
        <v>88</v>
      </c>
      <c r="L38" s="22">
        <v>3</v>
      </c>
      <c r="O38" s="22" t="s">
        <v>182</v>
      </c>
      <c r="P38" s="22">
        <v>2</v>
      </c>
      <c r="R38" t="s">
        <v>88</v>
      </c>
      <c r="S38">
        <v>3</v>
      </c>
    </row>
    <row r="39" spans="1:19">
      <c r="D39" t="s">
        <v>89</v>
      </c>
      <c r="E39" t="s">
        <v>108</v>
      </c>
      <c r="H39" s="11" t="s">
        <v>115</v>
      </c>
      <c r="I39" s="11">
        <v>2</v>
      </c>
      <c r="K39" s="22" t="s">
        <v>20</v>
      </c>
      <c r="L39" s="22">
        <v>5</v>
      </c>
      <c r="O39" s="22"/>
      <c r="P39" s="23">
        <f>SUM(P34:P38)</f>
        <v>18</v>
      </c>
      <c r="R39" t="s">
        <v>20</v>
      </c>
      <c r="S39">
        <v>3</v>
      </c>
    </row>
    <row r="40" spans="1:19">
      <c r="E40">
        <f>SUM(1+7/11*1)</f>
        <v>1.6363636363636362</v>
      </c>
      <c r="H40" s="11" t="s">
        <v>116</v>
      </c>
      <c r="I40" s="11">
        <v>2</v>
      </c>
    </row>
    <row r="41" spans="1:19">
      <c r="H41" s="11" t="s">
        <v>117</v>
      </c>
      <c r="I41" s="11">
        <v>1</v>
      </c>
      <c r="K41" t="s">
        <v>89</v>
      </c>
      <c r="L41" t="s">
        <v>119</v>
      </c>
      <c r="R41" t="s">
        <v>89</v>
      </c>
      <c r="S41" t="s">
        <v>185</v>
      </c>
    </row>
    <row r="42" spans="1:19">
      <c r="H42" s="11" t="s">
        <v>118</v>
      </c>
      <c r="I42" s="11">
        <v>1</v>
      </c>
      <c r="L42">
        <f>SUM(41+9/20*5)</f>
        <v>43.25</v>
      </c>
      <c r="S42">
        <f>8+5/10*3</f>
        <v>9.5</v>
      </c>
    </row>
    <row r="43" spans="1:19">
      <c r="H43" s="11" t="s">
        <v>91</v>
      </c>
      <c r="I43" s="11">
        <v>38</v>
      </c>
    </row>
    <row r="44" spans="1:19">
      <c r="A44" s="23" t="s">
        <v>84</v>
      </c>
      <c r="B44" s="22"/>
    </row>
    <row r="45" spans="1:19">
      <c r="A45" s="23" t="s">
        <v>22</v>
      </c>
      <c r="B45" s="23" t="s">
        <v>19</v>
      </c>
      <c r="H45" s="23" t="s">
        <v>184</v>
      </c>
      <c r="I45" s="22"/>
    </row>
    <row r="46" spans="1:19">
      <c r="A46" s="22" t="s">
        <v>229</v>
      </c>
      <c r="B46" s="22">
        <v>7</v>
      </c>
      <c r="H46" s="23" t="s">
        <v>22</v>
      </c>
      <c r="I46" s="23" t="s">
        <v>19</v>
      </c>
      <c r="O46" s="23" t="s">
        <v>188</v>
      </c>
      <c r="P46" s="22"/>
    </row>
    <row r="47" spans="1:19">
      <c r="A47" s="25" t="s">
        <v>77</v>
      </c>
      <c r="B47" s="22">
        <v>5</v>
      </c>
      <c r="D47" t="s">
        <v>16</v>
      </c>
      <c r="E47">
        <v>30</v>
      </c>
      <c r="H47" s="22" t="s">
        <v>221</v>
      </c>
      <c r="I47" s="22">
        <v>12</v>
      </c>
      <c r="O47" s="23" t="s">
        <v>143</v>
      </c>
      <c r="P47" s="23" t="s">
        <v>19</v>
      </c>
    </row>
    <row r="48" spans="1:19">
      <c r="A48" s="22" t="s">
        <v>78</v>
      </c>
      <c r="B48" s="22">
        <v>6</v>
      </c>
      <c r="D48" t="s">
        <v>86</v>
      </c>
      <c r="E48">
        <v>12</v>
      </c>
      <c r="H48" s="22" t="s">
        <v>222</v>
      </c>
      <c r="I48" s="22">
        <v>22</v>
      </c>
      <c r="K48" t="s">
        <v>16</v>
      </c>
      <c r="L48">
        <v>5</v>
      </c>
      <c r="O48" s="22" t="s">
        <v>77</v>
      </c>
      <c r="P48" s="22">
        <v>3</v>
      </c>
    </row>
    <row r="49" spans="1:19">
      <c r="A49" s="22" t="s">
        <v>79</v>
      </c>
      <c r="B49" s="22">
        <v>12</v>
      </c>
      <c r="C49" t="s">
        <v>97</v>
      </c>
      <c r="D49" t="s">
        <v>87</v>
      </c>
      <c r="E49">
        <v>6</v>
      </c>
      <c r="H49" s="22" t="s">
        <v>223</v>
      </c>
      <c r="I49" s="22">
        <v>27</v>
      </c>
      <c r="J49" t="s">
        <v>97</v>
      </c>
      <c r="K49" t="s">
        <v>86</v>
      </c>
      <c r="L49">
        <v>27</v>
      </c>
      <c r="O49" s="22" t="s">
        <v>78</v>
      </c>
      <c r="P49" s="22">
        <v>9</v>
      </c>
      <c r="R49" t="s">
        <v>16</v>
      </c>
      <c r="S49">
        <v>40</v>
      </c>
    </row>
    <row r="50" spans="1:19">
      <c r="A50" s="22" t="s">
        <v>80</v>
      </c>
      <c r="B50" s="22">
        <v>8</v>
      </c>
      <c r="D50" t="s">
        <v>88</v>
      </c>
      <c r="E50">
        <v>8</v>
      </c>
      <c r="H50" s="22" t="s">
        <v>224</v>
      </c>
      <c r="I50" s="22">
        <v>19</v>
      </c>
      <c r="K50" t="s">
        <v>87</v>
      </c>
      <c r="L50">
        <v>22</v>
      </c>
      <c r="O50" s="22" t="s">
        <v>79</v>
      </c>
      <c r="P50" s="22">
        <v>12</v>
      </c>
      <c r="R50" t="s">
        <v>86</v>
      </c>
      <c r="S50">
        <v>20</v>
      </c>
    </row>
    <row r="51" spans="1:19">
      <c r="A51" s="22" t="s">
        <v>167</v>
      </c>
      <c r="B51" s="22">
        <v>2</v>
      </c>
      <c r="D51" t="s">
        <v>20</v>
      </c>
      <c r="E51">
        <v>10</v>
      </c>
      <c r="H51" s="22"/>
      <c r="I51" s="23">
        <f>SUM(I47:I50)</f>
        <v>80</v>
      </c>
      <c r="K51" t="s">
        <v>88</v>
      </c>
      <c r="L51">
        <v>19</v>
      </c>
      <c r="O51" s="22" t="s">
        <v>80</v>
      </c>
      <c r="P51" s="22">
        <v>20</v>
      </c>
      <c r="Q51" t="s">
        <v>97</v>
      </c>
      <c r="R51" t="s">
        <v>87</v>
      </c>
      <c r="S51">
        <v>12</v>
      </c>
    </row>
    <row r="52" spans="1:19">
      <c r="A52" s="22"/>
      <c r="B52" s="23">
        <f>SUM(B46:B51)</f>
        <v>40</v>
      </c>
      <c r="H52" s="22"/>
      <c r="I52" s="22"/>
      <c r="K52" t="s">
        <v>20</v>
      </c>
      <c r="L52">
        <v>2</v>
      </c>
      <c r="O52" s="22" t="s">
        <v>167</v>
      </c>
      <c r="P52" s="22">
        <v>6</v>
      </c>
      <c r="R52" t="s">
        <v>88</v>
      </c>
      <c r="S52">
        <v>6</v>
      </c>
    </row>
    <row r="53" spans="1:19">
      <c r="A53" s="22"/>
      <c r="B53" s="23"/>
      <c r="D53" t="s">
        <v>89</v>
      </c>
      <c r="E53" t="s">
        <v>233</v>
      </c>
      <c r="H53" s="22"/>
      <c r="I53" s="22"/>
      <c r="O53" s="22"/>
      <c r="P53" s="23">
        <f>SUM(P48:P52)</f>
        <v>50</v>
      </c>
      <c r="R53" t="s">
        <v>20</v>
      </c>
      <c r="S53">
        <v>10</v>
      </c>
    </row>
    <row r="54" spans="1:19">
      <c r="E54">
        <f>30+6/46*10</f>
        <v>31.304347826086957</v>
      </c>
      <c r="H54" s="22"/>
      <c r="I54" s="22"/>
      <c r="K54" t="s">
        <v>89</v>
      </c>
      <c r="L54" t="s">
        <v>228</v>
      </c>
    </row>
    <row r="55" spans="1:19">
      <c r="H55" s="22"/>
      <c r="I55" s="22"/>
      <c r="L55">
        <f>5+5/13*2</f>
        <v>5.7692307692307692</v>
      </c>
      <c r="R55" t="s">
        <v>89</v>
      </c>
      <c r="S55" t="s">
        <v>219</v>
      </c>
    </row>
    <row r="56" spans="1:19">
      <c r="H56" s="22"/>
      <c r="I56" s="22"/>
      <c r="S56">
        <f>40+8/22*10</f>
        <v>43.63636363636364</v>
      </c>
    </row>
    <row r="57" spans="1:19">
      <c r="A57" s="23" t="s">
        <v>216</v>
      </c>
      <c r="H57" s="23" t="s">
        <v>143</v>
      </c>
      <c r="I57" s="23" t="s">
        <v>19</v>
      </c>
      <c r="O57" s="23" t="s">
        <v>220</v>
      </c>
    </row>
    <row r="58" spans="1:19">
      <c r="A58" s="23" t="s">
        <v>143</v>
      </c>
      <c r="B58" s="23" t="s">
        <v>19</v>
      </c>
      <c r="H58" s="22" t="s">
        <v>245</v>
      </c>
      <c r="I58" s="22">
        <v>6</v>
      </c>
      <c r="O58" s="23" t="s">
        <v>143</v>
      </c>
      <c r="P58" s="23" t="s">
        <v>19</v>
      </c>
    </row>
    <row r="59" spans="1:19">
      <c r="A59" s="22" t="s">
        <v>235</v>
      </c>
      <c r="B59" s="22">
        <v>6</v>
      </c>
      <c r="H59" s="22" t="s">
        <v>246</v>
      </c>
      <c r="I59" s="22">
        <v>9</v>
      </c>
      <c r="K59" s="22" t="s">
        <v>16</v>
      </c>
      <c r="L59">
        <v>200</v>
      </c>
      <c r="O59" s="22" t="s">
        <v>254</v>
      </c>
      <c r="P59" s="22">
        <v>8</v>
      </c>
    </row>
    <row r="60" spans="1:19">
      <c r="A60" s="22" t="s">
        <v>236</v>
      </c>
      <c r="B60" s="22">
        <v>10</v>
      </c>
      <c r="D60" t="s">
        <v>16</v>
      </c>
      <c r="E60">
        <v>55</v>
      </c>
      <c r="H60" s="22" t="s">
        <v>247</v>
      </c>
      <c r="I60" s="22">
        <v>15</v>
      </c>
      <c r="J60" t="s">
        <v>97</v>
      </c>
      <c r="K60" s="22" t="s">
        <v>86</v>
      </c>
      <c r="L60">
        <v>15</v>
      </c>
      <c r="O60" s="22" t="s">
        <v>255</v>
      </c>
      <c r="P60" s="22">
        <v>10</v>
      </c>
      <c r="R60" s="22" t="s">
        <v>16</v>
      </c>
      <c r="S60">
        <v>102</v>
      </c>
    </row>
    <row r="61" spans="1:19">
      <c r="A61" s="22" t="s">
        <v>237</v>
      </c>
      <c r="B61" s="22">
        <v>8</v>
      </c>
      <c r="D61" t="s">
        <v>86</v>
      </c>
      <c r="E61">
        <v>12</v>
      </c>
      <c r="H61" s="22" t="s">
        <v>248</v>
      </c>
      <c r="I61" s="22">
        <v>12</v>
      </c>
      <c r="K61" s="22" t="s">
        <v>87</v>
      </c>
      <c r="L61">
        <v>9</v>
      </c>
      <c r="O61" s="22" t="s">
        <v>256</v>
      </c>
      <c r="P61" s="22">
        <v>16</v>
      </c>
      <c r="R61" s="22" t="s">
        <v>86</v>
      </c>
      <c r="S61">
        <v>23</v>
      </c>
    </row>
    <row r="62" spans="1:19">
      <c r="A62" s="22" t="s">
        <v>238</v>
      </c>
      <c r="B62" s="22">
        <v>12</v>
      </c>
      <c r="C62" t="s">
        <v>97</v>
      </c>
      <c r="D62" t="s">
        <v>87</v>
      </c>
      <c r="E62">
        <v>8</v>
      </c>
      <c r="H62" s="22" t="s">
        <v>249</v>
      </c>
      <c r="I62" s="22">
        <v>8</v>
      </c>
      <c r="K62" s="22" t="s">
        <v>88</v>
      </c>
      <c r="L62">
        <v>12</v>
      </c>
      <c r="O62" s="22" t="s">
        <v>257</v>
      </c>
      <c r="P62" s="22">
        <v>23</v>
      </c>
      <c r="Q62" t="s">
        <v>97</v>
      </c>
      <c r="R62" s="22" t="s">
        <v>87</v>
      </c>
      <c r="S62">
        <v>16</v>
      </c>
    </row>
    <row r="63" spans="1:19">
      <c r="A63" s="22" t="s">
        <v>239</v>
      </c>
      <c r="B63" s="22">
        <v>4</v>
      </c>
      <c r="D63" t="s">
        <v>88</v>
      </c>
      <c r="E63">
        <v>4</v>
      </c>
      <c r="H63" s="22"/>
      <c r="I63" s="23">
        <f>SUM(I58:I62)</f>
        <v>50</v>
      </c>
      <c r="K63" s="22" t="s">
        <v>20</v>
      </c>
      <c r="L63">
        <v>100</v>
      </c>
      <c r="O63" s="22" t="s">
        <v>258</v>
      </c>
      <c r="P63" s="22">
        <v>12</v>
      </c>
      <c r="R63" s="22" t="s">
        <v>88</v>
      </c>
      <c r="S63">
        <v>11</v>
      </c>
    </row>
    <row r="64" spans="1:19">
      <c r="A64" s="22"/>
      <c r="B64" s="23">
        <f>SUM(B59:B63)</f>
        <v>40</v>
      </c>
      <c r="D64" t="s">
        <v>20</v>
      </c>
      <c r="E64">
        <v>10</v>
      </c>
      <c r="O64" s="22" t="s">
        <v>259</v>
      </c>
      <c r="P64" s="22">
        <v>11</v>
      </c>
      <c r="R64" s="22" t="s">
        <v>20</v>
      </c>
      <c r="S64">
        <v>6</v>
      </c>
    </row>
    <row r="65" spans="1:19">
      <c r="K65" t="s">
        <v>89</v>
      </c>
      <c r="L65" t="s">
        <v>252</v>
      </c>
      <c r="O65" s="22"/>
      <c r="P65" s="23">
        <f>SUM(P59:P64)</f>
        <v>80</v>
      </c>
    </row>
    <row r="66" spans="1:19">
      <c r="D66" t="s">
        <v>89</v>
      </c>
      <c r="E66" t="s">
        <v>243</v>
      </c>
      <c r="L66">
        <f>200+6/9*100</f>
        <v>266.66666666666663</v>
      </c>
      <c r="R66" t="s">
        <v>89</v>
      </c>
      <c r="S66" t="s">
        <v>262</v>
      </c>
    </row>
    <row r="67" spans="1:19">
      <c r="E67">
        <f>55+4/12*10</f>
        <v>58.333333333333336</v>
      </c>
      <c r="S67">
        <f>102+7/19*6</f>
        <v>104.21052631578948</v>
      </c>
    </row>
    <row r="68" spans="1:19">
      <c r="A68" s="23" t="s">
        <v>253</v>
      </c>
      <c r="B68" s="22"/>
      <c r="H68" s="23" t="s">
        <v>266</v>
      </c>
      <c r="I68" s="22"/>
      <c r="O68" s="23" t="s">
        <v>266</v>
      </c>
      <c r="P68" s="22"/>
    </row>
    <row r="69" spans="1:19">
      <c r="A69" s="23" t="s">
        <v>143</v>
      </c>
      <c r="B69" s="23" t="s">
        <v>19</v>
      </c>
      <c r="H69" s="23" t="s">
        <v>143</v>
      </c>
      <c r="I69" s="23" t="s">
        <v>19</v>
      </c>
      <c r="O69" s="23" t="s">
        <v>143</v>
      </c>
      <c r="P69" s="23" t="s">
        <v>19</v>
      </c>
    </row>
    <row r="70" spans="1:19">
      <c r="A70" s="22" t="s">
        <v>229</v>
      </c>
      <c r="B70" s="22">
        <v>20</v>
      </c>
      <c r="H70" s="22" t="s">
        <v>268</v>
      </c>
      <c r="I70" s="22">
        <v>4</v>
      </c>
      <c r="O70" s="22" t="s">
        <v>290</v>
      </c>
      <c r="P70" s="22">
        <v>5</v>
      </c>
    </row>
    <row r="71" spans="1:19">
      <c r="A71" s="22" t="s">
        <v>77</v>
      </c>
      <c r="B71" s="22">
        <v>24</v>
      </c>
      <c r="D71" s="22" t="s">
        <v>16</v>
      </c>
      <c r="E71">
        <v>20</v>
      </c>
      <c r="H71" s="22" t="s">
        <v>269</v>
      </c>
      <c r="I71" s="22">
        <v>14</v>
      </c>
      <c r="K71" s="22" t="s">
        <v>16</v>
      </c>
      <c r="L71">
        <v>35</v>
      </c>
      <c r="O71" s="22" t="s">
        <v>278</v>
      </c>
      <c r="P71" s="22">
        <v>9</v>
      </c>
      <c r="R71" s="22" t="s">
        <v>16</v>
      </c>
      <c r="S71">
        <v>90</v>
      </c>
    </row>
    <row r="72" spans="1:19">
      <c r="A72" s="22" t="s">
        <v>78</v>
      </c>
      <c r="B72" s="22">
        <v>40</v>
      </c>
      <c r="C72" t="s">
        <v>97</v>
      </c>
      <c r="D72" s="22" t="s">
        <v>86</v>
      </c>
      <c r="E72">
        <v>40</v>
      </c>
      <c r="H72" s="22" t="s">
        <v>270</v>
      </c>
      <c r="I72" s="22">
        <v>22</v>
      </c>
      <c r="J72" t="s">
        <v>97</v>
      </c>
      <c r="K72" s="22" t="s">
        <v>86</v>
      </c>
      <c r="L72">
        <v>22</v>
      </c>
      <c r="O72" s="22" t="s">
        <v>279</v>
      </c>
      <c r="P72" s="22">
        <v>17</v>
      </c>
      <c r="R72" s="22" t="s">
        <v>86</v>
      </c>
      <c r="S72">
        <v>85</v>
      </c>
    </row>
    <row r="73" spans="1:19">
      <c r="A73" s="22" t="s">
        <v>79</v>
      </c>
      <c r="B73" s="22">
        <v>36</v>
      </c>
      <c r="D73" s="22" t="s">
        <v>87</v>
      </c>
      <c r="E73">
        <v>24</v>
      </c>
      <c r="H73" s="22" t="s">
        <v>271</v>
      </c>
      <c r="I73" s="22">
        <v>16</v>
      </c>
      <c r="K73" s="22" t="s">
        <v>87</v>
      </c>
      <c r="L73">
        <v>14</v>
      </c>
      <c r="O73" s="22" t="s">
        <v>280</v>
      </c>
      <c r="P73" s="22">
        <v>29</v>
      </c>
      <c r="R73" s="22" t="s">
        <v>87</v>
      </c>
      <c r="S73">
        <v>83</v>
      </c>
    </row>
    <row r="74" spans="1:19">
      <c r="A74" s="22" t="s">
        <v>80</v>
      </c>
      <c r="B74" s="22">
        <v>20</v>
      </c>
      <c r="D74" s="22" t="s">
        <v>88</v>
      </c>
      <c r="E74">
        <v>36</v>
      </c>
      <c r="H74" s="22" t="s">
        <v>272</v>
      </c>
      <c r="I74" s="22">
        <v>6</v>
      </c>
      <c r="K74" s="22" t="s">
        <v>88</v>
      </c>
      <c r="L74">
        <v>16</v>
      </c>
      <c r="O74" s="22" t="s">
        <v>281</v>
      </c>
      <c r="P74" s="22">
        <v>45</v>
      </c>
      <c r="R74" s="22" t="s">
        <v>88</v>
      </c>
      <c r="S74">
        <v>0</v>
      </c>
    </row>
    <row r="75" spans="1:19">
      <c r="A75" s="22"/>
      <c r="B75" s="23">
        <f>SUM(B70:B74)</f>
        <v>140</v>
      </c>
      <c r="D75" s="22" t="s">
        <v>20</v>
      </c>
      <c r="E75">
        <v>10</v>
      </c>
      <c r="H75" s="22" t="s">
        <v>273</v>
      </c>
      <c r="I75" s="22">
        <v>5</v>
      </c>
      <c r="K75" s="22" t="s">
        <v>20</v>
      </c>
      <c r="L75">
        <v>5</v>
      </c>
      <c r="O75" s="22" t="s">
        <v>282</v>
      </c>
      <c r="P75" s="22">
        <v>60</v>
      </c>
      <c r="R75" s="22" t="s">
        <v>20</v>
      </c>
      <c r="S75">
        <v>10</v>
      </c>
    </row>
    <row r="76" spans="1:19">
      <c r="H76" s="22" t="s">
        <v>274</v>
      </c>
      <c r="I76" s="22">
        <v>3</v>
      </c>
      <c r="O76" s="22" t="s">
        <v>283</v>
      </c>
      <c r="P76" s="22">
        <v>70</v>
      </c>
    </row>
    <row r="77" spans="1:19">
      <c r="D77" t="s">
        <v>89</v>
      </c>
      <c r="E77" t="s">
        <v>265</v>
      </c>
      <c r="H77" s="22"/>
      <c r="I77" s="23">
        <f>SUM(I70:I76)</f>
        <v>70</v>
      </c>
      <c r="K77" t="s">
        <v>89</v>
      </c>
      <c r="L77" t="s">
        <v>277</v>
      </c>
      <c r="O77" s="22" t="s">
        <v>284</v>
      </c>
      <c r="P77" s="22">
        <v>78</v>
      </c>
      <c r="R77" t="s">
        <v>89</v>
      </c>
      <c r="S77" t="s">
        <v>294</v>
      </c>
    </row>
    <row r="78" spans="1:19">
      <c r="E78">
        <f>20+16/20*10</f>
        <v>28</v>
      </c>
      <c r="L78">
        <f>35+8/14*5</f>
        <v>37.857142857142854</v>
      </c>
      <c r="O78" s="22" t="s">
        <v>285</v>
      </c>
      <c r="P78" s="22">
        <v>83</v>
      </c>
      <c r="S78">
        <f>90+2/87*10</f>
        <v>90.229885057471265</v>
      </c>
    </row>
    <row r="79" spans="1:19">
      <c r="O79" s="22" t="s">
        <v>286</v>
      </c>
      <c r="P79" s="22">
        <v>85</v>
      </c>
      <c r="Q79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T53"/>
  <sheetViews>
    <sheetView topLeftCell="B1" workbookViewId="0">
      <selection activeCell="R6" sqref="R6"/>
    </sheetView>
  </sheetViews>
  <sheetFormatPr defaultRowHeight="14.4"/>
  <cols>
    <col min="13" max="13" width="43.6640625" customWidth="1"/>
    <col min="14" max="18" width="8.88671875" customWidth="1"/>
  </cols>
  <sheetData>
    <row r="1" spans="1:14">
      <c r="B1" t="s">
        <v>120</v>
      </c>
      <c r="H1" s="22">
        <v>171</v>
      </c>
      <c r="I1" s="22">
        <v>149</v>
      </c>
      <c r="J1" s="22">
        <v>169</v>
      </c>
      <c r="L1">
        <v>139</v>
      </c>
      <c r="N1" s="35"/>
    </row>
    <row r="2" spans="1:14">
      <c r="A2">
        <v>20</v>
      </c>
      <c r="B2">
        <v>16</v>
      </c>
      <c r="H2" s="22">
        <v>161</v>
      </c>
      <c r="I2" s="22">
        <v>150</v>
      </c>
      <c r="J2" s="22">
        <v>182</v>
      </c>
      <c r="L2">
        <v>143</v>
      </c>
      <c r="N2" s="36"/>
    </row>
    <row r="3" spans="1:14">
      <c r="A3">
        <v>32</v>
      </c>
      <c r="B3">
        <v>20</v>
      </c>
      <c r="H3" s="22">
        <v>155</v>
      </c>
      <c r="I3" s="22">
        <v>150</v>
      </c>
      <c r="J3" s="22">
        <v>163</v>
      </c>
      <c r="L3">
        <v>143</v>
      </c>
      <c r="N3" s="37"/>
    </row>
    <row r="4" spans="1:14">
      <c r="A4">
        <v>49</v>
      </c>
      <c r="B4">
        <v>25</v>
      </c>
      <c r="H4" s="22">
        <v>155</v>
      </c>
      <c r="I4" s="22">
        <v>152</v>
      </c>
      <c r="J4" s="22">
        <v>149</v>
      </c>
      <c r="L4">
        <v>145</v>
      </c>
      <c r="N4" s="38" t="s">
        <v>142</v>
      </c>
    </row>
    <row r="5" spans="1:14">
      <c r="A5">
        <v>63</v>
      </c>
      <c r="B5">
        <v>32</v>
      </c>
      <c r="D5" t="s">
        <v>122</v>
      </c>
      <c r="E5" t="s">
        <v>123</v>
      </c>
      <c r="H5" s="22">
        <v>183</v>
      </c>
      <c r="I5" s="22">
        <v>158</v>
      </c>
      <c r="J5" s="22">
        <v>174</v>
      </c>
      <c r="L5">
        <v>145</v>
      </c>
    </row>
    <row r="6" spans="1:14">
      <c r="A6">
        <v>72</v>
      </c>
      <c r="B6">
        <v>38</v>
      </c>
      <c r="E6">
        <f>SUM(1/4*13)</f>
        <v>3.25</v>
      </c>
      <c r="F6" t="s">
        <v>124</v>
      </c>
      <c r="H6" s="22">
        <v>191</v>
      </c>
      <c r="I6" s="22">
        <v>159</v>
      </c>
      <c r="J6" s="22">
        <v>174</v>
      </c>
      <c r="L6">
        <v>149</v>
      </c>
    </row>
    <row r="7" spans="1:14">
      <c r="A7">
        <v>80</v>
      </c>
      <c r="B7">
        <v>45</v>
      </c>
      <c r="F7">
        <v>25</v>
      </c>
      <c r="H7" s="22">
        <v>185</v>
      </c>
      <c r="I7" s="22">
        <v>174</v>
      </c>
      <c r="J7" s="22">
        <v>177</v>
      </c>
      <c r="L7">
        <v>150</v>
      </c>
    </row>
    <row r="8" spans="1:14">
      <c r="A8">
        <v>45</v>
      </c>
      <c r="B8">
        <v>49</v>
      </c>
      <c r="D8" t="s">
        <v>125</v>
      </c>
      <c r="E8" t="s">
        <v>129</v>
      </c>
      <c r="H8" s="22">
        <v>170</v>
      </c>
      <c r="I8" s="22">
        <v>178</v>
      </c>
      <c r="J8" s="22">
        <v>181</v>
      </c>
      <c r="L8">
        <v>150</v>
      </c>
    </row>
    <row r="9" spans="1:14">
      <c r="A9">
        <v>38</v>
      </c>
      <c r="B9">
        <v>54</v>
      </c>
      <c r="E9">
        <f>SUM(9.75-3.25)</f>
        <v>6.5</v>
      </c>
      <c r="F9" t="s">
        <v>130</v>
      </c>
      <c r="H9" s="22">
        <v>172</v>
      </c>
      <c r="I9" s="22">
        <v>179</v>
      </c>
      <c r="J9" s="22">
        <v>170</v>
      </c>
      <c r="L9">
        <v>152</v>
      </c>
    </row>
    <row r="10" spans="1:14">
      <c r="A10">
        <v>25</v>
      </c>
      <c r="B10">
        <v>63</v>
      </c>
      <c r="F10">
        <f>SUM((45+49)/2)</f>
        <v>47</v>
      </c>
      <c r="H10" s="22">
        <v>177</v>
      </c>
      <c r="I10" s="22">
        <v>190</v>
      </c>
      <c r="J10" s="22">
        <v>182</v>
      </c>
      <c r="L10">
        <v>155</v>
      </c>
    </row>
    <row r="11" spans="1:14">
      <c r="A11">
        <v>54</v>
      </c>
      <c r="B11">
        <v>64</v>
      </c>
      <c r="D11" t="s">
        <v>126</v>
      </c>
      <c r="E11" t="s">
        <v>127</v>
      </c>
      <c r="H11" s="22">
        <v>183</v>
      </c>
      <c r="I11" s="22">
        <v>170</v>
      </c>
      <c r="J11" s="22">
        <v>170</v>
      </c>
      <c r="L11">
        <v>155</v>
      </c>
    </row>
    <row r="12" spans="1:14">
      <c r="A12">
        <v>64</v>
      </c>
      <c r="B12">
        <v>72</v>
      </c>
      <c r="E12">
        <f>SUM(3/4*13)</f>
        <v>9.75</v>
      </c>
      <c r="F12" t="s">
        <v>128</v>
      </c>
      <c r="H12" s="22">
        <v>190</v>
      </c>
      <c r="I12" s="22">
        <v>143</v>
      </c>
      <c r="J12" s="22">
        <v>145</v>
      </c>
      <c r="L12">
        <v>158</v>
      </c>
    </row>
    <row r="13" spans="1:14">
      <c r="A13">
        <v>16</v>
      </c>
      <c r="B13">
        <v>80</v>
      </c>
      <c r="F13">
        <v>64</v>
      </c>
      <c r="H13" s="22">
        <v>139</v>
      </c>
      <c r="I13" s="22">
        <v>165</v>
      </c>
      <c r="J13" s="22">
        <v>143</v>
      </c>
      <c r="L13">
        <v>159</v>
      </c>
    </row>
    <row r="14" spans="1:14">
      <c r="B14" t="s">
        <v>121</v>
      </c>
      <c r="D14" t="s">
        <v>131</v>
      </c>
      <c r="F14" t="s">
        <v>132</v>
      </c>
      <c r="I14" s="22">
        <v>167</v>
      </c>
      <c r="L14">
        <v>161</v>
      </c>
    </row>
    <row r="15" spans="1:14">
      <c r="F15" t="s">
        <v>133</v>
      </c>
      <c r="I15" s="22">
        <v>187</v>
      </c>
      <c r="L15">
        <v>165</v>
      </c>
    </row>
    <row r="16" spans="1:14">
      <c r="F16">
        <f>SUM(64-25)</f>
        <v>39</v>
      </c>
      <c r="L16">
        <v>167</v>
      </c>
    </row>
    <row r="17" spans="4:12">
      <c r="D17" t="s">
        <v>134</v>
      </c>
      <c r="F17" t="s">
        <v>135</v>
      </c>
      <c r="L17">
        <v>169</v>
      </c>
    </row>
    <row r="18" spans="4:12">
      <c r="F18">
        <f>SUM((64-25)/2)</f>
        <v>19.5</v>
      </c>
      <c r="L18">
        <v>170</v>
      </c>
    </row>
    <row r="19" spans="4:12">
      <c r="L19">
        <v>170</v>
      </c>
    </row>
    <row r="20" spans="4:12">
      <c r="L20">
        <v>170</v>
      </c>
    </row>
    <row r="21" spans="4:12">
      <c r="L21">
        <v>170</v>
      </c>
    </row>
    <row r="22" spans="4:12">
      <c r="L22">
        <v>172</v>
      </c>
    </row>
    <row r="23" spans="4:12">
      <c r="L23">
        <v>174</v>
      </c>
    </row>
    <row r="24" spans="4:12">
      <c r="L24">
        <v>174</v>
      </c>
    </row>
    <row r="25" spans="4:12">
      <c r="L25">
        <v>174</v>
      </c>
    </row>
    <row r="26" spans="4:12">
      <c r="L26">
        <v>177</v>
      </c>
    </row>
    <row r="27" spans="4:12">
      <c r="L27">
        <v>177</v>
      </c>
    </row>
    <row r="28" spans="4:12">
      <c r="L28">
        <v>178</v>
      </c>
    </row>
    <row r="29" spans="4:12">
      <c r="L29">
        <v>179</v>
      </c>
    </row>
    <row r="30" spans="4:12">
      <c r="L30">
        <v>181</v>
      </c>
    </row>
    <row r="31" spans="4:12">
      <c r="L31">
        <v>182</v>
      </c>
    </row>
    <row r="32" spans="4:12">
      <c r="L32">
        <v>183</v>
      </c>
    </row>
    <row r="33" spans="1:20">
      <c r="L33">
        <v>183</v>
      </c>
    </row>
    <row r="38" spans="1:20">
      <c r="A38" s="22">
        <v>24</v>
      </c>
      <c r="B38" s="22">
        <v>32</v>
      </c>
      <c r="C38" s="22">
        <v>27</v>
      </c>
      <c r="D38" s="22">
        <v>23</v>
      </c>
      <c r="E38" s="22">
        <v>33</v>
      </c>
      <c r="F38" s="22">
        <v>33</v>
      </c>
      <c r="G38" s="22">
        <v>29</v>
      </c>
      <c r="H38" s="22">
        <v>25</v>
      </c>
      <c r="I38" s="22">
        <v>23</v>
      </c>
      <c r="J38" s="22">
        <v>28</v>
      </c>
      <c r="K38" s="22"/>
      <c r="L38" s="22"/>
      <c r="M38" s="22"/>
      <c r="N38" s="22"/>
      <c r="O38" s="22"/>
      <c r="P38" s="22"/>
      <c r="Q38" s="22"/>
      <c r="R38" s="22"/>
      <c r="S38" s="22"/>
      <c r="T38" s="22"/>
    </row>
    <row r="39" spans="1:20">
      <c r="A39" s="22">
        <v>21</v>
      </c>
      <c r="B39" s="22">
        <v>26</v>
      </c>
      <c r="C39" s="22">
        <v>31</v>
      </c>
      <c r="D39" s="22">
        <v>20</v>
      </c>
      <c r="E39" s="22">
        <v>27</v>
      </c>
      <c r="F39" s="22">
        <v>33</v>
      </c>
      <c r="G39" s="22">
        <v>27</v>
      </c>
      <c r="H39" s="22">
        <v>23</v>
      </c>
      <c r="I39" s="22">
        <v>28</v>
      </c>
      <c r="J39" s="22">
        <v>29</v>
      </c>
      <c r="K39" s="22"/>
      <c r="L39" s="22"/>
      <c r="M39" s="22"/>
      <c r="N39" s="22"/>
      <c r="O39" s="22"/>
      <c r="P39" s="22"/>
      <c r="Q39" s="22"/>
      <c r="R39" s="22"/>
      <c r="S39" s="22"/>
      <c r="T39" s="22"/>
    </row>
    <row r="40" spans="1:20">
      <c r="A40" s="22">
        <v>31</v>
      </c>
      <c r="B40" s="22">
        <v>35</v>
      </c>
      <c r="C40" s="22">
        <v>34</v>
      </c>
      <c r="D40" s="22">
        <v>22</v>
      </c>
      <c r="E40" s="22">
        <v>26</v>
      </c>
      <c r="F40" s="22">
        <v>28</v>
      </c>
      <c r="G40" s="22">
        <v>23</v>
      </c>
      <c r="H40" s="22">
        <v>35</v>
      </c>
      <c r="I40" s="22">
        <v>31</v>
      </c>
      <c r="J40" s="22">
        <v>27</v>
      </c>
      <c r="K40" s="22"/>
      <c r="L40" s="22"/>
      <c r="M40" s="22"/>
      <c r="N40" s="22"/>
      <c r="O40" s="22"/>
      <c r="P40" s="22"/>
      <c r="Q40" s="22"/>
      <c r="R40" s="22"/>
      <c r="S40" s="22"/>
      <c r="T40" s="22"/>
    </row>
    <row r="41" spans="1:20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</row>
    <row r="42" spans="1:20">
      <c r="A42" s="22">
        <v>20</v>
      </c>
      <c r="B42" s="22">
        <v>21</v>
      </c>
      <c r="C42" s="22">
        <v>22</v>
      </c>
      <c r="D42" s="22">
        <v>23</v>
      </c>
      <c r="E42" s="22">
        <v>23</v>
      </c>
      <c r="F42" s="22">
        <v>23</v>
      </c>
      <c r="G42" s="22">
        <v>23</v>
      </c>
      <c r="H42" s="22">
        <v>24</v>
      </c>
      <c r="I42" s="22">
        <v>25</v>
      </c>
      <c r="J42" s="22">
        <v>26</v>
      </c>
      <c r="K42" s="22">
        <v>26</v>
      </c>
      <c r="L42" s="22">
        <v>27</v>
      </c>
      <c r="M42" s="22">
        <v>27</v>
      </c>
      <c r="N42" s="22">
        <v>27</v>
      </c>
      <c r="O42" s="22">
        <v>27</v>
      </c>
      <c r="P42" s="22">
        <v>28</v>
      </c>
      <c r="Q42" s="22">
        <v>28</v>
      </c>
      <c r="R42" s="22">
        <v>28</v>
      </c>
      <c r="S42" s="22">
        <v>29</v>
      </c>
      <c r="T42" s="22">
        <v>29</v>
      </c>
    </row>
    <row r="43" spans="1:20">
      <c r="A43" s="22">
        <v>31</v>
      </c>
      <c r="B43" s="22">
        <v>31</v>
      </c>
      <c r="C43" s="22">
        <v>31</v>
      </c>
      <c r="D43" s="22">
        <v>32</v>
      </c>
      <c r="E43" s="22">
        <v>33</v>
      </c>
      <c r="F43" s="22">
        <v>33</v>
      </c>
      <c r="G43" s="22">
        <v>33</v>
      </c>
      <c r="H43" s="22">
        <v>34</v>
      </c>
      <c r="I43" s="22">
        <v>35</v>
      </c>
      <c r="J43" s="22">
        <v>35</v>
      </c>
      <c r="K43" s="22" t="s">
        <v>136</v>
      </c>
      <c r="L43" s="22"/>
      <c r="M43" s="22"/>
      <c r="N43" s="22"/>
      <c r="O43" s="22"/>
      <c r="P43" s="22"/>
      <c r="Q43" s="22"/>
      <c r="R43" s="22"/>
      <c r="S43" s="22"/>
      <c r="T43" s="22"/>
    </row>
    <row r="45" spans="1:20">
      <c r="F45" t="s">
        <v>122</v>
      </c>
      <c r="G45" t="s">
        <v>137</v>
      </c>
    </row>
    <row r="46" spans="1:20">
      <c r="G46">
        <f>SUM((1/4)*31)</f>
        <v>7.75</v>
      </c>
      <c r="H46" t="s">
        <v>138</v>
      </c>
    </row>
    <row r="47" spans="1:20">
      <c r="H47">
        <v>24</v>
      </c>
    </row>
    <row r="48" spans="1:20">
      <c r="F48" t="s">
        <v>125</v>
      </c>
      <c r="G48">
        <f>SUM(23.25-7.75)</f>
        <v>15.5</v>
      </c>
      <c r="H48" t="s">
        <v>141</v>
      </c>
    </row>
    <row r="49" spans="6:8">
      <c r="H49">
        <f>SUM((27+28)/2)</f>
        <v>27.5</v>
      </c>
    </row>
    <row r="51" spans="6:8">
      <c r="F51" t="s">
        <v>126</v>
      </c>
      <c r="G51" t="s">
        <v>139</v>
      </c>
    </row>
    <row r="52" spans="6:8">
      <c r="G52">
        <f>SUM((3/4)*31)</f>
        <v>23.25</v>
      </c>
      <c r="H52" t="s">
        <v>140</v>
      </c>
    </row>
    <row r="53" spans="6:8">
      <c r="H53">
        <v>31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Control 1">
          <controlPr defaultSize="0" r:id="rId4">
            <anchor moveWithCells="1">
              <from>
                <xdr:col>13</xdr:col>
                <xdr:colOff>0</xdr:colOff>
                <xdr:row>2</xdr:row>
                <xdr:rowOff>0</xdr:rowOff>
              </from>
              <to>
                <xdr:col>16</xdr:col>
                <xdr:colOff>541020</xdr:colOff>
                <xdr:row>6</xdr:row>
                <xdr:rowOff>22860</xdr:rowOff>
              </to>
            </anchor>
          </controlPr>
        </control>
      </mc:Choice>
      <mc:Fallback>
        <control shapeId="4097" r:id="rId3" name="Control 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topLeftCell="A61" workbookViewId="0">
      <selection activeCell="G90" sqref="G90"/>
    </sheetView>
  </sheetViews>
  <sheetFormatPr defaultRowHeight="14.4"/>
  <sheetData>
    <row r="1" spans="1:12">
      <c r="A1" s="22" t="s">
        <v>120</v>
      </c>
      <c r="B1" s="22"/>
      <c r="C1" s="22"/>
      <c r="D1" s="22"/>
      <c r="E1" s="22"/>
      <c r="F1" s="22"/>
      <c r="G1" s="22">
        <v>171</v>
      </c>
      <c r="H1" s="22">
        <v>149</v>
      </c>
      <c r="I1" s="22">
        <v>169</v>
      </c>
      <c r="J1" s="22"/>
      <c r="K1" s="22">
        <v>139</v>
      </c>
      <c r="L1">
        <v>183</v>
      </c>
    </row>
    <row r="2" spans="1:12">
      <c r="A2" s="22">
        <v>16</v>
      </c>
      <c r="B2" s="22"/>
      <c r="C2" s="22"/>
      <c r="D2" s="22"/>
      <c r="E2" s="22"/>
      <c r="F2" s="22"/>
      <c r="G2" s="22">
        <v>161</v>
      </c>
      <c r="H2" s="22">
        <v>150</v>
      </c>
      <c r="I2" s="22">
        <v>182</v>
      </c>
      <c r="J2" s="22"/>
      <c r="K2" s="22">
        <v>143</v>
      </c>
      <c r="L2">
        <v>185</v>
      </c>
    </row>
    <row r="3" spans="1:12">
      <c r="A3" s="22">
        <v>20</v>
      </c>
      <c r="B3" s="22"/>
      <c r="C3" s="22"/>
      <c r="D3" s="22"/>
      <c r="E3" s="22"/>
      <c r="F3" s="22"/>
      <c r="G3" s="22">
        <v>155</v>
      </c>
      <c r="H3" s="22">
        <v>150</v>
      </c>
      <c r="I3" s="22">
        <v>163</v>
      </c>
      <c r="J3" s="22"/>
      <c r="K3" s="22">
        <v>143</v>
      </c>
      <c r="L3">
        <v>187</v>
      </c>
    </row>
    <row r="4" spans="1:12">
      <c r="A4" s="22">
        <v>25</v>
      </c>
      <c r="B4" s="22"/>
      <c r="C4" s="22"/>
      <c r="D4" s="22"/>
      <c r="E4" s="22"/>
      <c r="F4" s="22"/>
      <c r="G4" s="22">
        <v>155</v>
      </c>
      <c r="H4" s="22">
        <v>152</v>
      </c>
      <c r="I4" s="22">
        <v>149</v>
      </c>
      <c r="J4" s="22"/>
      <c r="K4" s="22">
        <v>145</v>
      </c>
      <c r="L4">
        <v>190</v>
      </c>
    </row>
    <row r="5" spans="1:12">
      <c r="A5" s="22">
        <v>32</v>
      </c>
      <c r="B5" s="22"/>
      <c r="C5" s="22" t="s">
        <v>122</v>
      </c>
      <c r="D5" s="22" t="s">
        <v>123</v>
      </c>
      <c r="E5" s="22"/>
      <c r="F5" s="22"/>
      <c r="G5" s="22">
        <v>183</v>
      </c>
      <c r="H5" s="22">
        <v>158</v>
      </c>
      <c r="I5" s="22">
        <v>174</v>
      </c>
      <c r="J5" s="22"/>
      <c r="K5" s="22">
        <v>149</v>
      </c>
    </row>
    <row r="6" spans="1:12">
      <c r="A6" s="22">
        <v>38</v>
      </c>
      <c r="B6" s="22"/>
      <c r="C6" s="22"/>
      <c r="D6" s="22">
        <f>SUM(1/4*13)</f>
        <v>3.25</v>
      </c>
      <c r="E6" s="22" t="s">
        <v>124</v>
      </c>
      <c r="F6" s="22"/>
      <c r="G6" s="22">
        <v>191</v>
      </c>
      <c r="H6" s="22">
        <v>159</v>
      </c>
      <c r="I6" s="22">
        <v>174</v>
      </c>
      <c r="J6" s="22"/>
      <c r="K6" s="22">
        <v>149</v>
      </c>
    </row>
    <row r="7" spans="1:12">
      <c r="A7" s="22">
        <v>45</v>
      </c>
      <c r="B7" s="22"/>
      <c r="C7" s="22"/>
      <c r="D7" s="22"/>
      <c r="E7" s="22">
        <v>25</v>
      </c>
      <c r="F7" s="22"/>
      <c r="G7" s="22">
        <v>185</v>
      </c>
      <c r="H7" s="22">
        <v>174</v>
      </c>
      <c r="I7" s="22">
        <v>177</v>
      </c>
      <c r="J7" s="22"/>
      <c r="K7" s="22">
        <v>150</v>
      </c>
    </row>
    <row r="8" spans="1:12">
      <c r="A8" s="22">
        <v>49</v>
      </c>
      <c r="B8" s="22"/>
      <c r="C8" s="22" t="s">
        <v>125</v>
      </c>
      <c r="D8" s="22" t="s">
        <v>129</v>
      </c>
      <c r="E8" s="22"/>
      <c r="F8" s="22"/>
      <c r="G8" s="22">
        <v>170</v>
      </c>
      <c r="H8" s="22">
        <v>178</v>
      </c>
      <c r="I8" s="22">
        <v>181</v>
      </c>
      <c r="J8" s="22"/>
      <c r="K8" s="22">
        <v>150</v>
      </c>
    </row>
    <row r="9" spans="1:12">
      <c r="A9" s="22">
        <v>54</v>
      </c>
      <c r="B9" s="22"/>
      <c r="C9" s="22"/>
      <c r="D9" s="22">
        <f>SUM(9.75-3.25)</f>
        <v>6.5</v>
      </c>
      <c r="E9" s="22" t="s">
        <v>130</v>
      </c>
      <c r="F9" s="22"/>
      <c r="G9" s="22">
        <v>172</v>
      </c>
      <c r="H9" s="22">
        <v>179</v>
      </c>
      <c r="I9" s="22">
        <v>170</v>
      </c>
      <c r="J9" s="22"/>
      <c r="K9" s="22">
        <v>152</v>
      </c>
    </row>
    <row r="10" spans="1:12">
      <c r="A10" s="22">
        <v>63</v>
      </c>
      <c r="B10" s="22"/>
      <c r="C10" s="22"/>
      <c r="D10" s="22"/>
      <c r="E10" s="22">
        <f>SUM((45+49)/2)</f>
        <v>47</v>
      </c>
      <c r="F10" s="22"/>
      <c r="G10" s="22">
        <v>177</v>
      </c>
      <c r="H10" s="22">
        <v>190</v>
      </c>
      <c r="I10" s="22">
        <v>182</v>
      </c>
      <c r="J10" s="22"/>
      <c r="K10" s="22">
        <v>155</v>
      </c>
    </row>
    <row r="11" spans="1:12">
      <c r="A11" s="22">
        <v>64</v>
      </c>
      <c r="B11" s="22"/>
      <c r="C11" s="22" t="s">
        <v>126</v>
      </c>
      <c r="D11" s="22" t="s">
        <v>127</v>
      </c>
      <c r="E11" s="22"/>
      <c r="F11" s="22"/>
      <c r="G11" s="22">
        <v>183</v>
      </c>
      <c r="H11" s="22">
        <v>170</v>
      </c>
      <c r="I11" s="22">
        <v>170</v>
      </c>
      <c r="J11" s="22"/>
      <c r="K11" s="22">
        <v>155</v>
      </c>
    </row>
    <row r="12" spans="1:12">
      <c r="A12" s="22">
        <v>72</v>
      </c>
      <c r="B12" s="22"/>
      <c r="C12" s="22"/>
      <c r="D12" s="22">
        <f>SUM(3/4*13)</f>
        <v>9.75</v>
      </c>
      <c r="E12" s="22" t="s">
        <v>128</v>
      </c>
      <c r="F12" s="22"/>
      <c r="G12" s="22">
        <v>190</v>
      </c>
      <c r="H12" s="22">
        <v>143</v>
      </c>
      <c r="I12" s="22">
        <v>145</v>
      </c>
      <c r="J12" s="22"/>
      <c r="K12" s="22">
        <v>158</v>
      </c>
    </row>
    <row r="13" spans="1:12">
      <c r="A13" s="22">
        <v>80</v>
      </c>
      <c r="B13" s="22"/>
      <c r="C13" s="22"/>
      <c r="D13" s="22"/>
      <c r="E13" s="22">
        <v>64</v>
      </c>
      <c r="F13" s="22"/>
      <c r="G13" s="22">
        <v>139</v>
      </c>
      <c r="H13" s="22">
        <v>165</v>
      </c>
      <c r="I13" s="22">
        <v>143</v>
      </c>
      <c r="J13" s="22"/>
      <c r="K13" s="22">
        <v>159</v>
      </c>
    </row>
    <row r="14" spans="1:12">
      <c r="A14" s="22" t="s">
        <v>121</v>
      </c>
      <c r="B14" s="22"/>
      <c r="C14" s="22" t="s">
        <v>131</v>
      </c>
      <c r="D14" s="22"/>
      <c r="E14" s="22" t="s">
        <v>132</v>
      </c>
      <c r="F14" s="22"/>
      <c r="G14" s="22"/>
      <c r="H14" s="22">
        <v>167</v>
      </c>
      <c r="I14" s="22"/>
      <c r="J14" s="22"/>
      <c r="K14" s="22">
        <v>161</v>
      </c>
    </row>
    <row r="15" spans="1:12">
      <c r="A15" s="22"/>
      <c r="B15" s="22"/>
      <c r="C15" s="22"/>
      <c r="D15" s="22"/>
      <c r="E15" s="22" t="s">
        <v>133</v>
      </c>
      <c r="F15" s="22"/>
      <c r="G15" s="22"/>
      <c r="H15" s="22">
        <v>187</v>
      </c>
      <c r="I15" s="22"/>
      <c r="J15" s="22"/>
      <c r="K15" s="22">
        <v>163</v>
      </c>
    </row>
    <row r="16" spans="1:12">
      <c r="A16" s="22"/>
      <c r="B16" s="22"/>
      <c r="C16" s="22"/>
      <c r="D16" s="22"/>
      <c r="E16" s="22">
        <f>SUM(64-25)</f>
        <v>39</v>
      </c>
      <c r="F16" s="22"/>
      <c r="G16" s="22"/>
      <c r="H16" s="22"/>
      <c r="I16" s="22"/>
      <c r="J16" s="22"/>
      <c r="K16">
        <v>165</v>
      </c>
    </row>
    <row r="17" spans="1:11">
      <c r="A17" s="22"/>
      <c r="B17" s="22"/>
      <c r="C17" s="22" t="s">
        <v>134</v>
      </c>
      <c r="D17" s="22"/>
      <c r="E17" s="22" t="s">
        <v>135</v>
      </c>
      <c r="F17" s="22"/>
      <c r="G17" s="22"/>
      <c r="H17" s="22"/>
      <c r="I17" s="22"/>
      <c r="J17" s="22"/>
      <c r="K17" s="22">
        <v>167</v>
      </c>
    </row>
    <row r="18" spans="1:11">
      <c r="A18" s="22"/>
      <c r="B18" s="22"/>
      <c r="C18" s="22"/>
      <c r="D18" s="22"/>
      <c r="E18" s="22">
        <f>SUM((64-25)/2)</f>
        <v>19.5</v>
      </c>
      <c r="F18" s="22"/>
      <c r="G18" s="22"/>
      <c r="H18" s="22"/>
      <c r="I18" s="22"/>
      <c r="J18" s="22"/>
      <c r="K18" s="22">
        <v>169</v>
      </c>
    </row>
    <row r="19" spans="1:1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>
        <v>170</v>
      </c>
    </row>
    <row r="20" spans="1:1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>
        <v>170</v>
      </c>
    </row>
    <row r="21" spans="1:1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>
        <v>170</v>
      </c>
    </row>
    <row r="22" spans="1:1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>
        <v>170</v>
      </c>
    </row>
    <row r="23" spans="1:1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>
        <v>171</v>
      </c>
    </row>
    <row r="24" spans="1:1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>
        <v>172</v>
      </c>
    </row>
    <row r="25" spans="1:1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>
        <v>174</v>
      </c>
    </row>
    <row r="26" spans="1:1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>
        <v>174</v>
      </c>
    </row>
    <row r="27" spans="1:1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>
        <v>174</v>
      </c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>
        <v>177</v>
      </c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>
        <v>177</v>
      </c>
    </row>
    <row r="30" spans="1:1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>
        <v>178</v>
      </c>
    </row>
    <row r="31" spans="1:1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>
        <v>179</v>
      </c>
    </row>
    <row r="32" spans="1:1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>
        <v>181</v>
      </c>
    </row>
    <row r="33" spans="1:19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>
        <v>182</v>
      </c>
    </row>
    <row r="34" spans="1:19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>
        <v>182</v>
      </c>
    </row>
    <row r="35" spans="1:19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>
        <v>183</v>
      </c>
    </row>
    <row r="36" spans="1:19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</row>
    <row r="37" spans="1:19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</row>
    <row r="38" spans="1:19">
      <c r="A38" s="22">
        <v>32</v>
      </c>
      <c r="B38" s="22">
        <v>27</v>
      </c>
      <c r="C38" s="22">
        <v>23</v>
      </c>
      <c r="D38" s="22">
        <v>33</v>
      </c>
      <c r="E38" s="22">
        <v>33</v>
      </c>
      <c r="F38" s="22">
        <v>29</v>
      </c>
      <c r="G38" s="22">
        <v>25</v>
      </c>
      <c r="H38" s="22">
        <v>23</v>
      </c>
      <c r="I38" s="22">
        <v>28</v>
      </c>
      <c r="J38" s="22"/>
      <c r="K38" s="22"/>
    </row>
    <row r="39" spans="1:19">
      <c r="A39" s="22">
        <v>26</v>
      </c>
      <c r="B39" s="22">
        <v>31</v>
      </c>
      <c r="C39" s="22">
        <v>20</v>
      </c>
      <c r="D39" s="22">
        <v>27</v>
      </c>
      <c r="E39" s="22">
        <v>33</v>
      </c>
      <c r="F39" s="22">
        <v>27</v>
      </c>
      <c r="G39" s="22">
        <v>23</v>
      </c>
      <c r="H39" s="22">
        <v>28</v>
      </c>
      <c r="I39" s="22">
        <v>29</v>
      </c>
      <c r="J39" s="22"/>
      <c r="K39" s="22"/>
    </row>
    <row r="40" spans="1:19">
      <c r="A40" s="22">
        <v>35</v>
      </c>
      <c r="B40" s="22">
        <v>34</v>
      </c>
      <c r="C40" s="22">
        <v>22</v>
      </c>
      <c r="D40" s="22">
        <v>26</v>
      </c>
      <c r="E40" s="22">
        <v>28</v>
      </c>
      <c r="F40" s="22">
        <v>23</v>
      </c>
      <c r="G40" s="22">
        <v>35</v>
      </c>
      <c r="H40" s="22">
        <v>31</v>
      </c>
      <c r="I40" s="22">
        <v>27</v>
      </c>
      <c r="J40" s="22"/>
      <c r="K40" s="22"/>
    </row>
    <row r="41" spans="1:19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</row>
    <row r="42" spans="1:19">
      <c r="A42" s="22">
        <v>21</v>
      </c>
      <c r="B42" s="22">
        <v>22</v>
      </c>
      <c r="C42" s="22">
        <v>23</v>
      </c>
      <c r="D42" s="22">
        <v>23</v>
      </c>
      <c r="E42" s="22">
        <v>23</v>
      </c>
      <c r="F42" s="22">
        <v>23</v>
      </c>
      <c r="G42" s="22">
        <v>24</v>
      </c>
      <c r="H42" s="22">
        <v>25</v>
      </c>
      <c r="I42" s="22">
        <v>26</v>
      </c>
      <c r="J42" s="22">
        <v>26</v>
      </c>
      <c r="K42" s="22">
        <v>27</v>
      </c>
      <c r="L42" s="22">
        <v>27</v>
      </c>
      <c r="M42" s="22">
        <v>27</v>
      </c>
      <c r="N42" s="22">
        <v>27</v>
      </c>
      <c r="O42" s="22">
        <v>28</v>
      </c>
      <c r="P42" s="22">
        <v>28</v>
      </c>
      <c r="Q42" s="22">
        <v>28</v>
      </c>
      <c r="R42" s="22">
        <v>29</v>
      </c>
      <c r="S42" s="22">
        <v>29</v>
      </c>
    </row>
    <row r="43" spans="1:19">
      <c r="A43" s="22">
        <v>31</v>
      </c>
      <c r="B43" s="22">
        <v>31</v>
      </c>
      <c r="C43" s="22">
        <v>32</v>
      </c>
      <c r="D43" s="22">
        <v>33</v>
      </c>
      <c r="E43" s="22">
        <v>33</v>
      </c>
      <c r="F43" s="22">
        <v>33</v>
      </c>
      <c r="G43" s="22">
        <v>34</v>
      </c>
      <c r="H43" s="22">
        <v>35</v>
      </c>
      <c r="I43" s="22">
        <v>35</v>
      </c>
      <c r="J43" s="22" t="s">
        <v>136</v>
      </c>
      <c r="K43" s="22"/>
    </row>
    <row r="44" spans="1:19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</row>
    <row r="45" spans="1:19">
      <c r="A45" s="22"/>
      <c r="B45" s="22"/>
      <c r="C45" s="22"/>
      <c r="D45" s="22"/>
      <c r="E45" s="22" t="s">
        <v>122</v>
      </c>
      <c r="F45" s="22" t="s">
        <v>137</v>
      </c>
      <c r="G45" s="22"/>
      <c r="H45" s="22"/>
      <c r="I45" s="22"/>
      <c r="J45" s="22"/>
      <c r="K45" s="22"/>
    </row>
    <row r="46" spans="1:19">
      <c r="A46" s="22"/>
      <c r="B46" s="22"/>
      <c r="C46" s="22"/>
      <c r="D46" s="22"/>
      <c r="E46" s="22"/>
      <c r="F46" s="22">
        <f>SUM((1/4)*31)</f>
        <v>7.75</v>
      </c>
      <c r="G46" s="22" t="s">
        <v>138</v>
      </c>
      <c r="H46" s="22"/>
      <c r="I46" s="22"/>
      <c r="J46" s="22"/>
      <c r="K46" s="22"/>
    </row>
    <row r="47" spans="1:19">
      <c r="A47" s="22"/>
      <c r="B47" s="22"/>
      <c r="C47" s="22"/>
      <c r="D47" s="22"/>
      <c r="E47" s="22"/>
      <c r="F47" s="22"/>
      <c r="G47" s="22">
        <v>24</v>
      </c>
      <c r="H47" s="22"/>
      <c r="I47" s="22"/>
      <c r="J47" s="22"/>
      <c r="K47" s="22"/>
    </row>
    <row r="48" spans="1:19">
      <c r="A48" s="22"/>
      <c r="B48" s="22"/>
      <c r="C48" s="22"/>
      <c r="D48" s="22"/>
      <c r="E48" s="22" t="s">
        <v>125</v>
      </c>
      <c r="F48" s="22">
        <f>SUM(23.25-7.75)</f>
        <v>15.5</v>
      </c>
      <c r="G48" s="22" t="s">
        <v>141</v>
      </c>
      <c r="H48" s="22"/>
      <c r="I48" s="22"/>
      <c r="J48" s="22"/>
      <c r="K48" s="22"/>
    </row>
    <row r="49" spans="1:15">
      <c r="A49" s="22"/>
      <c r="B49" s="22"/>
      <c r="C49" s="22"/>
      <c r="D49" s="22"/>
      <c r="E49" s="22"/>
      <c r="F49" s="22"/>
      <c r="G49" s="22">
        <f>SUM((27+28)/2)</f>
        <v>27.5</v>
      </c>
      <c r="H49" s="22"/>
      <c r="I49" s="22"/>
      <c r="J49" s="22"/>
      <c r="K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</row>
    <row r="51" spans="1:15">
      <c r="A51" s="22"/>
      <c r="B51" s="22"/>
      <c r="C51" s="22"/>
      <c r="D51" s="22"/>
      <c r="E51" s="22" t="s">
        <v>126</v>
      </c>
      <c r="F51" s="22" t="s">
        <v>139</v>
      </c>
      <c r="G51" s="22"/>
      <c r="H51" s="22"/>
      <c r="I51" s="22"/>
      <c r="J51" s="22"/>
      <c r="K51" s="22"/>
    </row>
    <row r="52" spans="1:15">
      <c r="A52" s="22"/>
      <c r="B52" s="22"/>
      <c r="C52" s="22"/>
      <c r="D52" s="22"/>
      <c r="E52" s="22"/>
      <c r="F52" s="22">
        <f>SUM((3/4)*31)</f>
        <v>23.25</v>
      </c>
      <c r="G52" s="22" t="s">
        <v>140</v>
      </c>
      <c r="H52" s="22"/>
      <c r="I52" s="22"/>
      <c r="J52" s="22"/>
      <c r="K52" s="22"/>
    </row>
    <row r="53" spans="1:15">
      <c r="A53" s="22"/>
      <c r="B53" s="22"/>
      <c r="C53" s="22"/>
      <c r="D53" s="22"/>
      <c r="E53" s="22"/>
      <c r="F53" s="22"/>
      <c r="G53" s="22">
        <v>31</v>
      </c>
      <c r="H53" s="22"/>
      <c r="I53" s="22"/>
      <c r="J53" s="22"/>
      <c r="K53" s="22"/>
    </row>
    <row r="54" spans="1:15">
      <c r="A54" s="22"/>
      <c r="B54" s="22"/>
      <c r="C54" s="22"/>
      <c r="D54" s="22"/>
      <c r="E54" s="22" t="s">
        <v>131</v>
      </c>
      <c r="F54" s="22"/>
      <c r="G54" s="22" t="s">
        <v>132</v>
      </c>
      <c r="H54" s="22"/>
      <c r="I54" s="22"/>
      <c r="J54" s="22"/>
      <c r="K54" s="22"/>
    </row>
    <row r="55" spans="1:15">
      <c r="G55">
        <f>G53-G47</f>
        <v>7</v>
      </c>
    </row>
    <row r="56" spans="1:15">
      <c r="E56" t="s">
        <v>134</v>
      </c>
      <c r="G56" t="s">
        <v>298</v>
      </c>
    </row>
    <row r="57" spans="1:15">
      <c r="G57">
        <f>(31-24)/2</f>
        <v>3.5</v>
      </c>
    </row>
    <row r="58" spans="1:15">
      <c r="B58" s="23" t="s">
        <v>19</v>
      </c>
      <c r="J58" s="23" t="s">
        <v>19</v>
      </c>
    </row>
    <row r="59" spans="1:15">
      <c r="B59" s="22">
        <v>6</v>
      </c>
      <c r="C59">
        <v>1</v>
      </c>
      <c r="E59" t="s">
        <v>122</v>
      </c>
      <c r="F59" t="s">
        <v>301</v>
      </c>
      <c r="J59" s="22">
        <v>2</v>
      </c>
      <c r="K59">
        <v>2</v>
      </c>
      <c r="M59" t="s">
        <v>122</v>
      </c>
      <c r="N59" t="s">
        <v>301</v>
      </c>
    </row>
    <row r="60" spans="1:15">
      <c r="B60" s="22">
        <v>4</v>
      </c>
      <c r="C60">
        <v>4</v>
      </c>
      <c r="F60">
        <f>1/4*6</f>
        <v>1.5</v>
      </c>
      <c r="G60" t="s">
        <v>302</v>
      </c>
      <c r="J60" s="22">
        <v>3</v>
      </c>
      <c r="K60">
        <v>3</v>
      </c>
      <c r="N60">
        <f>1/4*6</f>
        <v>1.5</v>
      </c>
      <c r="O60" s="22" t="s">
        <v>302</v>
      </c>
    </row>
    <row r="61" spans="1:15">
      <c r="B61" s="22">
        <v>5</v>
      </c>
      <c r="C61">
        <v>4</v>
      </c>
      <c r="G61">
        <f>5/2</f>
        <v>2.5</v>
      </c>
      <c r="J61" s="22">
        <v>8</v>
      </c>
      <c r="K61">
        <v>3</v>
      </c>
      <c r="O61">
        <f>5/2</f>
        <v>2.5</v>
      </c>
    </row>
    <row r="62" spans="1:15">
      <c r="B62" s="22">
        <v>1</v>
      </c>
      <c r="C62">
        <v>5</v>
      </c>
      <c r="E62" t="s">
        <v>125</v>
      </c>
      <c r="F62">
        <f>4.5-1.5</f>
        <v>3</v>
      </c>
      <c r="G62" t="s">
        <v>124</v>
      </c>
      <c r="J62" s="22">
        <v>3</v>
      </c>
      <c r="K62">
        <v>4</v>
      </c>
      <c r="M62" t="s">
        <v>125</v>
      </c>
      <c r="N62">
        <f>4.5-1.5</f>
        <v>3</v>
      </c>
      <c r="O62" t="s">
        <v>124</v>
      </c>
    </row>
    <row r="63" spans="1:15">
      <c r="B63" s="22">
        <v>4</v>
      </c>
      <c r="C63">
        <v>6</v>
      </c>
      <c r="G63">
        <v>4</v>
      </c>
      <c r="J63" s="22">
        <v>4</v>
      </c>
      <c r="K63">
        <v>8</v>
      </c>
      <c r="O63">
        <v>3</v>
      </c>
    </row>
    <row r="64" spans="1:15">
      <c r="C64" t="s">
        <v>300</v>
      </c>
      <c r="E64" t="s">
        <v>126</v>
      </c>
      <c r="F64" t="s">
        <v>139</v>
      </c>
      <c r="M64" t="s">
        <v>126</v>
      </c>
      <c r="N64" t="s">
        <v>139</v>
      </c>
    </row>
    <row r="65" spans="3:15">
      <c r="F65">
        <f>3/4*6</f>
        <v>4.5</v>
      </c>
      <c r="G65" t="s">
        <v>303</v>
      </c>
      <c r="N65">
        <f>3/4*6</f>
        <v>4.5</v>
      </c>
      <c r="O65" s="22" t="s">
        <v>303</v>
      </c>
    </row>
    <row r="66" spans="3:15">
      <c r="G66">
        <f>11/2</f>
        <v>5.5</v>
      </c>
      <c r="O66">
        <f>12/2</f>
        <v>6</v>
      </c>
    </row>
    <row r="67" spans="3:15">
      <c r="M67" t="s">
        <v>131</v>
      </c>
    </row>
    <row r="68" spans="3:15">
      <c r="E68" t="s">
        <v>131</v>
      </c>
      <c r="G68" t="s">
        <v>132</v>
      </c>
      <c r="N68" t="s">
        <v>305</v>
      </c>
      <c r="O68">
        <f>6-2.5</f>
        <v>3.5</v>
      </c>
    </row>
    <row r="69" spans="3:15">
      <c r="F69" t="s">
        <v>304</v>
      </c>
      <c r="G69">
        <v>3</v>
      </c>
    </row>
    <row r="70" spans="3:15">
      <c r="M70" t="s">
        <v>306</v>
      </c>
      <c r="O70" t="s">
        <v>307</v>
      </c>
    </row>
    <row r="71" spans="3:15">
      <c r="E71" t="s">
        <v>134</v>
      </c>
      <c r="G71" t="s">
        <v>298</v>
      </c>
      <c r="H71">
        <v>1.5</v>
      </c>
      <c r="O71">
        <f>3.5/2</f>
        <v>1.75</v>
      </c>
    </row>
    <row r="72" spans="3:15">
      <c r="F72" s="24"/>
      <c r="G72" s="24"/>
    </row>
    <row r="74" spans="3:15">
      <c r="C74" s="23" t="s">
        <v>19</v>
      </c>
    </row>
    <row r="75" spans="3:15">
      <c r="C75" s="22">
        <v>5</v>
      </c>
    </row>
    <row r="76" spans="3:15">
      <c r="C76" s="22">
        <v>9</v>
      </c>
      <c r="E76" t="s">
        <v>122</v>
      </c>
      <c r="F76" s="22" t="s">
        <v>301</v>
      </c>
    </row>
    <row r="77" spans="3:15">
      <c r="C77" s="22">
        <v>17</v>
      </c>
      <c r="F77">
        <f>1/4*11</f>
        <v>2.75</v>
      </c>
      <c r="G77" t="s">
        <v>124</v>
      </c>
    </row>
    <row r="78" spans="3:15">
      <c r="C78" s="22">
        <v>29</v>
      </c>
      <c r="G78">
        <v>29</v>
      </c>
    </row>
    <row r="79" spans="3:15">
      <c r="C79" s="22">
        <v>45</v>
      </c>
      <c r="E79" t="s">
        <v>125</v>
      </c>
      <c r="F79" t="s">
        <v>309</v>
      </c>
      <c r="G79">
        <f>8.25-2.75</f>
        <v>5.5</v>
      </c>
      <c r="H79" t="s">
        <v>207</v>
      </c>
    </row>
    <row r="80" spans="3:15">
      <c r="C80" s="22">
        <v>60</v>
      </c>
      <c r="H80">
        <f>(45+60)/2</f>
        <v>52.5</v>
      </c>
    </row>
    <row r="81" spans="3:7">
      <c r="C81" s="22">
        <v>70</v>
      </c>
      <c r="E81" t="s">
        <v>126</v>
      </c>
      <c r="F81" s="22" t="s">
        <v>139</v>
      </c>
    </row>
    <row r="82" spans="3:7">
      <c r="C82" s="22">
        <v>78</v>
      </c>
      <c r="F82">
        <f>3/4*11</f>
        <v>8.25</v>
      </c>
      <c r="G82" t="s">
        <v>138</v>
      </c>
    </row>
    <row r="83" spans="3:7">
      <c r="C83" s="22">
        <v>83</v>
      </c>
      <c r="G83">
        <v>78</v>
      </c>
    </row>
    <row r="84" spans="3:7">
      <c r="C84" s="22">
        <v>85</v>
      </c>
    </row>
    <row r="85" spans="3:7">
      <c r="C85" t="s">
        <v>308</v>
      </c>
      <c r="E85" t="s">
        <v>310</v>
      </c>
      <c r="G85" t="s">
        <v>311</v>
      </c>
    </row>
    <row r="86" spans="3:7">
      <c r="G86">
        <f>78-29</f>
        <v>49</v>
      </c>
    </row>
    <row r="88" spans="3:7">
      <c r="E88" t="s">
        <v>306</v>
      </c>
      <c r="G88" t="s">
        <v>312</v>
      </c>
    </row>
    <row r="89" spans="3:7">
      <c r="G89">
        <f>(78-29)/2</f>
        <v>24.5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26" zoomScaleNormal="100" workbookViewId="0">
      <selection activeCell="G52" sqref="G52"/>
    </sheetView>
  </sheetViews>
  <sheetFormatPr defaultRowHeight="14.4"/>
  <cols>
    <col min="3" max="3" width="9.44140625" bestFit="1" customWidth="1"/>
    <col min="4" max="4" width="32" customWidth="1"/>
    <col min="10" max="10" width="32.6640625" customWidth="1"/>
    <col min="16" max="16" width="25.88671875" customWidth="1"/>
  </cols>
  <sheetData>
    <row r="1" spans="1:11" ht="27" customHeight="1">
      <c r="A1" s="39" t="s">
        <v>143</v>
      </c>
      <c r="B1" s="39" t="s">
        <v>19</v>
      </c>
      <c r="C1" s="39" t="s">
        <v>144</v>
      </c>
      <c r="D1" s="39" t="s">
        <v>145</v>
      </c>
      <c r="E1" s="39" t="s">
        <v>148</v>
      </c>
      <c r="G1" s="23" t="s">
        <v>143</v>
      </c>
      <c r="H1" s="23" t="s">
        <v>19</v>
      </c>
      <c r="I1" s="39" t="s">
        <v>144</v>
      </c>
      <c r="J1" s="39" t="s">
        <v>145</v>
      </c>
      <c r="K1" s="39" t="s">
        <v>148</v>
      </c>
    </row>
    <row r="2" spans="1:11">
      <c r="A2">
        <v>24</v>
      </c>
      <c r="B2">
        <v>14</v>
      </c>
      <c r="C2">
        <v>336</v>
      </c>
      <c r="D2">
        <f>60.05479-24</f>
        <v>36.054789999999997</v>
      </c>
      <c r="E2">
        <f>14*D2</f>
        <v>504.76705999999996</v>
      </c>
      <c r="G2" s="22">
        <v>1</v>
      </c>
      <c r="H2" s="22">
        <v>3</v>
      </c>
      <c r="I2">
        <v>3</v>
      </c>
      <c r="J2" s="22">
        <f>3.041667-1</f>
        <v>2.0416669999999999</v>
      </c>
      <c r="K2">
        <f>H2*J2</f>
        <v>6.1250009999999993</v>
      </c>
    </row>
    <row r="3" spans="1:11">
      <c r="A3">
        <v>36</v>
      </c>
      <c r="B3">
        <v>28</v>
      </c>
      <c r="C3">
        <f>36*28</f>
        <v>1008</v>
      </c>
      <c r="D3">
        <f>60.05479-36</f>
        <v>24.054789999999997</v>
      </c>
      <c r="E3">
        <f>28*D3</f>
        <v>673.53411999999992</v>
      </c>
      <c r="G3" s="22">
        <v>2</v>
      </c>
      <c r="H3" s="23">
        <v>8</v>
      </c>
      <c r="I3">
        <v>16</v>
      </c>
      <c r="J3">
        <f>3.041667-2</f>
        <v>1.0416669999999999</v>
      </c>
      <c r="K3">
        <f>H3*J3</f>
        <v>8.3333359999999992</v>
      </c>
    </row>
    <row r="4" spans="1:11">
      <c r="A4">
        <v>56</v>
      </c>
      <c r="B4">
        <v>42</v>
      </c>
      <c r="C4">
        <f>56*42</f>
        <v>2352</v>
      </c>
      <c r="D4">
        <f>60.05479-56</f>
        <v>4.054789999999997</v>
      </c>
      <c r="E4">
        <f>42*D4</f>
        <v>170.30117999999987</v>
      </c>
      <c r="G4" s="22">
        <v>3</v>
      </c>
      <c r="H4" s="22">
        <v>5</v>
      </c>
      <c r="I4">
        <v>15</v>
      </c>
      <c r="J4">
        <f>3.041667-3</f>
        <v>4.1666999999999899E-2</v>
      </c>
      <c r="K4">
        <f>H4*J4</f>
        <v>0.20833499999999949</v>
      </c>
    </row>
    <row r="5" spans="1:11">
      <c r="A5">
        <v>80</v>
      </c>
      <c r="B5">
        <v>34</v>
      </c>
      <c r="C5">
        <f>80*34</f>
        <v>2720</v>
      </c>
      <c r="D5">
        <f>80-60.05479</f>
        <v>19.945210000000003</v>
      </c>
      <c r="E5">
        <f>34*D5</f>
        <v>678.13714000000004</v>
      </c>
      <c r="G5" s="22">
        <v>4</v>
      </c>
      <c r="H5" s="23">
        <v>4</v>
      </c>
      <c r="I5">
        <v>16</v>
      </c>
      <c r="J5">
        <f>4-3.041667</f>
        <v>0.9583330000000001</v>
      </c>
      <c r="K5">
        <f>H5*J5</f>
        <v>3.8333320000000004</v>
      </c>
    </row>
    <row r="6" spans="1:11">
      <c r="A6">
        <v>84</v>
      </c>
      <c r="B6">
        <v>28</v>
      </c>
      <c r="C6">
        <f>84*28</f>
        <v>2352</v>
      </c>
      <c r="D6">
        <f>84-60.05479</f>
        <v>23.945210000000003</v>
      </c>
      <c r="E6">
        <f>28*D6</f>
        <v>670.46588000000008</v>
      </c>
      <c r="G6" s="22">
        <v>5</v>
      </c>
      <c r="H6" s="22">
        <v>2</v>
      </c>
      <c r="I6">
        <v>10</v>
      </c>
      <c r="J6">
        <f>5-3.041667</f>
        <v>1.9583330000000001</v>
      </c>
      <c r="K6">
        <f>H6*J6</f>
        <v>3.9166660000000002</v>
      </c>
    </row>
    <row r="7" spans="1:11">
      <c r="A7" s="23" t="s">
        <v>146</v>
      </c>
      <c r="B7" s="23">
        <f>SUM(B2:B6)</f>
        <v>146</v>
      </c>
      <c r="C7" s="23">
        <f>SUM(C2:C6)</f>
        <v>8768</v>
      </c>
      <c r="E7" s="23">
        <f>SUM(E2:E6)</f>
        <v>2697.2053799999999</v>
      </c>
      <c r="G7" s="22">
        <v>6</v>
      </c>
      <c r="H7" s="23">
        <v>1</v>
      </c>
      <c r="I7">
        <v>6</v>
      </c>
      <c r="J7">
        <f>6-3.041667</f>
        <v>2.9583330000000001</v>
      </c>
      <c r="K7">
        <f>J7</f>
        <v>2.9583330000000001</v>
      </c>
    </row>
    <row r="8" spans="1:11">
      <c r="G8" s="22">
        <v>7</v>
      </c>
      <c r="H8" s="22">
        <v>1</v>
      </c>
      <c r="I8">
        <v>7</v>
      </c>
      <c r="J8">
        <f>7-3.041667</f>
        <v>3.9583330000000001</v>
      </c>
      <c r="K8">
        <f>J8</f>
        <v>3.9583330000000001</v>
      </c>
    </row>
    <row r="9" spans="1:11">
      <c r="G9" s="22"/>
      <c r="H9" s="23">
        <f>SUM(H2:H8)</f>
        <v>24</v>
      </c>
      <c r="I9" s="23">
        <f>SUM(I2:I8)</f>
        <v>73</v>
      </c>
      <c r="K9" s="23">
        <f>SUM(K2:K8)</f>
        <v>29.333335999999996</v>
      </c>
    </row>
    <row r="10" spans="1:11">
      <c r="B10" s="23" t="s">
        <v>147</v>
      </c>
      <c r="C10">
        <f>8768/146</f>
        <v>60.054794520547944</v>
      </c>
    </row>
    <row r="11" spans="1:11">
      <c r="H11" t="s">
        <v>147</v>
      </c>
      <c r="I11">
        <f>73/24</f>
        <v>3.0416666666666665</v>
      </c>
    </row>
    <row r="12" spans="1:11">
      <c r="C12" s="23" t="s">
        <v>149</v>
      </c>
      <c r="D12" t="s">
        <v>150</v>
      </c>
    </row>
    <row r="13" spans="1:11">
      <c r="D13">
        <f>2697.205/146</f>
        <v>18.474006849315067</v>
      </c>
      <c r="I13" t="s">
        <v>192</v>
      </c>
      <c r="J13" s="23" t="s">
        <v>193</v>
      </c>
    </row>
    <row r="14" spans="1:11">
      <c r="J14">
        <f>K9/H9</f>
        <v>1.2222223333333331</v>
      </c>
    </row>
    <row r="15" spans="1:11">
      <c r="G15" s="23"/>
      <c r="H15" s="22"/>
      <c r="I15" s="22"/>
    </row>
    <row r="16" spans="1:11" ht="22.8" customHeight="1">
      <c r="A16" s="23" t="s">
        <v>143</v>
      </c>
      <c r="B16" s="23" t="s">
        <v>19</v>
      </c>
      <c r="C16" s="39" t="s">
        <v>144</v>
      </c>
      <c r="D16" s="39" t="s">
        <v>145</v>
      </c>
      <c r="E16" s="39" t="s">
        <v>148</v>
      </c>
      <c r="G16" s="23" t="s">
        <v>143</v>
      </c>
      <c r="H16" s="23" t="s">
        <v>19</v>
      </c>
      <c r="I16" s="39" t="s">
        <v>144</v>
      </c>
      <c r="J16" s="39" t="s">
        <v>145</v>
      </c>
      <c r="K16" s="39" t="s">
        <v>148</v>
      </c>
    </row>
    <row r="17" spans="1:11">
      <c r="A17" s="22">
        <v>0</v>
      </c>
      <c r="B17" s="22">
        <v>2</v>
      </c>
      <c r="C17" s="22">
        <v>0</v>
      </c>
      <c r="D17">
        <v>5.74</v>
      </c>
      <c r="E17">
        <f>2*5.74</f>
        <v>11.48</v>
      </c>
      <c r="G17" s="22">
        <v>20</v>
      </c>
      <c r="H17" s="22">
        <v>6</v>
      </c>
      <c r="I17" s="22">
        <v>120</v>
      </c>
      <c r="J17">
        <f>21.65-20</f>
        <v>1.6499999999999986</v>
      </c>
      <c r="K17">
        <f>H17*J17</f>
        <v>9.8999999999999915</v>
      </c>
    </row>
    <row r="18" spans="1:11">
      <c r="A18" s="22">
        <v>1</v>
      </c>
      <c r="B18" s="22">
        <v>4</v>
      </c>
      <c r="C18" s="22">
        <v>4</v>
      </c>
      <c r="D18">
        <v>4.74</v>
      </c>
      <c r="E18">
        <f>4*4.74</f>
        <v>18.96</v>
      </c>
      <c r="G18" s="22">
        <v>21</v>
      </c>
      <c r="H18" s="22">
        <v>4</v>
      </c>
      <c r="I18" s="22">
        <v>84</v>
      </c>
      <c r="J18">
        <f>21.65-21</f>
        <v>0.64999999999999858</v>
      </c>
      <c r="K18">
        <f>H18*J18</f>
        <v>2.5999999999999943</v>
      </c>
    </row>
    <row r="19" spans="1:11">
      <c r="A19" s="22">
        <v>2</v>
      </c>
      <c r="B19" s="22">
        <v>7</v>
      </c>
      <c r="C19" s="22">
        <v>14</v>
      </c>
      <c r="D19">
        <v>3.74</v>
      </c>
      <c r="E19">
        <f>7*3.74</f>
        <v>26.18</v>
      </c>
      <c r="G19" s="22">
        <v>22</v>
      </c>
      <c r="H19" s="22">
        <v>5</v>
      </c>
      <c r="I19" s="22">
        <v>110</v>
      </c>
      <c r="J19">
        <f>22-21.65</f>
        <v>0.35000000000000142</v>
      </c>
      <c r="K19">
        <f>H19*J19</f>
        <v>1.7500000000000071</v>
      </c>
    </row>
    <row r="20" spans="1:11">
      <c r="A20" s="22">
        <v>3</v>
      </c>
      <c r="B20" s="22">
        <v>4</v>
      </c>
      <c r="C20" s="22">
        <v>12</v>
      </c>
      <c r="D20">
        <v>2.74</v>
      </c>
      <c r="E20">
        <f>4*2.74</f>
        <v>10.96</v>
      </c>
      <c r="G20" s="22">
        <v>23</v>
      </c>
      <c r="H20" s="22">
        <v>1</v>
      </c>
      <c r="I20" s="22">
        <v>23</v>
      </c>
      <c r="J20">
        <f>23-21.65</f>
        <v>1.3500000000000014</v>
      </c>
      <c r="K20">
        <f>H20*J20</f>
        <v>1.3500000000000014</v>
      </c>
    </row>
    <row r="21" spans="1:11">
      <c r="A21" s="22">
        <v>4</v>
      </c>
      <c r="B21" s="22">
        <v>2</v>
      </c>
      <c r="C21" s="22">
        <v>8</v>
      </c>
      <c r="D21">
        <v>1.74</v>
      </c>
      <c r="E21">
        <f>2*1.74</f>
        <v>3.48</v>
      </c>
      <c r="G21" s="22">
        <v>24</v>
      </c>
      <c r="H21" s="22">
        <v>4</v>
      </c>
      <c r="I21" s="22">
        <v>96</v>
      </c>
      <c r="J21">
        <f>24-21.65</f>
        <v>2.3500000000000014</v>
      </c>
      <c r="K21">
        <f>H21*J21</f>
        <v>9.4000000000000057</v>
      </c>
    </row>
    <row r="22" spans="1:11">
      <c r="A22" s="22">
        <v>5</v>
      </c>
      <c r="B22" s="22">
        <v>0</v>
      </c>
      <c r="C22" s="22">
        <v>0</v>
      </c>
      <c r="D22">
        <v>0.74</v>
      </c>
      <c r="E22">
        <v>0</v>
      </c>
      <c r="G22" s="22"/>
      <c r="H22" s="23">
        <f>SUM(H17:H21)</f>
        <v>20</v>
      </c>
      <c r="I22" s="23">
        <f>SUM(I17:I21)</f>
        <v>433</v>
      </c>
      <c r="K22" s="23">
        <f>SUM(K17:K21)</f>
        <v>25</v>
      </c>
    </row>
    <row r="23" spans="1:11">
      <c r="A23" s="22">
        <v>6</v>
      </c>
      <c r="B23" s="22">
        <v>1</v>
      </c>
      <c r="C23" s="22">
        <v>6</v>
      </c>
      <c r="D23">
        <f>6-5.74</f>
        <v>0.25999999999999979</v>
      </c>
      <c r="E23">
        <v>0.26</v>
      </c>
    </row>
    <row r="24" spans="1:11">
      <c r="A24" s="22">
        <v>7</v>
      </c>
      <c r="B24" s="22">
        <v>8</v>
      </c>
      <c r="C24" s="22">
        <v>56</v>
      </c>
      <c r="D24">
        <f>7-5.74</f>
        <v>1.2599999999999998</v>
      </c>
      <c r="E24">
        <f>8*1.26</f>
        <v>10.08</v>
      </c>
      <c r="G24" t="s">
        <v>147</v>
      </c>
      <c r="H24" s="22">
        <f>433/20</f>
        <v>21.65</v>
      </c>
    </row>
    <row r="25" spans="1:11">
      <c r="A25" s="22">
        <v>8</v>
      </c>
      <c r="B25" s="22">
        <v>13</v>
      </c>
      <c r="C25" s="22">
        <v>104</v>
      </c>
      <c r="D25">
        <v>2.2599999999999998</v>
      </c>
      <c r="E25">
        <f>13*2.26</f>
        <v>29.379999999999995</v>
      </c>
    </row>
    <row r="26" spans="1:11">
      <c r="A26" s="22">
        <v>9</v>
      </c>
      <c r="B26" s="22">
        <v>7</v>
      </c>
      <c r="C26" s="22">
        <v>63</v>
      </c>
      <c r="D26">
        <v>3.26</v>
      </c>
      <c r="E26">
        <f>7*3.26</f>
        <v>22.82</v>
      </c>
      <c r="I26" t="s">
        <v>214</v>
      </c>
      <c r="J26" t="s">
        <v>289</v>
      </c>
    </row>
    <row r="27" spans="1:11">
      <c r="A27" s="22">
        <v>10</v>
      </c>
      <c r="B27" s="22">
        <v>2</v>
      </c>
      <c r="C27" s="22">
        <v>20</v>
      </c>
      <c r="D27">
        <v>4.26</v>
      </c>
      <c r="E27">
        <f>2*4.26</f>
        <v>8.52</v>
      </c>
      <c r="J27">
        <f>K22/H22</f>
        <v>1.25</v>
      </c>
    </row>
    <row r="28" spans="1:11">
      <c r="A28" s="22"/>
      <c r="B28" s="23">
        <f>SUM(B17:B27)</f>
        <v>50</v>
      </c>
      <c r="C28" s="23">
        <f>SUM(C17:C27)</f>
        <v>287</v>
      </c>
      <c r="E28" s="23">
        <f>SUM(E17:E27)</f>
        <v>142.12000000000003</v>
      </c>
    </row>
    <row r="30" spans="1:11">
      <c r="A30" s="22" t="s">
        <v>14</v>
      </c>
      <c r="B30" s="22" t="s">
        <v>213</v>
      </c>
      <c r="C30" s="22">
        <f>287/50</f>
        <v>5.74</v>
      </c>
    </row>
    <row r="32" spans="1:11">
      <c r="C32" t="s">
        <v>214</v>
      </c>
      <c r="D32" t="s">
        <v>215</v>
      </c>
    </row>
    <row r="33" spans="1:5">
      <c r="D33">
        <f>142.12/50</f>
        <v>2.8424</v>
      </c>
    </row>
    <row r="35" spans="1:5" ht="21" customHeight="1">
      <c r="A35" s="23" t="s">
        <v>143</v>
      </c>
      <c r="B35" s="23" t="s">
        <v>19</v>
      </c>
      <c r="C35" s="39" t="s">
        <v>144</v>
      </c>
      <c r="D35" s="39" t="s">
        <v>145</v>
      </c>
      <c r="E35" s="39" t="s">
        <v>148</v>
      </c>
    </row>
    <row r="36" spans="1:5">
      <c r="A36" s="22">
        <v>10</v>
      </c>
      <c r="B36" s="22">
        <v>2</v>
      </c>
      <c r="C36" s="22">
        <v>20</v>
      </c>
      <c r="D36">
        <f>12.55-10</f>
        <v>2.5500000000000007</v>
      </c>
      <c r="E36">
        <f>B36*D36</f>
        <v>5.1000000000000014</v>
      </c>
    </row>
    <row r="37" spans="1:5">
      <c r="A37" s="22">
        <v>11</v>
      </c>
      <c r="B37" s="22">
        <v>3</v>
      </c>
      <c r="C37" s="22">
        <v>33</v>
      </c>
      <c r="D37">
        <f>12.55-11</f>
        <v>1.5500000000000007</v>
      </c>
      <c r="E37">
        <f>B37*D37</f>
        <v>4.6500000000000021</v>
      </c>
    </row>
    <row r="38" spans="1:5">
      <c r="A38" s="22">
        <v>12</v>
      </c>
      <c r="B38" s="22">
        <v>8</v>
      </c>
      <c r="C38" s="22">
        <f>12*8</f>
        <v>96</v>
      </c>
      <c r="D38">
        <f>12.55-12</f>
        <v>0.55000000000000071</v>
      </c>
      <c r="E38">
        <f>B38*D38</f>
        <v>4.4000000000000057</v>
      </c>
    </row>
    <row r="39" spans="1:5">
      <c r="A39" s="22">
        <v>14</v>
      </c>
      <c r="B39" s="22">
        <v>3</v>
      </c>
      <c r="C39" s="22">
        <f>14*3</f>
        <v>42</v>
      </c>
      <c r="D39">
        <f>14-12.55</f>
        <v>1.4499999999999993</v>
      </c>
      <c r="E39">
        <f>B39*D39</f>
        <v>4.3499999999999979</v>
      </c>
    </row>
    <row r="40" spans="1:5">
      <c r="A40" s="22">
        <v>15</v>
      </c>
      <c r="B40" s="22">
        <v>4</v>
      </c>
      <c r="C40" s="22">
        <f>15*4</f>
        <v>60</v>
      </c>
      <c r="D40">
        <f>15-12.55</f>
        <v>2.4499999999999993</v>
      </c>
      <c r="E40">
        <f>B40*C40</f>
        <v>240</v>
      </c>
    </row>
    <row r="41" spans="1:5">
      <c r="A41" s="22"/>
      <c r="B41" s="23">
        <f>SUM(B36:B40)</f>
        <v>20</v>
      </c>
      <c r="C41" s="23">
        <f>SUM(C36:C40)</f>
        <v>251</v>
      </c>
      <c r="E41" s="23">
        <f>SUM(E36:E40)</f>
        <v>258.5</v>
      </c>
    </row>
    <row r="43" spans="1:5">
      <c r="B43" t="s">
        <v>147</v>
      </c>
      <c r="C43">
        <f>251/20</f>
        <v>12.55</v>
      </c>
    </row>
    <row r="45" spans="1:5">
      <c r="C45" t="s">
        <v>214</v>
      </c>
      <c r="D45" t="s">
        <v>297</v>
      </c>
    </row>
    <row r="46" spans="1:5">
      <c r="D46">
        <f>E41/B41</f>
        <v>12.925000000000001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8"/>
  <sheetViews>
    <sheetView topLeftCell="A70" workbookViewId="0">
      <selection activeCell="H95" sqref="H95"/>
    </sheetView>
  </sheetViews>
  <sheetFormatPr defaultRowHeight="14.4"/>
  <cols>
    <col min="2" max="2" width="15.44140625" customWidth="1"/>
    <col min="7" max="7" width="13.109375" customWidth="1"/>
    <col min="13" max="13" width="15.88671875" customWidth="1"/>
  </cols>
  <sheetData>
    <row r="1" spans="1:17">
      <c r="B1" s="23" t="s">
        <v>151</v>
      </c>
      <c r="G1" s="23" t="s">
        <v>159</v>
      </c>
      <c r="M1" s="23" t="s">
        <v>166</v>
      </c>
    </row>
    <row r="2" spans="1:17">
      <c r="A2" s="42"/>
      <c r="B2" s="43" t="s">
        <v>22</v>
      </c>
      <c r="C2" s="43" t="s">
        <v>152</v>
      </c>
      <c r="D2" s="42"/>
      <c r="G2" s="23" t="s">
        <v>22</v>
      </c>
      <c r="H2" s="23" t="s">
        <v>19</v>
      </c>
      <c r="I2" s="23" t="s">
        <v>160</v>
      </c>
      <c r="J2" s="23" t="s">
        <v>161</v>
      </c>
      <c r="M2" s="23" t="s">
        <v>22</v>
      </c>
      <c r="N2" s="23" t="s">
        <v>19</v>
      </c>
      <c r="O2" s="23" t="s">
        <v>143</v>
      </c>
      <c r="P2" s="23" t="s">
        <v>168</v>
      </c>
      <c r="Q2" s="23" t="s">
        <v>169</v>
      </c>
    </row>
    <row r="3" spans="1:17">
      <c r="A3" s="40"/>
      <c r="B3" s="40">
        <v>4</v>
      </c>
      <c r="C3" s="40">
        <v>16</v>
      </c>
      <c r="D3" s="40"/>
      <c r="G3" s="22">
        <v>4</v>
      </c>
      <c r="H3">
        <v>2</v>
      </c>
      <c r="I3">
        <v>8</v>
      </c>
      <c r="J3">
        <v>32</v>
      </c>
      <c r="M3" t="s">
        <v>76</v>
      </c>
      <c r="N3">
        <v>2</v>
      </c>
      <c r="O3">
        <v>5</v>
      </c>
      <c r="P3">
        <v>10</v>
      </c>
      <c r="Q3">
        <v>50</v>
      </c>
    </row>
    <row r="4" spans="1:17">
      <c r="A4" s="40"/>
      <c r="B4" s="40">
        <v>7</v>
      </c>
      <c r="C4" s="40">
        <v>49</v>
      </c>
      <c r="D4" s="40"/>
      <c r="G4" s="22">
        <v>7</v>
      </c>
      <c r="H4">
        <v>5</v>
      </c>
      <c r="I4">
        <v>35</v>
      </c>
      <c r="J4">
        <f>49*5</f>
        <v>245</v>
      </c>
      <c r="M4" s="25" t="s">
        <v>77</v>
      </c>
      <c r="N4">
        <v>4</v>
      </c>
      <c r="O4">
        <v>15</v>
      </c>
      <c r="P4">
        <v>60</v>
      </c>
      <c r="Q4">
        <f>4*225</f>
        <v>900</v>
      </c>
    </row>
    <row r="5" spans="1:17">
      <c r="A5" s="40"/>
      <c r="B5" s="40">
        <v>7</v>
      </c>
      <c r="C5" s="40">
        <v>49</v>
      </c>
      <c r="D5" s="40"/>
      <c r="G5" s="22">
        <v>7</v>
      </c>
      <c r="H5">
        <v>4</v>
      </c>
      <c r="I5">
        <v>28</v>
      </c>
      <c r="J5">
        <v>196</v>
      </c>
      <c r="M5" t="s">
        <v>78</v>
      </c>
      <c r="N5">
        <v>6</v>
      </c>
      <c r="O5">
        <v>25</v>
      </c>
      <c r="P5">
        <v>150</v>
      </c>
      <c r="Q5">
        <f>6*625</f>
        <v>3750</v>
      </c>
    </row>
    <row r="6" spans="1:17">
      <c r="A6" s="40"/>
      <c r="B6" s="40">
        <v>8</v>
      </c>
      <c r="C6" s="40">
        <v>64</v>
      </c>
      <c r="D6" s="40"/>
      <c r="G6" s="22">
        <v>8</v>
      </c>
      <c r="H6">
        <v>5</v>
      </c>
      <c r="I6">
        <v>40</v>
      </c>
      <c r="J6">
        <f>64*5</f>
        <v>320</v>
      </c>
      <c r="M6" t="s">
        <v>79</v>
      </c>
      <c r="N6">
        <v>8</v>
      </c>
      <c r="O6">
        <v>35</v>
      </c>
      <c r="P6">
        <v>280</v>
      </c>
      <c r="Q6">
        <f>8*35*35</f>
        <v>9800</v>
      </c>
    </row>
    <row r="7" spans="1:17">
      <c r="A7" s="40"/>
      <c r="B7" s="40">
        <v>10</v>
      </c>
      <c r="C7" s="40">
        <v>100</v>
      </c>
      <c r="D7" s="40"/>
      <c r="G7" s="22">
        <v>10</v>
      </c>
      <c r="H7">
        <v>3</v>
      </c>
      <c r="I7">
        <v>30</v>
      </c>
      <c r="J7">
        <v>300</v>
      </c>
      <c r="M7" t="s">
        <v>80</v>
      </c>
      <c r="N7">
        <v>4</v>
      </c>
      <c r="O7">
        <v>45</v>
      </c>
      <c r="P7">
        <v>180</v>
      </c>
      <c r="Q7">
        <f>4*45*45</f>
        <v>8100</v>
      </c>
    </row>
    <row r="8" spans="1:17">
      <c r="A8" s="40"/>
      <c r="B8" s="40">
        <v>12</v>
      </c>
      <c r="C8" s="40">
        <v>144</v>
      </c>
      <c r="D8" s="40"/>
      <c r="G8" s="22">
        <v>12</v>
      </c>
      <c r="H8">
        <v>6</v>
      </c>
      <c r="I8">
        <v>72</v>
      </c>
      <c r="J8">
        <f>144*6</f>
        <v>864</v>
      </c>
      <c r="M8" t="s">
        <v>167</v>
      </c>
      <c r="N8">
        <v>10</v>
      </c>
      <c r="O8">
        <v>55</v>
      </c>
      <c r="P8">
        <v>550</v>
      </c>
      <c r="Q8">
        <f>10*55*55</f>
        <v>30250</v>
      </c>
    </row>
    <row r="9" spans="1:17">
      <c r="A9" s="40"/>
      <c r="B9" s="40">
        <v>15</v>
      </c>
      <c r="C9" s="40">
        <v>225</v>
      </c>
      <c r="D9" s="40"/>
      <c r="G9" s="22">
        <v>15</v>
      </c>
      <c r="H9">
        <v>7</v>
      </c>
      <c r="I9">
        <v>105</v>
      </c>
      <c r="J9">
        <f>225*7</f>
        <v>1575</v>
      </c>
      <c r="M9" s="23" t="s">
        <v>146</v>
      </c>
      <c r="N9" s="23">
        <f>SUM(N3:N8)</f>
        <v>34</v>
      </c>
      <c r="P9" s="23">
        <f>SUM(P3:P8)</f>
        <v>1230</v>
      </c>
      <c r="Q9" s="23">
        <f>SUM(Q3:Q8)</f>
        <v>52850</v>
      </c>
    </row>
    <row r="10" spans="1:17">
      <c r="A10" s="40"/>
      <c r="B10" s="40">
        <v>19</v>
      </c>
      <c r="C10" s="40">
        <f>19*19</f>
        <v>361</v>
      </c>
      <c r="D10" s="40"/>
      <c r="G10" s="22">
        <v>19</v>
      </c>
      <c r="H10">
        <v>6</v>
      </c>
      <c r="I10">
        <v>114</v>
      </c>
      <c r="J10">
        <f>361*6</f>
        <v>2166</v>
      </c>
    </row>
    <row r="11" spans="1:17">
      <c r="A11" s="41" t="s">
        <v>146</v>
      </c>
      <c r="B11" s="41">
        <f>SUM(B3:B10)</f>
        <v>82</v>
      </c>
      <c r="C11" s="41">
        <f>SUM(C3:C10)</f>
        <v>1008</v>
      </c>
      <c r="D11" s="40"/>
      <c r="G11" s="23" t="s">
        <v>146</v>
      </c>
      <c r="H11" s="23">
        <f>SUM(H3:H10)</f>
        <v>38</v>
      </c>
      <c r="I11" s="23">
        <f>SUM(I3:I10)</f>
        <v>432</v>
      </c>
      <c r="J11" s="23">
        <f>SUM(J3:J10)</f>
        <v>5698</v>
      </c>
    </row>
    <row r="12" spans="1:17">
      <c r="A12" s="41" t="s">
        <v>91</v>
      </c>
      <c r="B12" s="40">
        <v>8</v>
      </c>
      <c r="C12" s="40"/>
      <c r="D12" s="40"/>
      <c r="N12" t="s">
        <v>91</v>
      </c>
      <c r="O12">
        <v>34</v>
      </c>
    </row>
    <row r="13" spans="1:17">
      <c r="A13" s="44"/>
      <c r="B13" s="44"/>
      <c r="C13" s="44"/>
      <c r="D13" s="44"/>
      <c r="H13" t="s">
        <v>172</v>
      </c>
      <c r="I13">
        <v>38</v>
      </c>
      <c r="M13" t="s">
        <v>170</v>
      </c>
      <c r="N13" t="s">
        <v>171</v>
      </c>
      <c r="O13">
        <v>52850</v>
      </c>
    </row>
    <row r="14" spans="1:17">
      <c r="A14" s="44"/>
      <c r="B14" s="45" t="s">
        <v>152</v>
      </c>
      <c r="C14" s="44"/>
      <c r="D14" s="44">
        <v>1008</v>
      </c>
      <c r="G14" t="s">
        <v>162</v>
      </c>
      <c r="H14" t="s">
        <v>163</v>
      </c>
      <c r="I14">
        <v>5698</v>
      </c>
      <c r="N14" t="s">
        <v>174</v>
      </c>
      <c r="O14">
        <f>52850/34</f>
        <v>1554.4117647058824</v>
      </c>
    </row>
    <row r="15" spans="1:17">
      <c r="A15" s="44"/>
      <c r="B15" s="45" t="s">
        <v>156</v>
      </c>
      <c r="C15" s="44" t="s">
        <v>157</v>
      </c>
      <c r="D15" s="44">
        <f>1008/8</f>
        <v>126</v>
      </c>
      <c r="H15" t="s">
        <v>173</v>
      </c>
      <c r="I15">
        <f>5698/38</f>
        <v>149.94736842105263</v>
      </c>
      <c r="N15" t="s">
        <v>175</v>
      </c>
      <c r="O15">
        <v>1230</v>
      </c>
    </row>
    <row r="16" spans="1:17">
      <c r="A16" s="44"/>
      <c r="B16" s="45" t="s">
        <v>153</v>
      </c>
      <c r="C16" s="44" t="s">
        <v>154</v>
      </c>
      <c r="D16" s="44">
        <f>(82/8)^2</f>
        <v>105.0625</v>
      </c>
      <c r="H16" t="s">
        <v>164</v>
      </c>
      <c r="I16">
        <v>432</v>
      </c>
      <c r="N16" t="s">
        <v>176</v>
      </c>
      <c r="O16">
        <f>(1230/34)^2</f>
        <v>1308.7370242214536</v>
      </c>
    </row>
    <row r="17" spans="1:17">
      <c r="A17" s="44"/>
      <c r="B17" s="44"/>
      <c r="C17" s="44"/>
      <c r="D17" s="44"/>
      <c r="H17" t="s">
        <v>165</v>
      </c>
      <c r="I17">
        <f>(432/38)^2</f>
        <v>129.2409972299169</v>
      </c>
    </row>
    <row r="18" spans="1:17">
      <c r="A18" s="44"/>
      <c r="B18" s="44"/>
      <c r="C18" s="44"/>
      <c r="D18" s="44"/>
    </row>
    <row r="19" spans="1:17">
      <c r="A19" s="44"/>
      <c r="B19" s="45" t="s">
        <v>155</v>
      </c>
      <c r="C19" s="44">
        <f>SQRT(126-105.0625)</f>
        <v>4.5757513044307814</v>
      </c>
      <c r="D19" s="44"/>
      <c r="H19" s="23" t="s">
        <v>155</v>
      </c>
      <c r="M19" s="23" t="s">
        <v>155</v>
      </c>
      <c r="N19">
        <f>SQRT(1554.412-1308.737)</f>
        <v>15.674023095555269</v>
      </c>
    </row>
    <row r="20" spans="1:17">
      <c r="A20" s="44"/>
      <c r="B20" s="45" t="s">
        <v>158</v>
      </c>
      <c r="C20" s="44"/>
      <c r="D20" s="44"/>
      <c r="I20">
        <f>SQRT(149.947-129.241)</f>
        <v>4.5503845991300551</v>
      </c>
    </row>
    <row r="22" spans="1:17">
      <c r="A22" s="23" t="s">
        <v>195</v>
      </c>
      <c r="B22" s="23" t="s">
        <v>22</v>
      </c>
      <c r="C22" s="23" t="s">
        <v>152</v>
      </c>
    </row>
    <row r="23" spans="1:17">
      <c r="B23" s="22">
        <v>12</v>
      </c>
      <c r="C23">
        <v>144</v>
      </c>
      <c r="G23" s="23" t="s">
        <v>22</v>
      </c>
      <c r="H23" s="23" t="s">
        <v>19</v>
      </c>
      <c r="I23" s="39" t="s">
        <v>160</v>
      </c>
      <c r="J23" s="23" t="s">
        <v>194</v>
      </c>
      <c r="M23" s="23" t="s">
        <v>22</v>
      </c>
      <c r="N23" s="23" t="s">
        <v>19</v>
      </c>
      <c r="O23" s="23" t="s">
        <v>143</v>
      </c>
      <c r="P23" s="23" t="s">
        <v>186</v>
      </c>
      <c r="Q23" s="23" t="s">
        <v>187</v>
      </c>
    </row>
    <row r="24" spans="1:17">
      <c r="B24" s="22">
        <v>17</v>
      </c>
      <c r="C24">
        <f>17*17</f>
        <v>289</v>
      </c>
      <c r="G24" s="22">
        <v>1</v>
      </c>
      <c r="H24" s="22">
        <v>3</v>
      </c>
      <c r="I24" s="22">
        <v>3</v>
      </c>
      <c r="J24">
        <f>3*1^2</f>
        <v>3</v>
      </c>
      <c r="M24" s="22" t="s">
        <v>178</v>
      </c>
      <c r="N24" s="22">
        <v>2</v>
      </c>
      <c r="O24">
        <v>1.5</v>
      </c>
      <c r="P24" s="22">
        <f>2*1.5</f>
        <v>3</v>
      </c>
      <c r="Q24">
        <f>2*1.5^2</f>
        <v>4.5</v>
      </c>
    </row>
    <row r="25" spans="1:17">
      <c r="B25" s="22">
        <v>20</v>
      </c>
      <c r="C25">
        <v>400</v>
      </c>
      <c r="G25" s="22">
        <v>2</v>
      </c>
      <c r="H25" s="23">
        <v>8</v>
      </c>
      <c r="I25" s="22">
        <v>16</v>
      </c>
      <c r="J25">
        <f>8*2^2</f>
        <v>32</v>
      </c>
      <c r="M25" s="22" t="s">
        <v>179</v>
      </c>
      <c r="N25" s="22">
        <v>3</v>
      </c>
      <c r="O25">
        <v>5.5</v>
      </c>
      <c r="P25" s="22">
        <v>16.5</v>
      </c>
      <c r="Q25">
        <f>3*5.5^2</f>
        <v>90.75</v>
      </c>
    </row>
    <row r="26" spans="1:17">
      <c r="B26" s="22">
        <v>24</v>
      </c>
      <c r="C26">
        <f>24*24</f>
        <v>576</v>
      </c>
      <c r="G26" s="22">
        <v>3</v>
      </c>
      <c r="H26" s="22">
        <v>5</v>
      </c>
      <c r="I26" s="22">
        <v>15</v>
      </c>
      <c r="J26">
        <f>5*9</f>
        <v>45</v>
      </c>
      <c r="M26" s="22" t="s">
        <v>180</v>
      </c>
      <c r="N26" s="22">
        <v>8</v>
      </c>
      <c r="O26">
        <v>9.5</v>
      </c>
      <c r="P26" s="22">
        <f>8*9.5</f>
        <v>76</v>
      </c>
      <c r="Q26">
        <f>8*9.5^2</f>
        <v>722</v>
      </c>
    </row>
    <row r="27" spans="1:17">
      <c r="B27" s="22">
        <v>25</v>
      </c>
      <c r="C27">
        <v>625</v>
      </c>
      <c r="G27" s="22">
        <v>4</v>
      </c>
      <c r="H27" s="23">
        <v>4</v>
      </c>
      <c r="I27" s="22">
        <v>16</v>
      </c>
      <c r="J27">
        <f>4*16</f>
        <v>64</v>
      </c>
      <c r="M27" s="22" t="s">
        <v>181</v>
      </c>
      <c r="N27" s="22">
        <v>3</v>
      </c>
      <c r="O27">
        <v>13.5</v>
      </c>
      <c r="P27" s="22">
        <f>13.5*3</f>
        <v>40.5</v>
      </c>
      <c r="Q27">
        <f>3*13.5^2</f>
        <v>546.75</v>
      </c>
    </row>
    <row r="28" spans="1:17">
      <c r="B28" s="22">
        <v>30</v>
      </c>
      <c r="C28">
        <v>900</v>
      </c>
      <c r="G28" s="22">
        <v>5</v>
      </c>
      <c r="H28" s="22">
        <v>2</v>
      </c>
      <c r="I28" s="22">
        <v>10</v>
      </c>
      <c r="J28">
        <f>2*25</f>
        <v>50</v>
      </c>
      <c r="M28" s="22" t="s">
        <v>182</v>
      </c>
      <c r="N28" s="22">
        <v>2</v>
      </c>
      <c r="O28">
        <v>17.5</v>
      </c>
      <c r="P28" s="22">
        <v>35</v>
      </c>
      <c r="Q28">
        <f>2*17.5^2</f>
        <v>612.5</v>
      </c>
    </row>
    <row r="29" spans="1:17">
      <c r="B29" s="22">
        <v>40</v>
      </c>
      <c r="C29">
        <v>1600</v>
      </c>
      <c r="G29" s="22">
        <v>6</v>
      </c>
      <c r="H29" s="23">
        <v>1</v>
      </c>
      <c r="I29" s="22">
        <v>6</v>
      </c>
      <c r="J29">
        <v>36</v>
      </c>
      <c r="M29" s="23" t="s">
        <v>146</v>
      </c>
      <c r="N29" s="23">
        <f>SUM(N24:N28)</f>
        <v>18</v>
      </c>
      <c r="P29" s="23">
        <f>SUM(P24:P28)</f>
        <v>171</v>
      </c>
      <c r="Q29" s="23">
        <f>SUM(Q24:Q28)</f>
        <v>1976.5</v>
      </c>
    </row>
    <row r="30" spans="1:17">
      <c r="B30" s="23">
        <f>SUM(B23:B29)</f>
        <v>168</v>
      </c>
      <c r="C30" s="23">
        <f>SUM(C23:C29)</f>
        <v>4534</v>
      </c>
      <c r="G30" s="22">
        <v>7</v>
      </c>
      <c r="H30" s="22">
        <v>1</v>
      </c>
      <c r="I30" s="22">
        <v>7</v>
      </c>
      <c r="J30">
        <v>49</v>
      </c>
    </row>
    <row r="31" spans="1:17">
      <c r="B31" s="22" t="s">
        <v>196</v>
      </c>
      <c r="G31" s="22"/>
      <c r="H31" s="23">
        <f>SUM(H24:H30)</f>
        <v>24</v>
      </c>
      <c r="I31" s="23">
        <f>SUM(I24:I30)</f>
        <v>73</v>
      </c>
      <c r="J31" s="23">
        <f>SUM(J24:J30)</f>
        <v>279</v>
      </c>
    </row>
    <row r="32" spans="1:17">
      <c r="B32" t="s">
        <v>152</v>
      </c>
      <c r="C32">
        <v>4534</v>
      </c>
      <c r="M32" t="s">
        <v>170</v>
      </c>
      <c r="N32" t="s">
        <v>91</v>
      </c>
      <c r="O32">
        <v>18</v>
      </c>
    </row>
    <row r="33" spans="1:17">
      <c r="B33" t="s">
        <v>156</v>
      </c>
      <c r="C33">
        <f>4534/7</f>
        <v>647.71428571428567</v>
      </c>
      <c r="H33" t="s">
        <v>91</v>
      </c>
      <c r="I33">
        <v>24</v>
      </c>
      <c r="N33" t="s">
        <v>171</v>
      </c>
      <c r="O33">
        <v>1976.5</v>
      </c>
    </row>
    <row r="34" spans="1:17">
      <c r="B34" t="s">
        <v>153</v>
      </c>
      <c r="C34">
        <f>(168/7)^2</f>
        <v>576</v>
      </c>
      <c r="H34" t="s">
        <v>171</v>
      </c>
      <c r="I34">
        <v>279</v>
      </c>
      <c r="N34" t="s">
        <v>174</v>
      </c>
      <c r="O34">
        <f>1976/18</f>
        <v>109.77777777777777</v>
      </c>
    </row>
    <row r="35" spans="1:17">
      <c r="H35" t="s">
        <v>174</v>
      </c>
      <c r="I35">
        <f>279/24</f>
        <v>11.625</v>
      </c>
      <c r="N35" t="s">
        <v>175</v>
      </c>
      <c r="O35">
        <v>171</v>
      </c>
    </row>
    <row r="36" spans="1:17">
      <c r="B36" t="s">
        <v>155</v>
      </c>
      <c r="C36">
        <f>SQRT(C33-C34)</f>
        <v>8.4684287630165294</v>
      </c>
      <c r="H36" t="s">
        <v>175</v>
      </c>
      <c r="I36">
        <v>73</v>
      </c>
      <c r="N36" t="s">
        <v>176</v>
      </c>
      <c r="O36">
        <f>(171/18)^2</f>
        <v>90.25</v>
      </c>
    </row>
    <row r="37" spans="1:17">
      <c r="H37" t="s">
        <v>176</v>
      </c>
      <c r="I37">
        <f>(73/24)^2</f>
        <v>9.2517361111111107</v>
      </c>
    </row>
    <row r="39" spans="1:17">
      <c r="A39" s="23" t="s">
        <v>197</v>
      </c>
      <c r="B39" s="23" t="s">
        <v>22</v>
      </c>
      <c r="C39" s="23" t="s">
        <v>152</v>
      </c>
      <c r="H39" s="23" t="s">
        <v>155</v>
      </c>
      <c r="M39" s="23" t="s">
        <v>155</v>
      </c>
      <c r="N39">
        <f>SQRT(109.7778-90.25)</f>
        <v>4.4190270422345233</v>
      </c>
    </row>
    <row r="40" spans="1:17">
      <c r="B40" s="22">
        <v>8</v>
      </c>
      <c r="C40">
        <v>64</v>
      </c>
      <c r="I40">
        <f>SQRT(11.625-9.251736)</f>
        <v>1.5405401650070669</v>
      </c>
    </row>
    <row r="41" spans="1:17">
      <c r="B41" s="22">
        <v>8</v>
      </c>
      <c r="C41">
        <v>64</v>
      </c>
      <c r="M41" s="23" t="s">
        <v>216</v>
      </c>
      <c r="N41" s="22"/>
    </row>
    <row r="42" spans="1:17">
      <c r="B42" s="22">
        <v>8</v>
      </c>
      <c r="C42">
        <v>64</v>
      </c>
      <c r="G42" s="23" t="s">
        <v>22</v>
      </c>
      <c r="H42" s="23" t="s">
        <v>19</v>
      </c>
      <c r="I42" s="23" t="s">
        <v>160</v>
      </c>
      <c r="J42" s="23" t="s">
        <v>194</v>
      </c>
      <c r="M42" s="23" t="s">
        <v>22</v>
      </c>
      <c r="N42" s="23" t="s">
        <v>19</v>
      </c>
      <c r="O42" s="23" t="s">
        <v>143</v>
      </c>
      <c r="P42" s="23" t="s">
        <v>186</v>
      </c>
      <c r="Q42" s="23" t="s">
        <v>187</v>
      </c>
    </row>
    <row r="43" spans="1:17">
      <c r="B43" s="22">
        <v>10</v>
      </c>
      <c r="C43">
        <v>100</v>
      </c>
      <c r="G43" s="22">
        <v>0</v>
      </c>
      <c r="H43" s="22">
        <v>2</v>
      </c>
      <c r="I43" s="22">
        <v>0</v>
      </c>
      <c r="J43">
        <v>0</v>
      </c>
      <c r="M43" s="22" t="s">
        <v>77</v>
      </c>
      <c r="N43" s="22">
        <v>3</v>
      </c>
      <c r="O43">
        <v>15</v>
      </c>
      <c r="P43" s="22">
        <v>45</v>
      </c>
      <c r="Q43">
        <f>3*225</f>
        <v>675</v>
      </c>
    </row>
    <row r="44" spans="1:17">
      <c r="B44" s="22">
        <v>11</v>
      </c>
      <c r="C44">
        <v>121</v>
      </c>
      <c r="G44" s="22">
        <v>1</v>
      </c>
      <c r="H44" s="22">
        <v>4</v>
      </c>
      <c r="I44" s="22">
        <v>4</v>
      </c>
      <c r="J44">
        <v>4</v>
      </c>
      <c r="M44" s="22" t="s">
        <v>78</v>
      </c>
      <c r="N44" s="22">
        <v>9</v>
      </c>
      <c r="O44">
        <v>25</v>
      </c>
      <c r="P44" s="22">
        <f>9*25</f>
        <v>225</v>
      </c>
      <c r="Q44">
        <f>9*625</f>
        <v>5625</v>
      </c>
    </row>
    <row r="45" spans="1:17">
      <c r="B45" s="22">
        <v>12</v>
      </c>
      <c r="C45">
        <v>144</v>
      </c>
      <c r="G45" s="22">
        <v>2</v>
      </c>
      <c r="H45" s="22">
        <v>7</v>
      </c>
      <c r="I45" s="22">
        <v>14</v>
      </c>
      <c r="J45">
        <f>7*4</f>
        <v>28</v>
      </c>
      <c r="M45" s="22" t="s">
        <v>79</v>
      </c>
      <c r="N45" s="22">
        <v>12</v>
      </c>
      <c r="O45">
        <v>35</v>
      </c>
      <c r="P45" s="22">
        <f>12*35</f>
        <v>420</v>
      </c>
      <c r="Q45">
        <f>12*35^2</f>
        <v>14700</v>
      </c>
    </row>
    <row r="46" spans="1:17">
      <c r="B46" s="22">
        <v>12</v>
      </c>
      <c r="C46">
        <v>144</v>
      </c>
      <c r="G46" s="22">
        <v>3</v>
      </c>
      <c r="H46" s="22">
        <v>4</v>
      </c>
      <c r="I46" s="22">
        <v>12</v>
      </c>
      <c r="J46">
        <f>4*9</f>
        <v>36</v>
      </c>
      <c r="M46" s="22" t="s">
        <v>80</v>
      </c>
      <c r="N46" s="22">
        <v>20</v>
      </c>
      <c r="O46">
        <v>45</v>
      </c>
      <c r="P46" s="22">
        <f>20*45</f>
        <v>900</v>
      </c>
      <c r="Q46">
        <f>20*45^2</f>
        <v>40500</v>
      </c>
    </row>
    <row r="47" spans="1:17">
      <c r="B47" s="22">
        <v>16</v>
      </c>
      <c r="C47">
        <f>16*16</f>
        <v>256</v>
      </c>
      <c r="G47" s="22">
        <v>4</v>
      </c>
      <c r="H47" s="22">
        <v>2</v>
      </c>
      <c r="I47" s="22">
        <v>8</v>
      </c>
      <c r="J47">
        <v>32</v>
      </c>
      <c r="M47" s="22" t="s">
        <v>167</v>
      </c>
      <c r="N47" s="22">
        <v>6</v>
      </c>
      <c r="O47">
        <v>55</v>
      </c>
      <c r="P47" s="22">
        <f>6*55</f>
        <v>330</v>
      </c>
      <c r="Q47">
        <f>6*55^2</f>
        <v>18150</v>
      </c>
    </row>
    <row r="48" spans="1:17">
      <c r="B48" s="22">
        <v>20</v>
      </c>
      <c r="C48">
        <v>400</v>
      </c>
      <c r="G48" s="22">
        <v>5</v>
      </c>
      <c r="H48" s="22">
        <v>0</v>
      </c>
      <c r="I48" s="22">
        <v>0</v>
      </c>
      <c r="J48">
        <v>0</v>
      </c>
      <c r="M48" s="22"/>
      <c r="N48" s="23">
        <f>SUM(N43:N47)</f>
        <v>50</v>
      </c>
      <c r="P48" s="23">
        <f>SUM(P43:P47)</f>
        <v>1920</v>
      </c>
      <c r="Q48" s="23">
        <f>SUM(Q43:Q47)</f>
        <v>79650</v>
      </c>
    </row>
    <row r="49" spans="1:17">
      <c r="B49" s="22">
        <v>20</v>
      </c>
      <c r="C49">
        <v>400</v>
      </c>
      <c r="G49" s="22">
        <v>6</v>
      </c>
      <c r="H49" s="22">
        <v>1</v>
      </c>
      <c r="I49" s="22">
        <v>6</v>
      </c>
      <c r="J49">
        <v>36</v>
      </c>
    </row>
    <row r="50" spans="1:17">
      <c r="B50" s="22">
        <v>24</v>
      </c>
      <c r="C50">
        <f>24*24</f>
        <v>576</v>
      </c>
      <c r="G50" s="22">
        <v>7</v>
      </c>
      <c r="H50" s="22">
        <v>8</v>
      </c>
      <c r="I50" s="22">
        <v>56</v>
      </c>
      <c r="J50">
        <f>8*49</f>
        <v>392</v>
      </c>
      <c r="N50" t="s">
        <v>170</v>
      </c>
      <c r="O50" t="s">
        <v>91</v>
      </c>
      <c r="P50">
        <v>50</v>
      </c>
    </row>
    <row r="51" spans="1:17">
      <c r="B51" s="23">
        <f>SUM(B40:B50)</f>
        <v>149</v>
      </c>
      <c r="C51" s="23">
        <f>SUM(C40:C50)</f>
        <v>2333</v>
      </c>
      <c r="G51" s="22">
        <v>8</v>
      </c>
      <c r="H51" s="22">
        <v>13</v>
      </c>
      <c r="I51" s="22">
        <v>104</v>
      </c>
      <c r="J51">
        <f>13*64</f>
        <v>832</v>
      </c>
      <c r="O51" t="s">
        <v>171</v>
      </c>
      <c r="P51">
        <v>79650</v>
      </c>
    </row>
    <row r="52" spans="1:17">
      <c r="B52" s="22" t="s">
        <v>198</v>
      </c>
      <c r="G52" s="22">
        <v>9</v>
      </c>
      <c r="H52" s="22">
        <v>7</v>
      </c>
      <c r="I52" s="22">
        <v>63</v>
      </c>
      <c r="J52">
        <f>7*81</f>
        <v>567</v>
      </c>
      <c r="O52" t="s">
        <v>174</v>
      </c>
      <c r="P52">
        <f>P51/P50</f>
        <v>1593</v>
      </c>
    </row>
    <row r="53" spans="1:17">
      <c r="B53" t="s">
        <v>152</v>
      </c>
      <c r="C53">
        <v>2333</v>
      </c>
      <c r="G53" s="22">
        <v>10</v>
      </c>
      <c r="H53" s="22">
        <v>2</v>
      </c>
      <c r="I53" s="22">
        <v>20</v>
      </c>
      <c r="J53">
        <v>200</v>
      </c>
      <c r="O53" t="s">
        <v>175</v>
      </c>
      <c r="P53">
        <v>1920</v>
      </c>
    </row>
    <row r="54" spans="1:17">
      <c r="B54" t="s">
        <v>156</v>
      </c>
      <c r="C54">
        <f>2333/11</f>
        <v>212.09090909090909</v>
      </c>
      <c r="G54" s="22"/>
      <c r="H54" s="23">
        <f>SUM(H43:H53)</f>
        <v>50</v>
      </c>
      <c r="I54" s="23">
        <f>SUM(I43:I53)</f>
        <v>287</v>
      </c>
      <c r="J54" s="23">
        <f>SUM(J43:J53)</f>
        <v>2127</v>
      </c>
      <c r="O54" t="s">
        <v>176</v>
      </c>
      <c r="P54">
        <f>(1920/50)^2</f>
        <v>1474.56</v>
      </c>
    </row>
    <row r="55" spans="1:17">
      <c r="B55" t="s">
        <v>153</v>
      </c>
      <c r="C55">
        <f>(149/11)^2</f>
        <v>183.47933884297518</v>
      </c>
    </row>
    <row r="56" spans="1:17">
      <c r="G56" t="s">
        <v>170</v>
      </c>
      <c r="H56" t="s">
        <v>91</v>
      </c>
      <c r="I56">
        <v>50</v>
      </c>
      <c r="M56" s="23" t="s">
        <v>155</v>
      </c>
      <c r="N56">
        <f>SQRT(P52-P54)</f>
        <v>10.883014288330235</v>
      </c>
    </row>
    <row r="57" spans="1:17">
      <c r="B57" t="s">
        <v>155</v>
      </c>
      <c r="C57">
        <f>SQRT(C54-C55)</f>
        <v>5.3489784303111483</v>
      </c>
      <c r="H57" t="s">
        <v>171</v>
      </c>
      <c r="I57">
        <v>2127</v>
      </c>
    </row>
    <row r="58" spans="1:17">
      <c r="H58" t="s">
        <v>174</v>
      </c>
      <c r="I58">
        <f>2127/50</f>
        <v>42.54</v>
      </c>
      <c r="M58" s="23" t="s">
        <v>220</v>
      </c>
      <c r="N58" s="22"/>
      <c r="O58" s="22"/>
      <c r="P58" s="22"/>
    </row>
    <row r="59" spans="1:17">
      <c r="A59" s="23" t="s">
        <v>199</v>
      </c>
      <c r="B59" s="23" t="s">
        <v>22</v>
      </c>
      <c r="C59" s="23" t="s">
        <v>152</v>
      </c>
      <c r="H59" t="s">
        <v>175</v>
      </c>
      <c r="I59">
        <v>287</v>
      </c>
      <c r="M59" s="23" t="s">
        <v>22</v>
      </c>
      <c r="N59" s="23" t="s">
        <v>19</v>
      </c>
      <c r="O59" s="23" t="s">
        <v>143</v>
      </c>
      <c r="P59" s="23" t="s">
        <v>186</v>
      </c>
      <c r="Q59" s="23" t="s">
        <v>187</v>
      </c>
    </row>
    <row r="60" spans="1:17">
      <c r="B60" s="22">
        <v>7.9</v>
      </c>
      <c r="C60">
        <f>7.9*7.9</f>
        <v>62.410000000000004</v>
      </c>
      <c r="H60" t="s">
        <v>176</v>
      </c>
      <c r="I60">
        <f>(287/50)^2</f>
        <v>32.947600000000001</v>
      </c>
      <c r="M60" s="22" t="s">
        <v>221</v>
      </c>
      <c r="N60" s="22">
        <v>12</v>
      </c>
      <c r="O60" s="22">
        <v>2</v>
      </c>
      <c r="P60" s="22">
        <v>24</v>
      </c>
      <c r="Q60">
        <v>48</v>
      </c>
    </row>
    <row r="61" spans="1:17">
      <c r="B61" s="22">
        <v>8.5</v>
      </c>
      <c r="C61">
        <f>8.5*8.5</f>
        <v>72.25</v>
      </c>
      <c r="M61" s="22" t="s">
        <v>222</v>
      </c>
      <c r="N61" s="22">
        <v>22</v>
      </c>
      <c r="O61" s="22">
        <v>4</v>
      </c>
      <c r="P61" s="22">
        <v>88</v>
      </c>
      <c r="Q61">
        <f>22*16</f>
        <v>352</v>
      </c>
    </row>
    <row r="62" spans="1:17">
      <c r="B62" s="22">
        <v>9.1</v>
      </c>
      <c r="C62">
        <f>9.1*9.1</f>
        <v>82.809999999999988</v>
      </c>
      <c r="G62" t="s">
        <v>155</v>
      </c>
      <c r="H62">
        <f>SQRT(I58-I60)</f>
        <v>3.0971599894096524</v>
      </c>
      <c r="M62" s="22" t="s">
        <v>223</v>
      </c>
      <c r="N62" s="22">
        <v>27</v>
      </c>
      <c r="O62" s="22">
        <v>6</v>
      </c>
      <c r="P62" s="22">
        <f>6*27</f>
        <v>162</v>
      </c>
      <c r="Q62">
        <f>27*36</f>
        <v>972</v>
      </c>
    </row>
    <row r="63" spans="1:17">
      <c r="B63" s="22">
        <v>9.1999999999999993</v>
      </c>
      <c r="C63">
        <f>9.2*9.2</f>
        <v>84.639999999999986</v>
      </c>
      <c r="M63" s="22" t="s">
        <v>224</v>
      </c>
      <c r="N63" s="22">
        <v>19</v>
      </c>
      <c r="O63" s="22">
        <v>8</v>
      </c>
      <c r="P63" s="22">
        <f>8*19</f>
        <v>152</v>
      </c>
      <c r="Q63">
        <f>19*64</f>
        <v>1216</v>
      </c>
    </row>
    <row r="64" spans="1:17">
      <c r="B64" s="22">
        <v>9.9</v>
      </c>
      <c r="C64">
        <f>9.9*9.9</f>
        <v>98.01</v>
      </c>
      <c r="G64" s="23" t="s">
        <v>22</v>
      </c>
      <c r="H64" s="23" t="s">
        <v>19</v>
      </c>
      <c r="I64" s="23" t="s">
        <v>160</v>
      </c>
      <c r="J64" s="23" t="s">
        <v>194</v>
      </c>
      <c r="M64" s="22"/>
      <c r="N64" s="23">
        <f>SUM(N60:N63)</f>
        <v>80</v>
      </c>
      <c r="O64" s="22"/>
      <c r="P64" s="23">
        <f>SUM(P60:P63)</f>
        <v>426</v>
      </c>
      <c r="Q64" s="23">
        <f>SUM(Q60:Q63)</f>
        <v>2588</v>
      </c>
    </row>
    <row r="65" spans="1:17">
      <c r="B65" s="22">
        <v>10</v>
      </c>
      <c r="C65">
        <v>100</v>
      </c>
      <c r="G65" s="22">
        <v>20</v>
      </c>
      <c r="H65" s="22">
        <v>6</v>
      </c>
      <c r="I65" s="22">
        <v>120</v>
      </c>
      <c r="J65">
        <f>6*400</f>
        <v>2400</v>
      </c>
    </row>
    <row r="66" spans="1:17">
      <c r="B66" s="22">
        <v>11.1</v>
      </c>
      <c r="C66">
        <f>11.1*11.1</f>
        <v>123.21</v>
      </c>
      <c r="G66" s="22">
        <v>21</v>
      </c>
      <c r="H66" s="22">
        <v>4</v>
      </c>
      <c r="I66" s="22">
        <v>84</v>
      </c>
      <c r="J66">
        <f>4*441</f>
        <v>1764</v>
      </c>
      <c r="N66" t="s">
        <v>170</v>
      </c>
      <c r="O66" t="s">
        <v>91</v>
      </c>
      <c r="P66">
        <v>80</v>
      </c>
    </row>
    <row r="67" spans="1:17">
      <c r="B67" s="22">
        <v>11.2</v>
      </c>
      <c r="C67">
        <f>11.2*11.2</f>
        <v>125.43999999999998</v>
      </c>
      <c r="G67" s="22">
        <v>22</v>
      </c>
      <c r="H67" s="22">
        <v>5</v>
      </c>
      <c r="I67" s="22">
        <v>110</v>
      </c>
      <c r="J67">
        <f>5*22*22</f>
        <v>2420</v>
      </c>
      <c r="O67" t="s">
        <v>171</v>
      </c>
      <c r="P67">
        <v>2588</v>
      </c>
    </row>
    <row r="68" spans="1:17">
      <c r="B68" s="22">
        <v>11.2</v>
      </c>
      <c r="C68">
        <f>C67</f>
        <v>125.43999999999998</v>
      </c>
      <c r="G68" s="22">
        <v>23</v>
      </c>
      <c r="H68" s="22">
        <v>1</v>
      </c>
      <c r="I68" s="22">
        <v>23</v>
      </c>
      <c r="J68">
        <f>1*23*23</f>
        <v>529</v>
      </c>
      <c r="O68" t="s">
        <v>174</v>
      </c>
      <c r="P68">
        <f>2588/80</f>
        <v>32.35</v>
      </c>
    </row>
    <row r="69" spans="1:17">
      <c r="B69" s="22">
        <v>12.6</v>
      </c>
      <c r="C69">
        <f>12.6*12.6</f>
        <v>158.76</v>
      </c>
      <c r="G69" s="22">
        <v>24</v>
      </c>
      <c r="H69" s="22">
        <v>4</v>
      </c>
      <c r="I69" s="22">
        <v>96</v>
      </c>
      <c r="J69">
        <f>4*24*24</f>
        <v>2304</v>
      </c>
      <c r="O69" t="s">
        <v>176</v>
      </c>
      <c r="P69">
        <f>(P64/N64)^2</f>
        <v>28.355625000000003</v>
      </c>
    </row>
    <row r="70" spans="1:17">
      <c r="B70" s="22">
        <v>12.9</v>
      </c>
      <c r="C70">
        <f>12.9*12.9</f>
        <v>166.41</v>
      </c>
      <c r="G70" s="22"/>
      <c r="H70" s="23">
        <f>SUM(H65:H69)</f>
        <v>20</v>
      </c>
      <c r="I70" s="23">
        <f>SUM(I65:I69)</f>
        <v>433</v>
      </c>
      <c r="J70" s="23">
        <f>SUM(J65:J69)</f>
        <v>9417</v>
      </c>
    </row>
    <row r="71" spans="1:17">
      <c r="B71" s="23">
        <f>SUM(B60:B70)</f>
        <v>113.60000000000001</v>
      </c>
      <c r="C71" s="23">
        <f>SUM(C60:C70)</f>
        <v>1199.3799999999999</v>
      </c>
      <c r="M71" s="23" t="s">
        <v>155</v>
      </c>
      <c r="N71">
        <f>SQRT(P68-P69)</f>
        <v>1.9985932552673138</v>
      </c>
    </row>
    <row r="72" spans="1:17">
      <c r="B72" s="22" t="s">
        <v>198</v>
      </c>
      <c r="G72" s="22" t="s">
        <v>170</v>
      </c>
      <c r="H72" s="22" t="s">
        <v>91</v>
      </c>
      <c r="I72">
        <v>20</v>
      </c>
    </row>
    <row r="73" spans="1:17">
      <c r="G73" s="22"/>
      <c r="H73" s="22" t="s">
        <v>171</v>
      </c>
      <c r="I73">
        <f>J70</f>
        <v>9417</v>
      </c>
    </row>
    <row r="74" spans="1:17">
      <c r="B74" t="s">
        <v>152</v>
      </c>
      <c r="C74">
        <v>1199.3800000000001</v>
      </c>
      <c r="G74" s="22"/>
      <c r="H74" s="22" t="s">
        <v>174</v>
      </c>
      <c r="I74">
        <f>I73/I72</f>
        <v>470.85</v>
      </c>
      <c r="M74" s="23" t="s">
        <v>22</v>
      </c>
      <c r="N74" s="23" t="s">
        <v>19</v>
      </c>
      <c r="O74" s="23" t="s">
        <v>143</v>
      </c>
      <c r="P74" s="23" t="s">
        <v>186</v>
      </c>
      <c r="Q74" s="23" t="s">
        <v>187</v>
      </c>
    </row>
    <row r="75" spans="1:17">
      <c r="B75" t="s">
        <v>156</v>
      </c>
      <c r="C75">
        <f>C74/11</f>
        <v>109.03454545454547</v>
      </c>
      <c r="G75" s="22"/>
      <c r="H75" s="22" t="s">
        <v>175</v>
      </c>
      <c r="I75">
        <f>I70</f>
        <v>433</v>
      </c>
      <c r="M75" s="22" t="s">
        <v>229</v>
      </c>
      <c r="N75" s="22">
        <v>7</v>
      </c>
      <c r="O75" s="22">
        <v>5</v>
      </c>
      <c r="P75" s="22">
        <v>35</v>
      </c>
      <c r="Q75">
        <f>7*25</f>
        <v>175</v>
      </c>
    </row>
    <row r="76" spans="1:17">
      <c r="B76" t="s">
        <v>153</v>
      </c>
      <c r="C76">
        <f>B71/11</f>
        <v>10.327272727272728</v>
      </c>
      <c r="G76" s="22"/>
      <c r="H76" s="22" t="s">
        <v>176</v>
      </c>
      <c r="I76">
        <f>(I70/I72)^2</f>
        <v>468.72249999999991</v>
      </c>
      <c r="M76" s="25" t="s">
        <v>77</v>
      </c>
      <c r="N76" s="22">
        <v>5</v>
      </c>
      <c r="O76" s="22">
        <v>15</v>
      </c>
      <c r="P76" s="22">
        <f>5*15</f>
        <v>75</v>
      </c>
      <c r="Q76">
        <f>5*225</f>
        <v>1125</v>
      </c>
    </row>
    <row r="77" spans="1:17">
      <c r="M77" s="22" t="s">
        <v>78</v>
      </c>
      <c r="N77" s="22">
        <v>6</v>
      </c>
      <c r="O77" s="22">
        <v>25</v>
      </c>
      <c r="P77" s="22">
        <v>150</v>
      </c>
      <c r="Q77">
        <f>6*625</f>
        <v>3750</v>
      </c>
    </row>
    <row r="78" spans="1:17">
      <c r="B78" t="s">
        <v>155</v>
      </c>
      <c r="C78">
        <f>SQRT(C75-C76)</f>
        <v>9.9351533821714462</v>
      </c>
      <c r="G78" t="s">
        <v>155</v>
      </c>
      <c r="H78">
        <f>SQRT(I74-I76)</f>
        <v>1.4585952145815204</v>
      </c>
      <c r="M78" s="22" t="s">
        <v>79</v>
      </c>
      <c r="N78" s="22">
        <v>12</v>
      </c>
      <c r="O78" s="22">
        <v>35</v>
      </c>
      <c r="P78" s="22">
        <f>12*35</f>
        <v>420</v>
      </c>
      <c r="Q78">
        <f>12*35^2</f>
        <v>14700</v>
      </c>
    </row>
    <row r="79" spans="1:17">
      <c r="M79" s="22" t="s">
        <v>80</v>
      </c>
      <c r="N79" s="22">
        <v>8</v>
      </c>
      <c r="O79" s="22">
        <v>45</v>
      </c>
      <c r="P79" s="22">
        <f>8*45</f>
        <v>360</v>
      </c>
      <c r="Q79">
        <f>8*45^2</f>
        <v>16200</v>
      </c>
    </row>
    <row r="80" spans="1:17">
      <c r="A80" t="s">
        <v>200</v>
      </c>
      <c r="B80" s="23" t="s">
        <v>22</v>
      </c>
      <c r="C80" s="23" t="s">
        <v>152</v>
      </c>
      <c r="G80" s="23" t="s">
        <v>22</v>
      </c>
      <c r="H80" s="23" t="s">
        <v>19</v>
      </c>
      <c r="I80" s="39" t="s">
        <v>160</v>
      </c>
      <c r="J80" s="23" t="s">
        <v>194</v>
      </c>
      <c r="M80" s="22" t="s">
        <v>167</v>
      </c>
      <c r="N80" s="22">
        <v>2</v>
      </c>
      <c r="O80" s="22">
        <v>55</v>
      </c>
      <c r="P80" s="22">
        <v>110</v>
      </c>
      <c r="Q80">
        <f>2*55^2</f>
        <v>6050</v>
      </c>
    </row>
    <row r="81" spans="2:17">
      <c r="B81" s="22">
        <v>403</v>
      </c>
      <c r="C81">
        <f>403*403</f>
        <v>162409</v>
      </c>
      <c r="G81" s="22">
        <v>10</v>
      </c>
      <c r="H81" s="22">
        <v>2</v>
      </c>
      <c r="I81" s="22">
        <v>20</v>
      </c>
      <c r="J81">
        <v>200</v>
      </c>
      <c r="M81" s="22"/>
      <c r="N81" s="23">
        <f>SUM(N75:N80)</f>
        <v>40</v>
      </c>
      <c r="O81" s="22"/>
      <c r="P81" s="23">
        <f>SUM(P75:P80)</f>
        <v>1150</v>
      </c>
      <c r="Q81" s="23">
        <f>SUM(Q75:Q80)</f>
        <v>42000</v>
      </c>
    </row>
    <row r="82" spans="2:17">
      <c r="B82" s="22">
        <v>405</v>
      </c>
      <c r="C82">
        <f>405*405</f>
        <v>164025</v>
      </c>
      <c r="G82" s="22">
        <v>11</v>
      </c>
      <c r="H82" s="22">
        <v>3</v>
      </c>
      <c r="I82" s="22">
        <v>33</v>
      </c>
      <c r="J82">
        <f>3*121</f>
        <v>363</v>
      </c>
    </row>
    <row r="83" spans="2:17">
      <c r="B83" s="22">
        <v>415</v>
      </c>
      <c r="C83">
        <f>415*415</f>
        <v>172225</v>
      </c>
      <c r="G83" s="22">
        <v>12</v>
      </c>
      <c r="H83" s="22">
        <v>8</v>
      </c>
      <c r="I83" s="22">
        <f>12*8</f>
        <v>96</v>
      </c>
      <c r="J83">
        <f>8*12*12</f>
        <v>1152</v>
      </c>
      <c r="N83" t="s">
        <v>170</v>
      </c>
      <c r="O83" t="s">
        <v>91</v>
      </c>
      <c r="P83">
        <v>80</v>
      </c>
    </row>
    <row r="84" spans="2:17">
      <c r="B84" s="22">
        <v>415</v>
      </c>
      <c r="C84">
        <f>415*415</f>
        <v>172225</v>
      </c>
      <c r="G84" s="22">
        <v>14</v>
      </c>
      <c r="H84" s="22">
        <v>3</v>
      </c>
      <c r="I84" s="22">
        <f>14*3</f>
        <v>42</v>
      </c>
      <c r="J84">
        <f>3*14*14</f>
        <v>588</v>
      </c>
      <c r="O84" t="s">
        <v>171</v>
      </c>
      <c r="P84">
        <v>42000</v>
      </c>
    </row>
    <row r="85" spans="2:17">
      <c r="B85" s="22">
        <v>419</v>
      </c>
      <c r="C85">
        <f>419*419</f>
        <v>175561</v>
      </c>
      <c r="G85" s="22">
        <v>15</v>
      </c>
      <c r="H85" s="22">
        <v>4</v>
      </c>
      <c r="I85" s="22">
        <f>15*4</f>
        <v>60</v>
      </c>
      <c r="J85">
        <f>15*15*4</f>
        <v>900</v>
      </c>
      <c r="O85" t="s">
        <v>174</v>
      </c>
      <c r="P85">
        <f>P84/P83</f>
        <v>525</v>
      </c>
    </row>
    <row r="86" spans="2:17">
      <c r="B86" s="22">
        <v>423</v>
      </c>
      <c r="C86">
        <f>423*423</f>
        <v>178929</v>
      </c>
      <c r="G86" s="22"/>
      <c r="H86" s="23">
        <f>SUM(H81:H85)</f>
        <v>20</v>
      </c>
      <c r="I86" s="23">
        <f>SUM(I81:I85)</f>
        <v>251</v>
      </c>
      <c r="J86" s="23">
        <f>SUM(J81:J85)</f>
        <v>3203</v>
      </c>
      <c r="O86" t="s">
        <v>176</v>
      </c>
      <c r="P86">
        <f>P81/N81</f>
        <v>28.75</v>
      </c>
    </row>
    <row r="87" spans="2:17">
      <c r="B87" s="22">
        <v>424</v>
      </c>
      <c r="C87">
        <f>424*424</f>
        <v>179776</v>
      </c>
    </row>
    <row r="88" spans="2:17">
      <c r="B88" s="22">
        <v>425</v>
      </c>
      <c r="C88">
        <f>425*425</f>
        <v>180625</v>
      </c>
      <c r="G88" s="22" t="s">
        <v>170</v>
      </c>
      <c r="H88" s="22" t="s">
        <v>91</v>
      </c>
      <c r="I88">
        <v>20</v>
      </c>
      <c r="M88" s="23" t="s">
        <v>155</v>
      </c>
      <c r="N88">
        <f>SQRT(P85-P86)</f>
        <v>22.276669409945463</v>
      </c>
    </row>
    <row r="89" spans="2:17">
      <c r="B89" s="22">
        <v>427</v>
      </c>
      <c r="C89">
        <f>427*427</f>
        <v>182329</v>
      </c>
      <c r="G89" s="22"/>
      <c r="H89" s="22" t="s">
        <v>171</v>
      </c>
      <c r="I89">
        <f>J86</f>
        <v>3203</v>
      </c>
    </row>
    <row r="90" spans="2:17">
      <c r="B90" s="22">
        <v>427</v>
      </c>
      <c r="C90">
        <f>C89</f>
        <v>182329</v>
      </c>
      <c r="G90" s="22"/>
      <c r="H90" s="22" t="s">
        <v>174</v>
      </c>
      <c r="I90">
        <f>J86/H86</f>
        <v>160.15</v>
      </c>
      <c r="M90" s="23" t="s">
        <v>22</v>
      </c>
      <c r="N90" s="23" t="s">
        <v>19</v>
      </c>
      <c r="O90" s="23" t="s">
        <v>143</v>
      </c>
      <c r="P90" s="23" t="s">
        <v>186</v>
      </c>
      <c r="Q90" s="23" t="s">
        <v>187</v>
      </c>
    </row>
    <row r="91" spans="2:17">
      <c r="B91" s="22">
        <v>428</v>
      </c>
      <c r="C91">
        <f>428*428</f>
        <v>183184</v>
      </c>
      <c r="G91" s="22"/>
      <c r="H91" s="22" t="s">
        <v>175</v>
      </c>
      <c r="I91">
        <f>I86</f>
        <v>251</v>
      </c>
      <c r="M91" s="22" t="s">
        <v>235</v>
      </c>
      <c r="N91" s="22">
        <v>6</v>
      </c>
      <c r="O91" s="22">
        <v>30</v>
      </c>
      <c r="P91" s="22">
        <v>180</v>
      </c>
      <c r="Q91">
        <f>6*900</f>
        <v>5400</v>
      </c>
    </row>
    <row r="92" spans="2:17">
      <c r="B92" s="22">
        <v>429</v>
      </c>
      <c r="C92">
        <f>429*429</f>
        <v>184041</v>
      </c>
      <c r="G92" s="22"/>
      <c r="H92" s="22" t="s">
        <v>176</v>
      </c>
      <c r="I92">
        <f>(I86/H86)^2</f>
        <v>157.50250000000003</v>
      </c>
      <c r="M92" s="22" t="s">
        <v>236</v>
      </c>
      <c r="N92" s="22">
        <v>10</v>
      </c>
      <c r="O92" s="22">
        <v>40</v>
      </c>
      <c r="P92" s="22">
        <v>400</v>
      </c>
      <c r="Q92">
        <f>10*1600</f>
        <v>16000</v>
      </c>
    </row>
    <row r="93" spans="2:17">
      <c r="B93" s="22">
        <v>430</v>
      </c>
      <c r="C93">
        <f>430*430</f>
        <v>184900</v>
      </c>
      <c r="M93" s="22" t="s">
        <v>237</v>
      </c>
      <c r="N93" s="22">
        <v>8</v>
      </c>
      <c r="O93" s="22">
        <v>50</v>
      </c>
      <c r="P93" s="22">
        <v>400</v>
      </c>
      <c r="Q93">
        <f>8*2500</f>
        <v>20000</v>
      </c>
    </row>
    <row r="94" spans="2:17">
      <c r="B94" s="22">
        <v>433</v>
      </c>
      <c r="C94">
        <f>433*433</f>
        <v>187489</v>
      </c>
      <c r="G94" t="s">
        <v>155</v>
      </c>
      <c r="H94">
        <f>SQRT(I90-I92)</f>
        <v>1.6271140095272918</v>
      </c>
      <c r="M94" s="22" t="s">
        <v>238</v>
      </c>
      <c r="N94" s="22">
        <v>12</v>
      </c>
      <c r="O94" s="22">
        <v>60</v>
      </c>
      <c r="P94" s="22">
        <f>12*60</f>
        <v>720</v>
      </c>
      <c r="Q94">
        <f>12*3600</f>
        <v>43200</v>
      </c>
    </row>
    <row r="95" spans="2:17">
      <c r="B95" s="22">
        <v>435</v>
      </c>
      <c r="C95">
        <f>435*435</f>
        <v>189225</v>
      </c>
      <c r="M95" s="22" t="s">
        <v>239</v>
      </c>
      <c r="N95" s="22">
        <v>4</v>
      </c>
      <c r="O95" s="22">
        <v>70</v>
      </c>
      <c r="P95" s="22">
        <v>280</v>
      </c>
      <c r="Q95">
        <f>4*4900</f>
        <v>19600</v>
      </c>
    </row>
    <row r="96" spans="2:17">
      <c r="B96" s="22">
        <v>440</v>
      </c>
      <c r="C96">
        <f>440*440</f>
        <v>193600</v>
      </c>
      <c r="M96" s="22"/>
      <c r="N96" s="23">
        <f>SUM(N91:N95)</f>
        <v>40</v>
      </c>
      <c r="O96" s="22"/>
      <c r="P96" s="23">
        <f>SUM(P91:P95)</f>
        <v>1980</v>
      </c>
      <c r="Q96" s="23">
        <f>SUM(Q91:Q95)</f>
        <v>104200</v>
      </c>
    </row>
    <row r="97" spans="2:17">
      <c r="B97" s="22">
        <v>441</v>
      </c>
      <c r="C97">
        <f>441*441</f>
        <v>194481</v>
      </c>
    </row>
    <row r="98" spans="2:17">
      <c r="B98" s="22">
        <v>442</v>
      </c>
      <c r="C98">
        <f>442*442</f>
        <v>195364</v>
      </c>
      <c r="N98" t="s">
        <v>170</v>
      </c>
      <c r="O98" t="s">
        <v>91</v>
      </c>
      <c r="P98">
        <v>40</v>
      </c>
    </row>
    <row r="99" spans="2:17">
      <c r="B99" s="22">
        <v>445</v>
      </c>
      <c r="C99">
        <f>445*445</f>
        <v>198025</v>
      </c>
      <c r="O99" t="s">
        <v>171</v>
      </c>
      <c r="P99">
        <v>104200</v>
      </c>
    </row>
    <row r="100" spans="2:17">
      <c r="B100" s="22">
        <v>446</v>
      </c>
      <c r="C100">
        <f>446*446</f>
        <v>198916</v>
      </c>
      <c r="O100" t="s">
        <v>174</v>
      </c>
      <c r="P100">
        <f>P99/P98</f>
        <v>2605</v>
      </c>
    </row>
    <row r="101" spans="2:17">
      <c r="B101" s="22">
        <v>448</v>
      </c>
      <c r="C101">
        <f>448*448</f>
        <v>200704</v>
      </c>
      <c r="O101" s="22" t="s">
        <v>176</v>
      </c>
      <c r="P101">
        <f>(P96/N96)^2</f>
        <v>2450.25</v>
      </c>
    </row>
    <row r="102" spans="2:17">
      <c r="B102" s="23">
        <f>SUM(B81:B101)</f>
        <v>9000</v>
      </c>
      <c r="C102" s="23">
        <f>SUM(C81:C101)</f>
        <v>3860362</v>
      </c>
    </row>
    <row r="103" spans="2:17">
      <c r="B103" t="s">
        <v>201</v>
      </c>
      <c r="M103" s="23" t="s">
        <v>155</v>
      </c>
      <c r="N103">
        <f>SQRT(P100-P101)</f>
        <v>12.439855304624729</v>
      </c>
    </row>
    <row r="104" spans="2:17">
      <c r="B104" t="s">
        <v>152</v>
      </c>
      <c r="C104">
        <f>C102</f>
        <v>3860362</v>
      </c>
    </row>
    <row r="105" spans="2:17">
      <c r="B105" s="22" t="s">
        <v>156</v>
      </c>
      <c r="C105">
        <f>C104/20</f>
        <v>193018.1</v>
      </c>
      <c r="M105" s="23" t="s">
        <v>22</v>
      </c>
      <c r="N105" s="23" t="s">
        <v>19</v>
      </c>
      <c r="O105" s="23" t="s">
        <v>143</v>
      </c>
      <c r="P105" s="23" t="s">
        <v>186</v>
      </c>
      <c r="Q105" s="23" t="s">
        <v>187</v>
      </c>
    </row>
    <row r="106" spans="2:17">
      <c r="B106" t="s">
        <v>153</v>
      </c>
      <c r="C106">
        <f>(9000/20)^2</f>
        <v>202500</v>
      </c>
      <c r="M106" s="22" t="s">
        <v>245</v>
      </c>
      <c r="N106" s="22">
        <v>6</v>
      </c>
      <c r="O106" s="22">
        <v>50</v>
      </c>
      <c r="P106" s="22">
        <v>300</v>
      </c>
      <c r="Q106">
        <f>6*2500</f>
        <v>15000</v>
      </c>
    </row>
    <row r="107" spans="2:17">
      <c r="M107" s="22" t="s">
        <v>246</v>
      </c>
      <c r="N107" s="22">
        <v>9</v>
      </c>
      <c r="O107" s="22">
        <v>150</v>
      </c>
      <c r="P107" s="22">
        <v>1350</v>
      </c>
      <c r="Q107">
        <f>9*22500</f>
        <v>202500</v>
      </c>
    </row>
    <row r="108" spans="2:17">
      <c r="B108" t="s">
        <v>155</v>
      </c>
      <c r="C108" t="e">
        <f>SQRT(C105-C106)</f>
        <v>#NUM!</v>
      </c>
      <c r="M108" s="22" t="s">
        <v>247</v>
      </c>
      <c r="N108" s="22">
        <v>15</v>
      </c>
      <c r="O108" s="22">
        <v>250</v>
      </c>
      <c r="P108" s="22">
        <f>15*250</f>
        <v>3750</v>
      </c>
      <c r="Q108">
        <f>15*62500</f>
        <v>937500</v>
      </c>
    </row>
    <row r="109" spans="2:17">
      <c r="M109" s="22" t="s">
        <v>248</v>
      </c>
      <c r="N109" s="22">
        <v>12</v>
      </c>
      <c r="O109" s="22">
        <v>350</v>
      </c>
      <c r="P109" s="22">
        <f>12*350</f>
        <v>4200</v>
      </c>
      <c r="Q109">
        <f>12*122500</f>
        <v>1470000</v>
      </c>
    </row>
    <row r="110" spans="2:17">
      <c r="M110" s="22" t="s">
        <v>249</v>
      </c>
      <c r="N110" s="22">
        <v>8</v>
      </c>
      <c r="O110" s="22">
        <v>450</v>
      </c>
      <c r="P110" s="22">
        <f>8*450</f>
        <v>3600</v>
      </c>
      <c r="Q110">
        <f>8*202500</f>
        <v>1620000</v>
      </c>
    </row>
    <row r="111" spans="2:17">
      <c r="M111" s="22"/>
      <c r="N111" s="23">
        <f>SUM(N106:N110)</f>
        <v>50</v>
      </c>
      <c r="O111" s="22"/>
      <c r="P111" s="23">
        <f>SUM(P106:P110)</f>
        <v>13200</v>
      </c>
      <c r="Q111" s="23">
        <f>SUM(Q106:Q110)</f>
        <v>4245000</v>
      </c>
    </row>
    <row r="113" spans="13:17">
      <c r="N113" s="22" t="s">
        <v>170</v>
      </c>
      <c r="O113" s="22" t="s">
        <v>91</v>
      </c>
      <c r="P113">
        <v>50</v>
      </c>
    </row>
    <row r="114" spans="13:17">
      <c r="N114" s="22"/>
      <c r="O114" s="22" t="s">
        <v>171</v>
      </c>
      <c r="P114">
        <f>Q111</f>
        <v>4245000</v>
      </c>
    </row>
    <row r="115" spans="13:17">
      <c r="N115" s="22"/>
      <c r="O115" s="22" t="s">
        <v>174</v>
      </c>
      <c r="P115">
        <f>Q111/N111</f>
        <v>84900</v>
      </c>
    </row>
    <row r="116" spans="13:17">
      <c r="N116" s="22"/>
      <c r="O116" s="22" t="s">
        <v>176</v>
      </c>
      <c r="P116">
        <f>(P111/N111)^2</f>
        <v>69696</v>
      </c>
    </row>
    <row r="118" spans="13:17">
      <c r="M118" s="23" t="s">
        <v>155</v>
      </c>
      <c r="N118">
        <f>SQRT(P115-P116)</f>
        <v>123.30450113438681</v>
      </c>
    </row>
    <row r="120" spans="13:17">
      <c r="M120" s="23" t="s">
        <v>22</v>
      </c>
      <c r="N120" s="23" t="s">
        <v>19</v>
      </c>
      <c r="O120" s="23" t="s">
        <v>143</v>
      </c>
      <c r="P120" s="23" t="s">
        <v>186</v>
      </c>
      <c r="Q120" s="23" t="s">
        <v>187</v>
      </c>
    </row>
    <row r="121" spans="13:17">
      <c r="M121" s="22" t="s">
        <v>254</v>
      </c>
      <c r="N121" s="22">
        <v>8</v>
      </c>
      <c r="O121" s="22">
        <v>87</v>
      </c>
      <c r="P121" s="22">
        <f>8*87</f>
        <v>696</v>
      </c>
      <c r="Q121">
        <f>8*87*87</f>
        <v>60552</v>
      </c>
    </row>
    <row r="122" spans="13:17">
      <c r="M122" s="22" t="s">
        <v>255</v>
      </c>
      <c r="N122" s="22">
        <v>10</v>
      </c>
      <c r="O122" s="22">
        <v>93</v>
      </c>
      <c r="P122" s="22">
        <v>930</v>
      </c>
      <c r="Q122">
        <f>10*93*93</f>
        <v>86490</v>
      </c>
    </row>
    <row r="123" spans="13:17">
      <c r="M123" s="22" t="s">
        <v>256</v>
      </c>
      <c r="N123" s="22">
        <v>16</v>
      </c>
      <c r="O123" s="22">
        <v>99</v>
      </c>
      <c r="P123" s="22">
        <f>16*99</f>
        <v>1584</v>
      </c>
      <c r="Q123">
        <f>16*99*99</f>
        <v>156816</v>
      </c>
    </row>
    <row r="124" spans="13:17">
      <c r="M124" s="22" t="s">
        <v>257</v>
      </c>
      <c r="N124" s="22">
        <v>23</v>
      </c>
      <c r="O124" s="22">
        <v>105</v>
      </c>
      <c r="P124" s="22">
        <f>23*105</f>
        <v>2415</v>
      </c>
      <c r="Q124">
        <f>23*105*105</f>
        <v>253575</v>
      </c>
    </row>
    <row r="125" spans="13:17">
      <c r="M125" s="22" t="s">
        <v>258</v>
      </c>
      <c r="N125" s="22">
        <v>12</v>
      </c>
      <c r="O125" s="22">
        <v>111</v>
      </c>
      <c r="P125" s="22">
        <f>12*111</f>
        <v>1332</v>
      </c>
      <c r="Q125">
        <f>12*111*111</f>
        <v>147852</v>
      </c>
    </row>
    <row r="126" spans="13:17">
      <c r="M126" s="22" t="s">
        <v>259</v>
      </c>
      <c r="N126" s="22">
        <v>11</v>
      </c>
      <c r="O126" s="22">
        <v>117</v>
      </c>
      <c r="P126" s="22">
        <f>11*117</f>
        <v>1287</v>
      </c>
      <c r="Q126">
        <f>11*117*117</f>
        <v>150579</v>
      </c>
    </row>
    <row r="127" spans="13:17">
      <c r="M127" s="22"/>
      <c r="N127" s="23">
        <f>SUM(N121:N126)</f>
        <v>80</v>
      </c>
      <c r="O127" s="22"/>
      <c r="P127" s="23">
        <f>SUM(P121:P126)</f>
        <v>8244</v>
      </c>
      <c r="Q127" s="23">
        <f>SUM(Q121:Q126)</f>
        <v>855864</v>
      </c>
    </row>
    <row r="129" spans="13:17">
      <c r="N129" s="22" t="s">
        <v>170</v>
      </c>
      <c r="O129" s="22" t="s">
        <v>91</v>
      </c>
      <c r="P129">
        <v>80</v>
      </c>
    </row>
    <row r="130" spans="13:17">
      <c r="N130" s="22"/>
      <c r="O130" s="22" t="s">
        <v>171</v>
      </c>
      <c r="P130">
        <f>Q127</f>
        <v>855864</v>
      </c>
    </row>
    <row r="131" spans="13:17">
      <c r="N131" s="22"/>
      <c r="O131" s="22" t="s">
        <v>174</v>
      </c>
      <c r="P131">
        <f>Q127/P129</f>
        <v>10698.3</v>
      </c>
    </row>
    <row r="132" spans="13:17">
      <c r="N132" s="22"/>
      <c r="O132" s="22" t="s">
        <v>176</v>
      </c>
      <c r="P132">
        <f>(P127/P129)^2</f>
        <v>10619.3025</v>
      </c>
    </row>
    <row r="134" spans="13:17">
      <c r="M134" s="23" t="s">
        <v>155</v>
      </c>
      <c r="N134">
        <f>SQRT(P131-P132)</f>
        <v>8.8880537802152997</v>
      </c>
    </row>
    <row r="136" spans="13:17">
      <c r="M136" s="23"/>
      <c r="N136" s="22"/>
    </row>
    <row r="137" spans="13:17">
      <c r="M137" s="23" t="s">
        <v>22</v>
      </c>
      <c r="N137" s="23" t="s">
        <v>19</v>
      </c>
      <c r="O137" s="23" t="s">
        <v>143</v>
      </c>
      <c r="P137" s="23" t="s">
        <v>186</v>
      </c>
      <c r="Q137" s="23" t="s">
        <v>187</v>
      </c>
    </row>
    <row r="138" spans="13:17">
      <c r="M138" s="22" t="s">
        <v>229</v>
      </c>
      <c r="N138" s="22">
        <v>20</v>
      </c>
      <c r="O138" s="22">
        <v>5</v>
      </c>
      <c r="P138" s="22">
        <v>100</v>
      </c>
      <c r="Q138">
        <f>20*25</f>
        <v>500</v>
      </c>
    </row>
    <row r="139" spans="13:17">
      <c r="M139" s="22" t="s">
        <v>77</v>
      </c>
      <c r="N139" s="22">
        <v>24</v>
      </c>
      <c r="O139" s="22">
        <v>15</v>
      </c>
      <c r="P139" s="22">
        <f>24*15</f>
        <v>360</v>
      </c>
      <c r="Q139">
        <f>24*225</f>
        <v>5400</v>
      </c>
    </row>
    <row r="140" spans="13:17">
      <c r="M140" s="22" t="s">
        <v>78</v>
      </c>
      <c r="N140" s="22">
        <v>40</v>
      </c>
      <c r="O140" s="22">
        <v>25</v>
      </c>
      <c r="P140" s="22">
        <f>40*25</f>
        <v>1000</v>
      </c>
      <c r="Q140">
        <f>40*625</f>
        <v>25000</v>
      </c>
    </row>
    <row r="141" spans="13:17">
      <c r="M141" s="22" t="s">
        <v>79</v>
      </c>
      <c r="N141" s="22">
        <v>36</v>
      </c>
      <c r="O141" s="22">
        <v>35</v>
      </c>
      <c r="P141" s="22">
        <f>36*35</f>
        <v>1260</v>
      </c>
      <c r="Q141">
        <f>35*1225</f>
        <v>42875</v>
      </c>
    </row>
    <row r="142" spans="13:17">
      <c r="M142" s="22" t="s">
        <v>80</v>
      </c>
      <c r="N142" s="22">
        <v>20</v>
      </c>
      <c r="O142" s="22">
        <v>45</v>
      </c>
      <c r="P142" s="22">
        <f>20*45</f>
        <v>900</v>
      </c>
      <c r="Q142">
        <f>20*2025</f>
        <v>40500</v>
      </c>
    </row>
    <row r="143" spans="13:17">
      <c r="M143" s="22"/>
      <c r="N143" s="23">
        <f>SUM(N138:N142)</f>
        <v>140</v>
      </c>
      <c r="O143" s="22"/>
      <c r="P143" s="23">
        <f>SUM(P138:P142)</f>
        <v>3620</v>
      </c>
      <c r="Q143" s="23">
        <f>SUM(Q138:Q142)</f>
        <v>114275</v>
      </c>
    </row>
    <row r="145" spans="13:17">
      <c r="N145" s="22" t="s">
        <v>170</v>
      </c>
      <c r="O145" s="22" t="s">
        <v>91</v>
      </c>
      <c r="P145">
        <v>140</v>
      </c>
    </row>
    <row r="146" spans="13:17">
      <c r="N146" s="22"/>
      <c r="O146" s="22" t="s">
        <v>171</v>
      </c>
      <c r="P146">
        <f>Q143</f>
        <v>114275</v>
      </c>
    </row>
    <row r="147" spans="13:17">
      <c r="N147" s="22"/>
      <c r="O147" s="22" t="s">
        <v>174</v>
      </c>
      <c r="P147">
        <f>P146/P145</f>
        <v>816.25</v>
      </c>
    </row>
    <row r="148" spans="13:17">
      <c r="N148" s="22"/>
      <c r="O148" s="22" t="s">
        <v>176</v>
      </c>
      <c r="P148">
        <f>(P143/P145)^2</f>
        <v>668.59183673469386</v>
      </c>
    </row>
    <row r="150" spans="13:17">
      <c r="M150" s="23" t="s">
        <v>155</v>
      </c>
      <c r="N150">
        <f>SQRT(P147-P148)</f>
        <v>12.151467535458675</v>
      </c>
    </row>
    <row r="152" spans="13:17">
      <c r="M152" s="23" t="s">
        <v>22</v>
      </c>
      <c r="N152" s="23" t="s">
        <v>19</v>
      </c>
      <c r="O152" s="23" t="s">
        <v>143</v>
      </c>
      <c r="P152" s="23" t="s">
        <v>186</v>
      </c>
      <c r="Q152" s="23" t="s">
        <v>187</v>
      </c>
    </row>
    <row r="153" spans="13:17">
      <c r="M153" s="22" t="s">
        <v>268</v>
      </c>
      <c r="N153" s="22">
        <v>4</v>
      </c>
      <c r="O153" s="22">
        <v>27</v>
      </c>
      <c r="P153" s="22">
        <f>4*27</f>
        <v>108</v>
      </c>
      <c r="Q153">
        <f>4*27*27</f>
        <v>2916</v>
      </c>
    </row>
    <row r="154" spans="13:17">
      <c r="M154" s="22" t="s">
        <v>269</v>
      </c>
      <c r="N154" s="22">
        <v>14</v>
      </c>
      <c r="O154" s="22">
        <v>32</v>
      </c>
      <c r="P154" s="22">
        <f>14*32</f>
        <v>448</v>
      </c>
      <c r="Q154">
        <f>14*32*32</f>
        <v>14336</v>
      </c>
    </row>
    <row r="155" spans="13:17">
      <c r="M155" s="22" t="s">
        <v>270</v>
      </c>
      <c r="N155" s="22">
        <v>22</v>
      </c>
      <c r="O155" s="22">
        <v>37</v>
      </c>
      <c r="P155" s="22">
        <f>22*37</f>
        <v>814</v>
      </c>
      <c r="Q155">
        <f>22*37*37</f>
        <v>30118</v>
      </c>
    </row>
    <row r="156" spans="13:17">
      <c r="M156" s="22" t="s">
        <v>271</v>
      </c>
      <c r="N156" s="22">
        <v>16</v>
      </c>
      <c r="O156" s="22">
        <v>42</v>
      </c>
      <c r="P156" s="22">
        <f>16*42</f>
        <v>672</v>
      </c>
      <c r="Q156">
        <f>16*42*42</f>
        <v>28224</v>
      </c>
    </row>
    <row r="157" spans="13:17">
      <c r="M157" s="22" t="s">
        <v>272</v>
      </c>
      <c r="N157" s="22">
        <v>6</v>
      </c>
      <c r="O157" s="22">
        <v>47</v>
      </c>
      <c r="P157" s="22">
        <f>6*47</f>
        <v>282</v>
      </c>
      <c r="Q157">
        <f>6*47*47</f>
        <v>13254</v>
      </c>
    </row>
    <row r="158" spans="13:17">
      <c r="M158" s="22" t="s">
        <v>273</v>
      </c>
      <c r="N158" s="22">
        <v>5</v>
      </c>
      <c r="O158" s="22">
        <v>52</v>
      </c>
      <c r="P158" s="22">
        <f>5*52</f>
        <v>260</v>
      </c>
      <c r="Q158">
        <f>5*52*52</f>
        <v>13520</v>
      </c>
    </row>
    <row r="159" spans="13:17">
      <c r="M159" s="22" t="s">
        <v>274</v>
      </c>
      <c r="N159" s="22">
        <v>3</v>
      </c>
      <c r="O159" s="22">
        <v>57</v>
      </c>
      <c r="P159" s="22">
        <f>3*57</f>
        <v>171</v>
      </c>
      <c r="Q159">
        <f>3*57*57</f>
        <v>9747</v>
      </c>
    </row>
    <row r="160" spans="13:17">
      <c r="M160" s="22"/>
      <c r="N160" s="23">
        <f>SUM(N153:N159)</f>
        <v>70</v>
      </c>
      <c r="O160" s="22"/>
      <c r="P160" s="23">
        <f>SUM(P153:P159)</f>
        <v>2755</v>
      </c>
      <c r="Q160" s="23">
        <f>SUM(Q153:Q159)</f>
        <v>112115</v>
      </c>
    </row>
    <row r="162" spans="13:17">
      <c r="N162" s="22" t="s">
        <v>170</v>
      </c>
      <c r="O162" s="22" t="s">
        <v>91</v>
      </c>
      <c r="P162">
        <v>70</v>
      </c>
    </row>
    <row r="163" spans="13:17">
      <c r="N163" s="22"/>
      <c r="O163" s="22" t="s">
        <v>171</v>
      </c>
      <c r="P163">
        <f>Q160</f>
        <v>112115</v>
      </c>
    </row>
    <row r="164" spans="13:17">
      <c r="N164" s="22"/>
      <c r="O164" s="22" t="s">
        <v>174</v>
      </c>
      <c r="P164">
        <f>Q160/P162</f>
        <v>1601.6428571428571</v>
      </c>
    </row>
    <row r="165" spans="13:17">
      <c r="N165" s="22"/>
      <c r="O165" s="22" t="s">
        <v>176</v>
      </c>
      <c r="P165">
        <f>(P160/N160)^2</f>
        <v>1548.9846938775509</v>
      </c>
    </row>
    <row r="167" spans="13:17">
      <c r="M167" s="23" t="s">
        <v>155</v>
      </c>
      <c r="N167">
        <f>SQRT(P164-P165)</f>
        <v>7.2565944674693137</v>
      </c>
    </row>
    <row r="169" spans="13:17">
      <c r="M169" s="23" t="s">
        <v>266</v>
      </c>
      <c r="N169" s="22"/>
    </row>
    <row r="170" spans="13:17">
      <c r="M170" s="23" t="s">
        <v>22</v>
      </c>
      <c r="N170" s="23" t="s">
        <v>19</v>
      </c>
      <c r="O170" s="23" t="s">
        <v>143</v>
      </c>
      <c r="P170" s="23" t="s">
        <v>186</v>
      </c>
      <c r="Q170" s="23" t="s">
        <v>187</v>
      </c>
    </row>
    <row r="171" spans="13:17">
      <c r="M171" s="22" t="s">
        <v>290</v>
      </c>
      <c r="N171" s="22">
        <v>5</v>
      </c>
      <c r="O171" s="22">
        <v>4.5</v>
      </c>
      <c r="P171" s="22">
        <f t="shared" ref="P171:P180" si="0">N171*O171</f>
        <v>22.5</v>
      </c>
      <c r="Q171">
        <f>5*4.5*4.5</f>
        <v>101.25</v>
      </c>
    </row>
    <row r="172" spans="13:17">
      <c r="M172" s="22" t="s">
        <v>278</v>
      </c>
      <c r="N172" s="22">
        <v>9</v>
      </c>
      <c r="O172" s="22">
        <v>14.5</v>
      </c>
      <c r="P172" s="22">
        <f t="shared" si="0"/>
        <v>130.5</v>
      </c>
      <c r="Q172">
        <f>9*14.5*14.5</f>
        <v>1892.25</v>
      </c>
    </row>
    <row r="173" spans="13:17">
      <c r="M173" s="22" t="s">
        <v>279</v>
      </c>
      <c r="N173" s="22">
        <v>17</v>
      </c>
      <c r="O173" s="22">
        <v>24.5</v>
      </c>
      <c r="P173" s="22">
        <f t="shared" si="0"/>
        <v>416.5</v>
      </c>
      <c r="Q173">
        <f>17*24.5*24.5</f>
        <v>10204.25</v>
      </c>
    </row>
    <row r="174" spans="13:17">
      <c r="M174" s="22" t="s">
        <v>280</v>
      </c>
      <c r="N174" s="22">
        <v>29</v>
      </c>
      <c r="O174" s="22">
        <v>34.5</v>
      </c>
      <c r="P174" s="22">
        <f t="shared" si="0"/>
        <v>1000.5</v>
      </c>
      <c r="Q174">
        <f>29*34.5*34.5</f>
        <v>34517.25</v>
      </c>
    </row>
    <row r="175" spans="13:17">
      <c r="M175" s="22" t="s">
        <v>281</v>
      </c>
      <c r="N175" s="22">
        <v>45</v>
      </c>
      <c r="O175" s="22">
        <v>44.5</v>
      </c>
      <c r="P175" s="22">
        <f t="shared" si="0"/>
        <v>2002.5</v>
      </c>
      <c r="Q175">
        <f>45*44.5*44.5</f>
        <v>89111.25</v>
      </c>
    </row>
    <row r="176" spans="13:17">
      <c r="M176" s="22" t="s">
        <v>282</v>
      </c>
      <c r="N176" s="22">
        <v>60</v>
      </c>
      <c r="O176" s="22">
        <v>54.5</v>
      </c>
      <c r="P176" s="22">
        <f t="shared" si="0"/>
        <v>3270</v>
      </c>
      <c r="Q176">
        <f>60*54.5*54.5</f>
        <v>178215</v>
      </c>
    </row>
    <row r="177" spans="13:17">
      <c r="M177" s="22" t="s">
        <v>283</v>
      </c>
      <c r="N177" s="22">
        <v>70</v>
      </c>
      <c r="O177" s="22">
        <v>64.5</v>
      </c>
      <c r="P177" s="22">
        <f t="shared" si="0"/>
        <v>4515</v>
      </c>
      <c r="Q177">
        <f>70*64.5*64.5</f>
        <v>291217.5</v>
      </c>
    </row>
    <row r="178" spans="13:17">
      <c r="M178" s="22" t="s">
        <v>284</v>
      </c>
      <c r="N178" s="22">
        <v>78</v>
      </c>
      <c r="O178" s="22">
        <v>74.5</v>
      </c>
      <c r="P178" s="22">
        <f t="shared" si="0"/>
        <v>5811</v>
      </c>
      <c r="Q178">
        <f>78*74.5*74.5</f>
        <v>432919.5</v>
      </c>
    </row>
    <row r="179" spans="13:17">
      <c r="M179" s="22" t="s">
        <v>285</v>
      </c>
      <c r="N179" s="22">
        <v>83</v>
      </c>
      <c r="O179" s="22">
        <v>84.5</v>
      </c>
      <c r="P179" s="22">
        <f t="shared" si="0"/>
        <v>7013.5</v>
      </c>
      <c r="Q179">
        <f>83*84.5*84.5</f>
        <v>592640.75</v>
      </c>
    </row>
    <row r="180" spans="13:17">
      <c r="M180" s="22" t="s">
        <v>286</v>
      </c>
      <c r="N180" s="22">
        <v>85</v>
      </c>
      <c r="O180" s="22">
        <v>94.5</v>
      </c>
      <c r="P180" s="22">
        <f t="shared" si="0"/>
        <v>8032.5</v>
      </c>
      <c r="Q180">
        <f>85*94.5*94.5</f>
        <v>759071.25</v>
      </c>
    </row>
    <row r="181" spans="13:17">
      <c r="N181" s="23">
        <f>SUM(N171:N180)</f>
        <v>481</v>
      </c>
      <c r="O181" s="22"/>
      <c r="P181" s="23">
        <f>SUM(P171:P180)</f>
        <v>32214.5</v>
      </c>
      <c r="Q181" s="23">
        <f>SUM(Q171:Q180)</f>
        <v>2389890.25</v>
      </c>
    </row>
    <row r="183" spans="13:17">
      <c r="N183" s="22" t="s">
        <v>170</v>
      </c>
      <c r="O183" s="22" t="s">
        <v>91</v>
      </c>
      <c r="P183">
        <v>481</v>
      </c>
    </row>
    <row r="184" spans="13:17">
      <c r="N184" s="22"/>
      <c r="O184" s="22" t="s">
        <v>171</v>
      </c>
      <c r="P184">
        <f>Q181</f>
        <v>2389890.25</v>
      </c>
    </row>
    <row r="185" spans="13:17">
      <c r="N185" s="22"/>
      <c r="O185" s="22" t="s">
        <v>174</v>
      </c>
      <c r="P185">
        <f>Q181/N181</f>
        <v>4968.586798336798</v>
      </c>
    </row>
    <row r="186" spans="13:17">
      <c r="N186" s="22"/>
      <c r="O186" s="22" t="s">
        <v>176</v>
      </c>
      <c r="P186">
        <f>(P181/N181)^2</f>
        <v>4485.5183468691775</v>
      </c>
    </row>
    <row r="188" spans="13:17">
      <c r="M188" t="s">
        <v>155</v>
      </c>
      <c r="N188">
        <f>SQRT(P185-P186)</f>
        <v>21.978818245474901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opLeftCell="A72" workbookViewId="0">
      <selection activeCell="J77" sqref="J77"/>
    </sheetView>
  </sheetViews>
  <sheetFormatPr defaultRowHeight="14.4"/>
  <cols>
    <col min="1" max="1" width="16.109375" customWidth="1"/>
    <col min="2" max="2" width="14.88671875" customWidth="1"/>
    <col min="3" max="3" width="10" bestFit="1" customWidth="1"/>
    <col min="10" max="11" width="12" customWidth="1"/>
  </cols>
  <sheetData>
    <row r="1" spans="1:13">
      <c r="A1" s="50" t="s">
        <v>313</v>
      </c>
      <c r="B1" s="50"/>
      <c r="C1" s="50"/>
      <c r="D1" s="50"/>
      <c r="E1" s="50"/>
      <c r="F1" s="50"/>
    </row>
    <row r="3" spans="1:13">
      <c r="A3" s="23" t="s">
        <v>314</v>
      </c>
      <c r="B3" s="23" t="s">
        <v>315</v>
      </c>
      <c r="C3" s="23" t="s">
        <v>316</v>
      </c>
      <c r="D3" s="23" t="s">
        <v>152</v>
      </c>
      <c r="E3" s="23" t="s">
        <v>317</v>
      </c>
      <c r="I3" s="23" t="s">
        <v>338</v>
      </c>
      <c r="J3" s="23" t="s">
        <v>339</v>
      </c>
      <c r="K3" s="23" t="s">
        <v>316</v>
      </c>
      <c r="L3" s="23" t="s">
        <v>152</v>
      </c>
      <c r="M3" s="23" t="s">
        <v>317</v>
      </c>
    </row>
    <row r="4" spans="1:13">
      <c r="A4">
        <v>11</v>
      </c>
      <c r="B4">
        <v>30</v>
      </c>
      <c r="C4">
        <f t="shared" ref="C4:C13" si="0">A4*B4</f>
        <v>330</v>
      </c>
      <c r="D4">
        <v>121</v>
      </c>
      <c r="E4">
        <f>B4*B4</f>
        <v>900</v>
      </c>
      <c r="I4">
        <v>99</v>
      </c>
      <c r="J4">
        <v>2</v>
      </c>
      <c r="K4">
        <v>198</v>
      </c>
      <c r="L4">
        <f>99*99</f>
        <v>9801</v>
      </c>
      <c r="M4">
        <v>4</v>
      </c>
    </row>
    <row r="5" spans="1:13">
      <c r="A5">
        <v>12</v>
      </c>
      <c r="B5">
        <v>29</v>
      </c>
      <c r="C5">
        <f t="shared" si="0"/>
        <v>348</v>
      </c>
      <c r="D5">
        <v>144</v>
      </c>
      <c r="E5">
        <v>841</v>
      </c>
      <c r="I5">
        <v>120</v>
      </c>
      <c r="J5">
        <v>0</v>
      </c>
      <c r="K5">
        <v>0</v>
      </c>
      <c r="L5">
        <f>120*120</f>
        <v>14400</v>
      </c>
      <c r="M5">
        <v>0</v>
      </c>
    </row>
    <row r="6" spans="1:13">
      <c r="A6">
        <v>13</v>
      </c>
      <c r="B6">
        <v>29</v>
      </c>
      <c r="C6">
        <f t="shared" si="0"/>
        <v>377</v>
      </c>
      <c r="D6">
        <v>169</v>
      </c>
      <c r="E6">
        <v>841</v>
      </c>
      <c r="I6">
        <v>98</v>
      </c>
      <c r="J6">
        <v>25</v>
      </c>
      <c r="K6">
        <f t="shared" ref="K6:K13" si="1">I6*J6</f>
        <v>2450</v>
      </c>
      <c r="L6">
        <f>98*98</f>
        <v>9604</v>
      </c>
      <c r="M6">
        <v>625</v>
      </c>
    </row>
    <row r="7" spans="1:13">
      <c r="A7">
        <v>14</v>
      </c>
      <c r="B7">
        <v>25</v>
      </c>
      <c r="C7">
        <f t="shared" si="0"/>
        <v>350</v>
      </c>
      <c r="D7">
        <v>196</v>
      </c>
      <c r="E7">
        <v>625</v>
      </c>
      <c r="I7">
        <v>102</v>
      </c>
      <c r="J7">
        <v>45</v>
      </c>
      <c r="K7">
        <f t="shared" si="1"/>
        <v>4590</v>
      </c>
      <c r="L7">
        <f>102*102</f>
        <v>10404</v>
      </c>
      <c r="M7">
        <f>45*45</f>
        <v>2025</v>
      </c>
    </row>
    <row r="8" spans="1:13">
      <c r="A8">
        <v>15</v>
      </c>
      <c r="B8">
        <v>24</v>
      </c>
      <c r="C8">
        <f t="shared" si="0"/>
        <v>360</v>
      </c>
      <c r="D8">
        <v>225</v>
      </c>
      <c r="E8">
        <v>576</v>
      </c>
      <c r="I8">
        <v>123</v>
      </c>
      <c r="J8">
        <v>14</v>
      </c>
      <c r="K8">
        <f t="shared" si="1"/>
        <v>1722</v>
      </c>
      <c r="L8">
        <f>123*123</f>
        <v>15129</v>
      </c>
      <c r="M8">
        <v>196</v>
      </c>
    </row>
    <row r="9" spans="1:13">
      <c r="A9">
        <v>16</v>
      </c>
      <c r="B9">
        <v>24</v>
      </c>
      <c r="C9">
        <f t="shared" si="0"/>
        <v>384</v>
      </c>
      <c r="D9">
        <v>256</v>
      </c>
      <c r="E9">
        <v>576</v>
      </c>
      <c r="I9">
        <v>105</v>
      </c>
      <c r="J9">
        <v>20</v>
      </c>
      <c r="K9">
        <f t="shared" si="1"/>
        <v>2100</v>
      </c>
      <c r="L9">
        <f>105*105</f>
        <v>11025</v>
      </c>
      <c r="M9">
        <v>400</v>
      </c>
    </row>
    <row r="10" spans="1:13">
      <c r="A10">
        <v>17</v>
      </c>
      <c r="B10">
        <v>24</v>
      </c>
      <c r="C10">
        <f t="shared" si="0"/>
        <v>408</v>
      </c>
      <c r="D10">
        <v>289</v>
      </c>
      <c r="E10">
        <v>576</v>
      </c>
      <c r="I10">
        <v>85</v>
      </c>
      <c r="J10">
        <v>15</v>
      </c>
      <c r="K10">
        <f t="shared" si="1"/>
        <v>1275</v>
      </c>
      <c r="L10">
        <f>85*85</f>
        <v>7225</v>
      </c>
      <c r="M10">
        <v>225</v>
      </c>
    </row>
    <row r="11" spans="1:13">
      <c r="A11">
        <v>18</v>
      </c>
      <c r="B11">
        <v>21</v>
      </c>
      <c r="C11">
        <f t="shared" si="0"/>
        <v>378</v>
      </c>
      <c r="D11">
        <v>324</v>
      </c>
      <c r="E11">
        <v>441</v>
      </c>
      <c r="I11">
        <v>110</v>
      </c>
      <c r="J11">
        <v>19</v>
      </c>
      <c r="K11">
        <f t="shared" si="1"/>
        <v>2090</v>
      </c>
      <c r="L11">
        <f>110*110</f>
        <v>12100</v>
      </c>
      <c r="M11">
        <v>361</v>
      </c>
    </row>
    <row r="12" spans="1:13">
      <c r="A12">
        <v>19</v>
      </c>
      <c r="B12">
        <v>18</v>
      </c>
      <c r="C12">
        <f t="shared" si="0"/>
        <v>342</v>
      </c>
      <c r="D12">
        <v>361</v>
      </c>
      <c r="E12">
        <v>324</v>
      </c>
      <c r="I12">
        <v>117</v>
      </c>
      <c r="J12">
        <v>22</v>
      </c>
      <c r="K12">
        <f t="shared" si="1"/>
        <v>2574</v>
      </c>
      <c r="L12">
        <f>117*117</f>
        <v>13689</v>
      </c>
      <c r="M12">
        <f>22*22</f>
        <v>484</v>
      </c>
    </row>
    <row r="13" spans="1:13">
      <c r="A13">
        <v>20</v>
      </c>
      <c r="B13">
        <v>15</v>
      </c>
      <c r="C13">
        <f t="shared" si="0"/>
        <v>300</v>
      </c>
      <c r="D13">
        <v>400</v>
      </c>
      <c r="E13">
        <v>225</v>
      </c>
      <c r="I13">
        <v>90</v>
      </c>
      <c r="J13">
        <v>4</v>
      </c>
      <c r="K13">
        <f t="shared" si="1"/>
        <v>360</v>
      </c>
      <c r="L13">
        <f>90*90</f>
        <v>8100</v>
      </c>
      <c r="M13">
        <v>16</v>
      </c>
    </row>
    <row r="14" spans="1:13">
      <c r="A14" s="23">
        <f>SUM(A4:A13)</f>
        <v>155</v>
      </c>
      <c r="B14" s="23">
        <f>SUM(B4:B13)</f>
        <v>239</v>
      </c>
      <c r="C14" s="23">
        <f>SUM(C4:C13)</f>
        <v>3577</v>
      </c>
      <c r="D14" s="23">
        <f>SUM(D4:D13)</f>
        <v>2485</v>
      </c>
      <c r="E14" s="23">
        <f>SUM(E4:E13)</f>
        <v>5925</v>
      </c>
      <c r="I14" s="23">
        <f>SUM(I4:I13)</f>
        <v>1049</v>
      </c>
      <c r="J14" s="23">
        <f>SUM(J4:J13)</f>
        <v>166</v>
      </c>
      <c r="K14" s="23">
        <f>SUM(K4:K13)</f>
        <v>17359</v>
      </c>
      <c r="L14" s="23">
        <f>SUM(L4:L13)</f>
        <v>111477</v>
      </c>
      <c r="M14" s="23">
        <f>SUM(M4:M13)</f>
        <v>4336</v>
      </c>
    </row>
    <row r="17" spans="1:14">
      <c r="B17" t="s">
        <v>318</v>
      </c>
      <c r="C17" t="s">
        <v>342</v>
      </c>
      <c r="J17" t="s">
        <v>340</v>
      </c>
      <c r="K17" t="s">
        <v>341</v>
      </c>
    </row>
    <row r="18" spans="1:14">
      <c r="B18" t="s">
        <v>319</v>
      </c>
      <c r="C18">
        <f>35770-(155*239)</f>
        <v>-1275</v>
      </c>
    </row>
    <row r="19" spans="1:14">
      <c r="B19" t="s">
        <v>320</v>
      </c>
      <c r="C19">
        <f>(24850-155*155)</f>
        <v>825</v>
      </c>
      <c r="D19">
        <f>59250-239*239</f>
        <v>2129</v>
      </c>
      <c r="J19" t="s">
        <v>319</v>
      </c>
      <c r="K19">
        <f>173590-(1049*166)</f>
        <v>-544</v>
      </c>
    </row>
    <row r="20" spans="1:14">
      <c r="C20">
        <f>C19*D19</f>
        <v>1756425</v>
      </c>
      <c r="J20" t="s">
        <v>320</v>
      </c>
      <c r="K20">
        <f>1114770-1049^2</f>
        <v>14369</v>
      </c>
      <c r="L20">
        <f>43360-166^2</f>
        <v>15804</v>
      </c>
    </row>
    <row r="21" spans="1:14">
      <c r="C21">
        <f>SQRT(C20)</f>
        <v>1325.3018524094803</v>
      </c>
      <c r="K21">
        <f>K20*L20</f>
        <v>227087676</v>
      </c>
    </row>
    <row r="22" spans="1:14">
      <c r="B22" t="s">
        <v>321</v>
      </c>
      <c r="C22">
        <f>C18/C21</f>
        <v>-0.96204498445540654</v>
      </c>
      <c r="K22">
        <f>SQRT(K21)</f>
        <v>15069.42852267464</v>
      </c>
    </row>
    <row r="24" spans="1:14">
      <c r="B24" t="s">
        <v>322</v>
      </c>
      <c r="J24" t="s">
        <v>321</v>
      </c>
      <c r="K24">
        <f>K19/K22</f>
        <v>-3.6099577311870523E-2</v>
      </c>
    </row>
    <row r="28" spans="1:14">
      <c r="A28" s="23" t="s">
        <v>343</v>
      </c>
      <c r="B28" s="23" t="s">
        <v>344</v>
      </c>
      <c r="C28" s="23" t="s">
        <v>316</v>
      </c>
      <c r="D28" s="23" t="s">
        <v>152</v>
      </c>
      <c r="E28" s="23" t="s">
        <v>317</v>
      </c>
      <c r="J28" s="23" t="s">
        <v>22</v>
      </c>
      <c r="K28" s="23" t="s">
        <v>323</v>
      </c>
      <c r="L28" s="23" t="s">
        <v>316</v>
      </c>
      <c r="M28" s="23" t="s">
        <v>152</v>
      </c>
      <c r="N28" s="23" t="s">
        <v>317</v>
      </c>
    </row>
    <row r="29" spans="1:14">
      <c r="A29">
        <v>70</v>
      </c>
      <c r="B29">
        <v>90</v>
      </c>
      <c r="C29">
        <f t="shared" ref="C29:C38" si="2">A29*B29</f>
        <v>6300</v>
      </c>
      <c r="D29">
        <f>70*70</f>
        <v>4900</v>
      </c>
      <c r="E29">
        <v>8100</v>
      </c>
      <c r="J29" s="22">
        <v>3</v>
      </c>
      <c r="K29" s="22">
        <v>1</v>
      </c>
      <c r="L29">
        <v>3</v>
      </c>
      <c r="M29">
        <v>9</v>
      </c>
      <c r="N29">
        <v>1</v>
      </c>
    </row>
    <row r="30" spans="1:14">
      <c r="A30">
        <v>78</v>
      </c>
      <c r="B30">
        <v>94</v>
      </c>
      <c r="C30">
        <f t="shared" si="2"/>
        <v>7332</v>
      </c>
      <c r="D30">
        <f>78*78</f>
        <v>6084</v>
      </c>
      <c r="E30">
        <f>94*94</f>
        <v>8836</v>
      </c>
      <c r="J30" s="22">
        <v>9</v>
      </c>
      <c r="K30" s="22">
        <v>3</v>
      </c>
      <c r="L30">
        <v>27</v>
      </c>
      <c r="M30">
        <v>81</v>
      </c>
      <c r="N30">
        <v>9</v>
      </c>
    </row>
    <row r="31" spans="1:14">
      <c r="A31">
        <v>90</v>
      </c>
      <c r="B31">
        <v>79</v>
      </c>
      <c r="C31">
        <f t="shared" si="2"/>
        <v>7110</v>
      </c>
      <c r="D31">
        <v>8100</v>
      </c>
      <c r="E31">
        <f>79*79</f>
        <v>6241</v>
      </c>
      <c r="J31" s="22">
        <v>12</v>
      </c>
      <c r="K31" s="22">
        <v>4</v>
      </c>
      <c r="L31">
        <v>48</v>
      </c>
      <c r="M31">
        <v>144</v>
      </c>
      <c r="N31">
        <v>16</v>
      </c>
    </row>
    <row r="32" spans="1:14">
      <c r="A32">
        <v>87</v>
      </c>
      <c r="B32">
        <v>86</v>
      </c>
      <c r="C32">
        <f t="shared" si="2"/>
        <v>7482</v>
      </c>
      <c r="D32">
        <f>87*87</f>
        <v>7569</v>
      </c>
      <c r="E32">
        <f>86*86</f>
        <v>7396</v>
      </c>
      <c r="J32" s="22">
        <v>14</v>
      </c>
      <c r="K32" s="22">
        <v>1</v>
      </c>
      <c r="L32">
        <v>14</v>
      </c>
      <c r="M32">
        <v>196</v>
      </c>
      <c r="N32">
        <v>1</v>
      </c>
    </row>
    <row r="33" spans="1:14">
      <c r="A33">
        <v>84</v>
      </c>
      <c r="B33">
        <v>84</v>
      </c>
      <c r="C33">
        <f t="shared" si="2"/>
        <v>7056</v>
      </c>
      <c r="D33">
        <f>84*84</f>
        <v>7056</v>
      </c>
      <c r="E33">
        <f>84*84</f>
        <v>7056</v>
      </c>
      <c r="J33" s="22">
        <v>15</v>
      </c>
      <c r="K33" s="22">
        <v>4</v>
      </c>
      <c r="L33">
        <v>60</v>
      </c>
      <c r="M33">
        <v>225</v>
      </c>
      <c r="N33">
        <v>16</v>
      </c>
    </row>
    <row r="34" spans="1:14">
      <c r="A34">
        <v>86</v>
      </c>
      <c r="B34">
        <v>83</v>
      </c>
      <c r="C34">
        <f t="shared" si="2"/>
        <v>7138</v>
      </c>
      <c r="D34">
        <f>86*86</f>
        <v>7396</v>
      </c>
      <c r="E34">
        <f>83*83</f>
        <v>6889</v>
      </c>
      <c r="J34" s="22">
        <v>17</v>
      </c>
      <c r="K34" s="22">
        <v>2</v>
      </c>
      <c r="L34">
        <v>34</v>
      </c>
      <c r="M34">
        <f>17*17</f>
        <v>289</v>
      </c>
      <c r="N34">
        <v>4</v>
      </c>
    </row>
    <row r="35" spans="1:14">
      <c r="A35">
        <v>91</v>
      </c>
      <c r="B35">
        <v>88</v>
      </c>
      <c r="C35">
        <f t="shared" si="2"/>
        <v>8008</v>
      </c>
      <c r="D35">
        <f>91*91</f>
        <v>8281</v>
      </c>
      <c r="E35">
        <f>88*88</f>
        <v>7744</v>
      </c>
      <c r="J35" s="23">
        <f>SUM(J29:J34)</f>
        <v>70</v>
      </c>
      <c r="K35" s="23">
        <f>SUM(K29:K34)</f>
        <v>15</v>
      </c>
      <c r="L35" s="23">
        <f>SUM(L29:L34)</f>
        <v>186</v>
      </c>
      <c r="M35" s="23">
        <f>SUM(M29:M34)</f>
        <v>944</v>
      </c>
      <c r="N35" s="23">
        <f>SUM(N29:N34)</f>
        <v>47</v>
      </c>
    </row>
    <row r="36" spans="1:14">
      <c r="A36">
        <v>74</v>
      </c>
      <c r="B36">
        <v>92</v>
      </c>
      <c r="C36">
        <f t="shared" si="2"/>
        <v>6808</v>
      </c>
      <c r="D36">
        <f>74*74</f>
        <v>5476</v>
      </c>
      <c r="E36">
        <f>92*92</f>
        <v>8464</v>
      </c>
    </row>
    <row r="37" spans="1:14">
      <c r="A37">
        <v>83</v>
      </c>
      <c r="B37">
        <v>76</v>
      </c>
      <c r="C37">
        <f t="shared" si="2"/>
        <v>6308</v>
      </c>
      <c r="D37">
        <f>83*83</f>
        <v>6889</v>
      </c>
      <c r="E37">
        <f>76*76</f>
        <v>5776</v>
      </c>
    </row>
    <row r="38" spans="1:14">
      <c r="A38">
        <v>85</v>
      </c>
      <c r="B38">
        <v>75</v>
      </c>
      <c r="C38">
        <f t="shared" si="2"/>
        <v>6375</v>
      </c>
      <c r="D38">
        <f>85*85</f>
        <v>7225</v>
      </c>
      <c r="E38">
        <f>75*75</f>
        <v>5625</v>
      </c>
    </row>
    <row r="39" spans="1:14">
      <c r="A39" s="23">
        <f>SUM(A29:A38)</f>
        <v>828</v>
      </c>
      <c r="B39" s="23">
        <f>SUM(B29:B38)</f>
        <v>847</v>
      </c>
      <c r="C39" s="23">
        <f>SUM(C29:C38)</f>
        <v>69917</v>
      </c>
      <c r="D39" s="23">
        <f>SUM(D29:D38)</f>
        <v>68976</v>
      </c>
      <c r="E39" s="23">
        <f>SUM(E29:E38)</f>
        <v>72127</v>
      </c>
      <c r="J39" t="s">
        <v>340</v>
      </c>
      <c r="K39" t="s">
        <v>362</v>
      </c>
    </row>
    <row r="41" spans="1:14">
      <c r="J41" t="s">
        <v>319</v>
      </c>
      <c r="K41">
        <f>(6*186)-(70*15)</f>
        <v>66</v>
      </c>
    </row>
    <row r="42" spans="1:14">
      <c r="B42" t="s">
        <v>340</v>
      </c>
      <c r="C42" t="s">
        <v>345</v>
      </c>
      <c r="J42" s="22" t="s">
        <v>320</v>
      </c>
      <c r="K42">
        <f>(6*944-70^2)</f>
        <v>764</v>
      </c>
      <c r="L42">
        <f>(6*47-225)</f>
        <v>57</v>
      </c>
    </row>
    <row r="43" spans="1:14">
      <c r="K43">
        <f>K42*L42</f>
        <v>43548</v>
      </c>
    </row>
    <row r="44" spans="1:14">
      <c r="B44" t="s">
        <v>319</v>
      </c>
      <c r="C44">
        <f>699170-828*847</f>
        <v>-2146</v>
      </c>
      <c r="K44">
        <f>SQRT(K43)</f>
        <v>208.68157561222313</v>
      </c>
    </row>
    <row r="45" spans="1:14">
      <c r="B45" t="s">
        <v>320</v>
      </c>
      <c r="C45">
        <f>689760-828^2</f>
        <v>4176</v>
      </c>
      <c r="D45">
        <f>721270-847^2</f>
        <v>3861</v>
      </c>
    </row>
    <row r="46" spans="1:14">
      <c r="C46">
        <f>C45*D45</f>
        <v>16123536</v>
      </c>
      <c r="J46" t="s">
        <v>321</v>
      </c>
      <c r="K46">
        <f>K41/K44</f>
        <v>0.31627133256192541</v>
      </c>
    </row>
    <row r="47" spans="1:14">
      <c r="C47">
        <f>SQRT(C46)</f>
        <v>4015.4123075968178</v>
      </c>
      <c r="K47" t="s">
        <v>331</v>
      </c>
    </row>
    <row r="48" spans="1:14">
      <c r="B48" t="s">
        <v>321</v>
      </c>
      <c r="C48">
        <f>C44/C47</f>
        <v>-0.53444075865881846</v>
      </c>
    </row>
    <row r="50" spans="1:14">
      <c r="A50" s="23" t="s">
        <v>22</v>
      </c>
      <c r="B50" s="23" t="s">
        <v>323</v>
      </c>
      <c r="C50" s="23" t="s">
        <v>316</v>
      </c>
      <c r="D50" s="23" t="s">
        <v>152</v>
      </c>
      <c r="E50" s="23" t="s">
        <v>317</v>
      </c>
      <c r="J50" s="23" t="s">
        <v>357</v>
      </c>
      <c r="K50" s="23" t="s">
        <v>364</v>
      </c>
      <c r="L50" s="23" t="s">
        <v>316</v>
      </c>
      <c r="M50" s="23" t="s">
        <v>152</v>
      </c>
      <c r="N50" s="23" t="s">
        <v>317</v>
      </c>
    </row>
    <row r="51" spans="1:14">
      <c r="A51" s="22">
        <v>80</v>
      </c>
      <c r="B51" s="22">
        <v>5</v>
      </c>
      <c r="C51">
        <v>400</v>
      </c>
      <c r="D51">
        <v>6400</v>
      </c>
      <c r="E51">
        <v>25</v>
      </c>
      <c r="J51" s="22">
        <v>35</v>
      </c>
      <c r="K51" s="22">
        <v>26</v>
      </c>
      <c r="L51">
        <f t="shared" ref="L51:L61" si="3">J51*K51</f>
        <v>910</v>
      </c>
      <c r="M51">
        <f>35*35</f>
        <v>1225</v>
      </c>
      <c r="N51">
        <f>26*26</f>
        <v>676</v>
      </c>
    </row>
    <row r="52" spans="1:14">
      <c r="A52" s="22">
        <v>78</v>
      </c>
      <c r="B52" s="22">
        <v>23</v>
      </c>
      <c r="C52">
        <f t="shared" ref="C52:C65" si="4">A52*B52</f>
        <v>1794</v>
      </c>
      <c r="D52">
        <f>78*78</f>
        <v>6084</v>
      </c>
      <c r="E52">
        <f>23*23</f>
        <v>529</v>
      </c>
      <c r="J52" s="22">
        <v>29</v>
      </c>
      <c r="K52" s="22">
        <v>22</v>
      </c>
      <c r="L52">
        <f t="shared" si="3"/>
        <v>638</v>
      </c>
      <c r="M52">
        <f>29*29</f>
        <v>841</v>
      </c>
      <c r="N52">
        <f>22*22</f>
        <v>484</v>
      </c>
    </row>
    <row r="53" spans="1:14">
      <c r="A53" s="22">
        <v>60</v>
      </c>
      <c r="B53" s="22">
        <v>25</v>
      </c>
      <c r="C53">
        <f t="shared" si="4"/>
        <v>1500</v>
      </c>
      <c r="D53">
        <v>3600</v>
      </c>
      <c r="E53">
        <v>625</v>
      </c>
      <c r="J53" s="22">
        <v>41</v>
      </c>
      <c r="K53" s="22">
        <v>32</v>
      </c>
      <c r="L53">
        <f t="shared" si="3"/>
        <v>1312</v>
      </c>
      <c r="M53">
        <f>41*41</f>
        <v>1681</v>
      </c>
      <c r="N53">
        <f>32*32</f>
        <v>1024</v>
      </c>
    </row>
    <row r="54" spans="1:14">
      <c r="A54" s="22">
        <v>53</v>
      </c>
      <c r="B54" s="22">
        <v>48</v>
      </c>
      <c r="C54">
        <f t="shared" si="4"/>
        <v>2544</v>
      </c>
      <c r="D54">
        <f>53*53</f>
        <v>2809</v>
      </c>
      <c r="E54">
        <f>48*48</f>
        <v>2304</v>
      </c>
      <c r="J54" s="22">
        <v>66</v>
      </c>
      <c r="K54" s="22">
        <v>28</v>
      </c>
      <c r="L54">
        <f t="shared" si="3"/>
        <v>1848</v>
      </c>
      <c r="M54">
        <f>66*66</f>
        <v>4356</v>
      </c>
      <c r="N54">
        <f>28*28</f>
        <v>784</v>
      </c>
    </row>
    <row r="55" spans="1:14">
      <c r="A55" s="22">
        <v>85</v>
      </c>
      <c r="B55" s="22">
        <v>17</v>
      </c>
      <c r="C55">
        <f t="shared" si="4"/>
        <v>1445</v>
      </c>
      <c r="D55">
        <f>85*85</f>
        <v>7225</v>
      </c>
      <c r="E55">
        <f>17*17</f>
        <v>289</v>
      </c>
      <c r="J55" s="22">
        <v>53</v>
      </c>
      <c r="K55" s="22">
        <v>31</v>
      </c>
      <c r="L55">
        <f t="shared" si="3"/>
        <v>1643</v>
      </c>
      <c r="M55">
        <f>53*53</f>
        <v>2809</v>
      </c>
      <c r="N55">
        <f>31*31</f>
        <v>961</v>
      </c>
    </row>
    <row r="56" spans="1:14">
      <c r="A56" s="22">
        <v>84</v>
      </c>
      <c r="B56" s="22">
        <v>8</v>
      </c>
      <c r="C56">
        <f t="shared" si="4"/>
        <v>672</v>
      </c>
      <c r="D56">
        <f>84*84</f>
        <v>7056</v>
      </c>
      <c r="E56">
        <v>64</v>
      </c>
      <c r="J56" s="22">
        <v>48</v>
      </c>
      <c r="K56" s="22">
        <v>26</v>
      </c>
      <c r="L56">
        <f t="shared" si="3"/>
        <v>1248</v>
      </c>
      <c r="M56">
        <f>48*48</f>
        <v>2304</v>
      </c>
      <c r="N56">
        <f>26*26</f>
        <v>676</v>
      </c>
    </row>
    <row r="57" spans="1:14">
      <c r="A57" s="22">
        <v>73</v>
      </c>
      <c r="B57" s="22">
        <v>4</v>
      </c>
      <c r="C57">
        <f t="shared" si="4"/>
        <v>292</v>
      </c>
      <c r="D57">
        <f>73*73</f>
        <v>5329</v>
      </c>
      <c r="E57">
        <v>16</v>
      </c>
      <c r="J57" s="22">
        <v>60</v>
      </c>
      <c r="K57" s="22">
        <v>30</v>
      </c>
      <c r="L57">
        <f t="shared" si="3"/>
        <v>1800</v>
      </c>
      <c r="M57">
        <v>3600</v>
      </c>
      <c r="N57">
        <f>900</f>
        <v>900</v>
      </c>
    </row>
    <row r="58" spans="1:14">
      <c r="A58" s="22">
        <v>79</v>
      </c>
      <c r="B58" s="22">
        <v>26</v>
      </c>
      <c r="C58">
        <f t="shared" si="4"/>
        <v>2054</v>
      </c>
      <c r="D58">
        <f>79*79</f>
        <v>6241</v>
      </c>
      <c r="E58">
        <f>26*26</f>
        <v>676</v>
      </c>
      <c r="J58" s="22">
        <v>46</v>
      </c>
      <c r="K58" s="22">
        <v>30</v>
      </c>
      <c r="L58">
        <f t="shared" si="3"/>
        <v>1380</v>
      </c>
      <c r="M58">
        <f>46*46</f>
        <v>2116</v>
      </c>
      <c r="N58">
        <v>900</v>
      </c>
    </row>
    <row r="59" spans="1:14">
      <c r="A59" s="22">
        <v>81</v>
      </c>
      <c r="B59" s="22">
        <v>11</v>
      </c>
      <c r="C59">
        <f t="shared" si="4"/>
        <v>891</v>
      </c>
      <c r="D59">
        <f>81*81</f>
        <v>6561</v>
      </c>
      <c r="E59">
        <v>121</v>
      </c>
      <c r="J59" s="22">
        <v>30</v>
      </c>
      <c r="K59" s="22">
        <v>22</v>
      </c>
      <c r="L59">
        <f t="shared" si="3"/>
        <v>660</v>
      </c>
      <c r="M59">
        <v>900</v>
      </c>
      <c r="N59">
        <f>22*22</f>
        <v>484</v>
      </c>
    </row>
    <row r="60" spans="1:14">
      <c r="A60" s="22">
        <v>75</v>
      </c>
      <c r="B60" s="22">
        <v>19</v>
      </c>
      <c r="C60">
        <f t="shared" si="4"/>
        <v>1425</v>
      </c>
      <c r="D60">
        <f>75*75</f>
        <v>5625</v>
      </c>
      <c r="E60">
        <v>361</v>
      </c>
      <c r="J60" s="22">
        <v>36</v>
      </c>
      <c r="K60" s="22">
        <v>27</v>
      </c>
      <c r="L60">
        <f t="shared" si="3"/>
        <v>972</v>
      </c>
      <c r="M60">
        <f>36*36</f>
        <v>1296</v>
      </c>
      <c r="N60">
        <f>27*27</f>
        <v>729</v>
      </c>
    </row>
    <row r="61" spans="1:14">
      <c r="A61" s="22">
        <v>68</v>
      </c>
      <c r="B61" s="22">
        <v>14</v>
      </c>
      <c r="C61">
        <f t="shared" si="4"/>
        <v>952</v>
      </c>
      <c r="D61">
        <f>68*68</f>
        <v>4624</v>
      </c>
      <c r="E61">
        <v>196</v>
      </c>
      <c r="J61" s="22">
        <v>58</v>
      </c>
      <c r="K61" s="22">
        <v>32</v>
      </c>
      <c r="L61">
        <f t="shared" si="3"/>
        <v>1856</v>
      </c>
      <c r="M61">
        <f>58*58</f>
        <v>3364</v>
      </c>
      <c r="N61">
        <v>1024</v>
      </c>
    </row>
    <row r="62" spans="1:14">
      <c r="A62" s="22">
        <v>72</v>
      </c>
      <c r="B62" s="22">
        <v>35</v>
      </c>
      <c r="C62">
        <f t="shared" si="4"/>
        <v>2520</v>
      </c>
      <c r="D62">
        <f>72*72</f>
        <v>5184</v>
      </c>
      <c r="E62">
        <f>35*35</f>
        <v>1225</v>
      </c>
      <c r="J62" s="23">
        <f>SUM(J51:J61)</f>
        <v>502</v>
      </c>
      <c r="K62" s="23">
        <f>SUM(K51:K61)</f>
        <v>306</v>
      </c>
      <c r="L62" s="23">
        <f>SUM(L51:L61)</f>
        <v>14267</v>
      </c>
      <c r="M62" s="23">
        <f>SUM(M51:M61)</f>
        <v>24492</v>
      </c>
      <c r="N62" s="23">
        <f>SUM(N51:N61)</f>
        <v>8642</v>
      </c>
    </row>
    <row r="63" spans="1:14">
      <c r="A63" s="22">
        <v>58</v>
      </c>
      <c r="B63" s="22">
        <v>29</v>
      </c>
      <c r="C63">
        <f t="shared" si="4"/>
        <v>1682</v>
      </c>
      <c r="D63">
        <f>58*58</f>
        <v>3364</v>
      </c>
      <c r="E63">
        <f>29*29</f>
        <v>841</v>
      </c>
    </row>
    <row r="64" spans="1:14">
      <c r="A64" s="22">
        <v>92</v>
      </c>
      <c r="B64" s="22">
        <v>4</v>
      </c>
      <c r="C64">
        <f t="shared" si="4"/>
        <v>368</v>
      </c>
      <c r="D64">
        <f>92*92</f>
        <v>8464</v>
      </c>
      <c r="E64">
        <v>16</v>
      </c>
    </row>
    <row r="65" spans="1:12">
      <c r="A65" s="22">
        <v>65</v>
      </c>
      <c r="B65" s="22">
        <v>23</v>
      </c>
      <c r="C65">
        <f t="shared" si="4"/>
        <v>1495</v>
      </c>
      <c r="D65">
        <f>65*65</f>
        <v>4225</v>
      </c>
      <c r="E65">
        <v>529</v>
      </c>
    </row>
    <row r="66" spans="1:12">
      <c r="A66" s="23">
        <f>SUM(A51:A65)</f>
        <v>1103</v>
      </c>
      <c r="B66" s="23">
        <f>SUM(B51:B65)</f>
        <v>291</v>
      </c>
      <c r="C66" s="23">
        <f>SUM(C51:C65)</f>
        <v>20034</v>
      </c>
      <c r="D66" s="23">
        <f>SUM(D51:D65)</f>
        <v>82791</v>
      </c>
      <c r="E66" s="23">
        <f>SUM(E51:E65)</f>
        <v>7817</v>
      </c>
    </row>
    <row r="67" spans="1:12">
      <c r="J67" s="22" t="s">
        <v>340</v>
      </c>
      <c r="K67" t="s">
        <v>365</v>
      </c>
    </row>
    <row r="68" spans="1:12">
      <c r="B68" t="s">
        <v>340</v>
      </c>
      <c r="C68" t="s">
        <v>363</v>
      </c>
    </row>
    <row r="69" spans="1:12">
      <c r="J69" s="22" t="s">
        <v>319</v>
      </c>
      <c r="K69">
        <f>11*14267-502*306</f>
        <v>3325</v>
      </c>
    </row>
    <row r="70" spans="1:12">
      <c r="B70" s="22" t="s">
        <v>319</v>
      </c>
      <c r="C70">
        <f>(15*20034-A66*B66)</f>
        <v>-20463</v>
      </c>
      <c r="J70" s="22" t="s">
        <v>320</v>
      </c>
      <c r="K70">
        <f>(11*M62-J62^2)</f>
        <v>17408</v>
      </c>
      <c r="L70">
        <f>(11*N62-K62^2)</f>
        <v>1426</v>
      </c>
    </row>
    <row r="71" spans="1:12">
      <c r="B71" s="22" t="s">
        <v>320</v>
      </c>
      <c r="C71">
        <f>15*D66-A66^2</f>
        <v>25256</v>
      </c>
      <c r="D71">
        <f>15*E66-B66^2</f>
        <v>32574</v>
      </c>
      <c r="K71">
        <f>K70*L70</f>
        <v>24823808</v>
      </c>
    </row>
    <row r="72" spans="1:12">
      <c r="C72">
        <f>C71*D71</f>
        <v>822688944</v>
      </c>
      <c r="K72">
        <f>SQRT(K71)</f>
        <v>4982.3496465021399</v>
      </c>
    </row>
    <row r="73" spans="1:12">
      <c r="C73">
        <f>SQRT(C72)</f>
        <v>28682.554697934422</v>
      </c>
    </row>
    <row r="75" spans="1:12">
      <c r="B75" t="s">
        <v>321</v>
      </c>
      <c r="C75">
        <f>C70/C73</f>
        <v>-0.71343017438658096</v>
      </c>
      <c r="K75">
        <f>K69/K72</f>
        <v>0.6673558132023748</v>
      </c>
    </row>
    <row r="76" spans="1:12">
      <c r="C76" t="s">
        <v>356</v>
      </c>
      <c r="K76" t="s">
        <v>331</v>
      </c>
    </row>
    <row r="78" spans="1:12">
      <c r="A78" s="23" t="s">
        <v>22</v>
      </c>
      <c r="B78" s="23" t="s">
        <v>323</v>
      </c>
      <c r="C78" s="23" t="s">
        <v>316</v>
      </c>
      <c r="D78" s="23" t="s">
        <v>152</v>
      </c>
      <c r="E78" s="23" t="s">
        <v>317</v>
      </c>
    </row>
    <row r="79" spans="1:12">
      <c r="A79" s="22">
        <v>5</v>
      </c>
      <c r="B79" s="22">
        <v>5</v>
      </c>
      <c r="C79">
        <v>25</v>
      </c>
      <c r="D79">
        <v>25</v>
      </c>
      <c r="E79">
        <v>25</v>
      </c>
    </row>
    <row r="80" spans="1:12">
      <c r="A80" s="22">
        <v>10</v>
      </c>
      <c r="B80" s="22">
        <v>2</v>
      </c>
      <c r="C80">
        <v>20</v>
      </c>
      <c r="D80">
        <v>100</v>
      </c>
      <c r="E80">
        <v>4</v>
      </c>
    </row>
    <row r="81" spans="1:5">
      <c r="A81" s="22">
        <v>4</v>
      </c>
      <c r="B81" s="22">
        <v>8</v>
      </c>
      <c r="C81">
        <v>32</v>
      </c>
      <c r="D81">
        <v>16</v>
      </c>
      <c r="E81">
        <v>64</v>
      </c>
    </row>
    <row r="82" spans="1:5">
      <c r="A82" s="22">
        <v>8</v>
      </c>
      <c r="B82" s="22">
        <v>3</v>
      </c>
      <c r="C82">
        <v>24</v>
      </c>
      <c r="D82">
        <v>64</v>
      </c>
      <c r="E82">
        <v>9</v>
      </c>
    </row>
    <row r="83" spans="1:5">
      <c r="A83" s="22">
        <v>2</v>
      </c>
      <c r="B83" s="22">
        <v>8</v>
      </c>
      <c r="C83">
        <v>16</v>
      </c>
      <c r="D83">
        <v>4</v>
      </c>
      <c r="E83">
        <v>64</v>
      </c>
    </row>
    <row r="84" spans="1:5">
      <c r="A84" s="22">
        <v>7</v>
      </c>
      <c r="B84" s="22">
        <v>5</v>
      </c>
      <c r="C84">
        <v>35</v>
      </c>
      <c r="D84">
        <v>49</v>
      </c>
      <c r="E84">
        <v>25</v>
      </c>
    </row>
    <row r="85" spans="1:5">
      <c r="A85" s="22">
        <v>9</v>
      </c>
      <c r="B85" s="22">
        <v>5</v>
      </c>
      <c r="C85">
        <v>45</v>
      </c>
      <c r="D85">
        <v>81</v>
      </c>
      <c r="E85">
        <v>25</v>
      </c>
    </row>
    <row r="86" spans="1:5">
      <c r="A86" s="22">
        <v>6</v>
      </c>
      <c r="B86" s="22">
        <v>7</v>
      </c>
      <c r="C86">
        <v>42</v>
      </c>
      <c r="D86">
        <v>36</v>
      </c>
      <c r="E86">
        <v>49</v>
      </c>
    </row>
    <row r="87" spans="1:5">
      <c r="A87" s="22">
        <v>1</v>
      </c>
      <c r="B87" s="22">
        <v>10</v>
      </c>
      <c r="C87">
        <v>10</v>
      </c>
      <c r="D87">
        <v>1</v>
      </c>
      <c r="E87">
        <v>100</v>
      </c>
    </row>
    <row r="88" spans="1:5">
      <c r="A88" s="22">
        <v>12</v>
      </c>
      <c r="B88" s="22">
        <v>3</v>
      </c>
      <c r="C88">
        <v>36</v>
      </c>
      <c r="D88">
        <v>144</v>
      </c>
      <c r="E88">
        <v>9</v>
      </c>
    </row>
    <row r="89" spans="1:5">
      <c r="A89" s="23">
        <f>SUM(A79:A88)</f>
        <v>64</v>
      </c>
      <c r="B89" s="23">
        <f>SUM(B79:B88)</f>
        <v>56</v>
      </c>
      <c r="C89" s="23">
        <f>SUM(C79:C88)</f>
        <v>285</v>
      </c>
      <c r="D89" s="23">
        <f>SUM(D79:D88)</f>
        <v>520</v>
      </c>
      <c r="E89" s="23">
        <f>SUM(E79:E88)</f>
        <v>374</v>
      </c>
    </row>
    <row r="91" spans="1:5">
      <c r="B91" t="s">
        <v>340</v>
      </c>
      <c r="C91" t="s">
        <v>366</v>
      </c>
    </row>
    <row r="93" spans="1:5">
      <c r="B93" s="22" t="s">
        <v>319</v>
      </c>
      <c r="C93">
        <f>2850-64*56</f>
        <v>-734</v>
      </c>
    </row>
    <row r="94" spans="1:5">
      <c r="B94" s="22" t="s">
        <v>320</v>
      </c>
      <c r="C94">
        <f>5200-64^2</f>
        <v>1104</v>
      </c>
      <c r="D94">
        <f>3740-56^2</f>
        <v>604</v>
      </c>
    </row>
    <row r="95" spans="1:5">
      <c r="C95">
        <f>C94*D94</f>
        <v>666816</v>
      </c>
    </row>
    <row r="96" spans="1:5">
      <c r="C96">
        <f>SQRT(C95)</f>
        <v>816.58802342429681</v>
      </c>
    </row>
    <row r="99" spans="2:3">
      <c r="B99" t="s">
        <v>321</v>
      </c>
      <c r="C99">
        <f>C93/C96</f>
        <v>-0.8988620686867651</v>
      </c>
    </row>
    <row r="100" spans="2:3">
      <c r="C100" t="s">
        <v>356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0"/>
  <sheetViews>
    <sheetView topLeftCell="A72" workbookViewId="0">
      <selection activeCell="K98" sqref="K98"/>
    </sheetView>
  </sheetViews>
  <sheetFormatPr defaultRowHeight="14.4"/>
  <cols>
    <col min="1" max="1" width="9.88671875" customWidth="1"/>
    <col min="2" max="2" width="12.109375" customWidth="1"/>
  </cols>
  <sheetData>
    <row r="2" spans="1:14">
      <c r="A2" s="23" t="s">
        <v>22</v>
      </c>
      <c r="B2" s="23" t="s">
        <v>323</v>
      </c>
      <c r="C2" s="23" t="s">
        <v>324</v>
      </c>
      <c r="D2" s="23" t="s">
        <v>325</v>
      </c>
      <c r="E2" s="23" t="s">
        <v>326</v>
      </c>
      <c r="F2" s="23" t="s">
        <v>327</v>
      </c>
      <c r="I2" s="23" t="s">
        <v>22</v>
      </c>
      <c r="J2" s="23" t="s">
        <v>323</v>
      </c>
      <c r="K2" s="23" t="s">
        <v>324</v>
      </c>
      <c r="L2" s="23" t="s">
        <v>325</v>
      </c>
      <c r="M2" s="23" t="s">
        <v>326</v>
      </c>
      <c r="N2" s="23" t="s">
        <v>327</v>
      </c>
    </row>
    <row r="3" spans="1:14">
      <c r="A3">
        <v>8</v>
      </c>
      <c r="B3">
        <v>101</v>
      </c>
      <c r="C3">
        <v>6</v>
      </c>
      <c r="D3">
        <v>3</v>
      </c>
      <c r="E3">
        <v>3</v>
      </c>
      <c r="F3">
        <v>9</v>
      </c>
      <c r="I3">
        <v>10</v>
      </c>
      <c r="J3">
        <v>4</v>
      </c>
      <c r="K3">
        <v>4.5</v>
      </c>
      <c r="L3">
        <v>6</v>
      </c>
      <c r="M3">
        <v>-1.5</v>
      </c>
      <c r="N3">
        <v>2.25</v>
      </c>
    </row>
    <row r="4" spans="1:14">
      <c r="A4">
        <v>7</v>
      </c>
      <c r="B4">
        <v>98</v>
      </c>
      <c r="C4">
        <v>7</v>
      </c>
      <c r="D4">
        <v>4</v>
      </c>
      <c r="E4">
        <v>3</v>
      </c>
      <c r="F4">
        <v>9</v>
      </c>
      <c r="I4">
        <v>11</v>
      </c>
      <c r="J4">
        <v>5</v>
      </c>
      <c r="K4">
        <v>3</v>
      </c>
      <c r="L4">
        <v>4</v>
      </c>
      <c r="M4">
        <v>-1</v>
      </c>
      <c r="N4">
        <v>1</v>
      </c>
    </row>
    <row r="5" spans="1:14">
      <c r="A5">
        <v>11</v>
      </c>
      <c r="B5">
        <v>96</v>
      </c>
      <c r="C5">
        <v>4</v>
      </c>
      <c r="D5">
        <v>6</v>
      </c>
      <c r="E5">
        <v>-2</v>
      </c>
      <c r="F5">
        <v>4</v>
      </c>
      <c r="I5">
        <v>12</v>
      </c>
      <c r="J5">
        <v>6</v>
      </c>
      <c r="K5">
        <v>2</v>
      </c>
      <c r="L5">
        <v>2</v>
      </c>
      <c r="M5">
        <v>0</v>
      </c>
      <c r="N5">
        <v>0</v>
      </c>
    </row>
    <row r="6" spans="1:14">
      <c r="A6">
        <v>10</v>
      </c>
      <c r="B6">
        <v>105</v>
      </c>
      <c r="C6">
        <v>5</v>
      </c>
      <c r="D6">
        <v>2</v>
      </c>
      <c r="E6">
        <v>3</v>
      </c>
      <c r="F6">
        <v>9</v>
      </c>
      <c r="I6">
        <v>8</v>
      </c>
      <c r="J6">
        <v>5</v>
      </c>
      <c r="K6">
        <v>6</v>
      </c>
      <c r="L6">
        <v>4</v>
      </c>
      <c r="M6">
        <v>2</v>
      </c>
      <c r="N6">
        <v>4</v>
      </c>
    </row>
    <row r="7" spans="1:14">
      <c r="A7">
        <v>19</v>
      </c>
      <c r="B7">
        <v>110</v>
      </c>
      <c r="C7">
        <v>1</v>
      </c>
      <c r="D7">
        <v>1</v>
      </c>
      <c r="E7">
        <v>0</v>
      </c>
      <c r="F7">
        <v>0</v>
      </c>
      <c r="I7">
        <v>10</v>
      </c>
      <c r="J7">
        <v>5</v>
      </c>
      <c r="K7">
        <v>4.5</v>
      </c>
      <c r="L7">
        <v>4</v>
      </c>
      <c r="M7">
        <v>0.5</v>
      </c>
      <c r="N7">
        <v>0.25</v>
      </c>
    </row>
    <row r="8" spans="1:14">
      <c r="A8">
        <v>14</v>
      </c>
      <c r="B8">
        <v>97</v>
      </c>
      <c r="C8">
        <v>2</v>
      </c>
      <c r="D8">
        <v>5</v>
      </c>
      <c r="E8">
        <v>-3</v>
      </c>
      <c r="F8">
        <v>9</v>
      </c>
      <c r="I8">
        <v>15</v>
      </c>
      <c r="J8">
        <v>3</v>
      </c>
      <c r="K8">
        <v>1</v>
      </c>
      <c r="L8">
        <v>7</v>
      </c>
      <c r="M8">
        <v>-6</v>
      </c>
      <c r="N8">
        <v>36</v>
      </c>
    </row>
    <row r="9" spans="1:14">
      <c r="A9">
        <v>6</v>
      </c>
      <c r="B9">
        <v>11</v>
      </c>
      <c r="C9">
        <v>8</v>
      </c>
      <c r="D9">
        <v>8</v>
      </c>
      <c r="E9">
        <v>0</v>
      </c>
      <c r="F9">
        <v>0</v>
      </c>
      <c r="I9">
        <v>7</v>
      </c>
      <c r="J9">
        <v>7</v>
      </c>
      <c r="K9">
        <v>7</v>
      </c>
      <c r="L9">
        <v>1</v>
      </c>
      <c r="M9">
        <v>6</v>
      </c>
      <c r="N9">
        <v>36</v>
      </c>
    </row>
    <row r="10" spans="1:14">
      <c r="A10">
        <v>13</v>
      </c>
      <c r="B10">
        <v>50</v>
      </c>
      <c r="C10">
        <v>3</v>
      </c>
      <c r="D10">
        <v>7</v>
      </c>
      <c r="E10">
        <v>-4</v>
      </c>
      <c r="F10">
        <v>16</v>
      </c>
      <c r="N10" s="23">
        <f>SUM(N3:N9)</f>
        <v>79.5</v>
      </c>
    </row>
    <row r="11" spans="1:14">
      <c r="A11" s="23"/>
      <c r="B11" s="23"/>
      <c r="F11" s="23">
        <f>SUM(F3:F10)</f>
        <v>56</v>
      </c>
    </row>
    <row r="12" spans="1:14">
      <c r="J12" t="s">
        <v>332</v>
      </c>
      <c r="K12">
        <v>2</v>
      </c>
    </row>
    <row r="13" spans="1:14">
      <c r="J13" t="s">
        <v>333</v>
      </c>
      <c r="K13">
        <v>3</v>
      </c>
    </row>
    <row r="14" spans="1:14">
      <c r="C14" t="s">
        <v>328</v>
      </c>
    </row>
    <row r="15" spans="1:14">
      <c r="C15" t="s">
        <v>329</v>
      </c>
      <c r="D15" t="s">
        <v>330</v>
      </c>
      <c r="J15" t="s">
        <v>328</v>
      </c>
    </row>
    <row r="16" spans="1:14">
      <c r="D16">
        <f>1-(6*56)/(8*63)</f>
        <v>0.33333333333333337</v>
      </c>
      <c r="J16" t="s">
        <v>334</v>
      </c>
      <c r="K16" s="23" t="s">
        <v>335</v>
      </c>
      <c r="M16">
        <f>2^3-2/12</f>
        <v>7.833333333333333</v>
      </c>
    </row>
    <row r="17" spans="1:15">
      <c r="K17" s="23" t="s">
        <v>336</v>
      </c>
      <c r="M17">
        <f>3^3-3/12</f>
        <v>26.75</v>
      </c>
    </row>
    <row r="18" spans="1:15">
      <c r="D18" t="s">
        <v>331</v>
      </c>
      <c r="K18" s="23" t="s">
        <v>337</v>
      </c>
      <c r="M18">
        <f>7*48</f>
        <v>336</v>
      </c>
    </row>
    <row r="20" spans="1:15">
      <c r="K20">
        <f>1-6*(79.5+M16+M17)/M18</f>
        <v>-1.0372023809523809</v>
      </c>
      <c r="M20" t="s">
        <v>361</v>
      </c>
    </row>
    <row r="23" spans="1:15">
      <c r="A23" s="23" t="s">
        <v>22</v>
      </c>
      <c r="B23" s="23" t="s">
        <v>323</v>
      </c>
      <c r="C23" s="23" t="s">
        <v>324</v>
      </c>
      <c r="D23" s="23" t="s">
        <v>325</v>
      </c>
      <c r="E23" s="23" t="s">
        <v>326</v>
      </c>
      <c r="F23" s="23" t="s">
        <v>327</v>
      </c>
      <c r="J23" s="23" t="s">
        <v>22</v>
      </c>
      <c r="K23" s="23" t="s">
        <v>323</v>
      </c>
      <c r="L23" s="23" t="s">
        <v>324</v>
      </c>
      <c r="M23" s="23" t="s">
        <v>325</v>
      </c>
      <c r="N23" s="23" t="s">
        <v>326</v>
      </c>
      <c r="O23" s="23" t="s">
        <v>327</v>
      </c>
    </row>
    <row r="24" spans="1:15">
      <c r="A24">
        <v>6</v>
      </c>
      <c r="B24">
        <v>290</v>
      </c>
      <c r="C24">
        <v>2</v>
      </c>
      <c r="D24">
        <v>9</v>
      </c>
      <c r="E24">
        <v>-7</v>
      </c>
      <c r="F24">
        <v>49</v>
      </c>
      <c r="J24">
        <v>26</v>
      </c>
      <c r="K24">
        <v>540</v>
      </c>
      <c r="L24">
        <v>8</v>
      </c>
      <c r="M24">
        <v>8</v>
      </c>
      <c r="N24">
        <v>0</v>
      </c>
      <c r="O24">
        <v>0</v>
      </c>
    </row>
    <row r="25" spans="1:15">
      <c r="A25">
        <v>6</v>
      </c>
      <c r="B25">
        <v>280</v>
      </c>
      <c r="C25">
        <v>2</v>
      </c>
      <c r="D25">
        <v>10</v>
      </c>
      <c r="E25">
        <v>-8</v>
      </c>
      <c r="F25">
        <v>64</v>
      </c>
      <c r="J25">
        <v>27</v>
      </c>
      <c r="K25">
        <v>555</v>
      </c>
      <c r="L25">
        <v>7</v>
      </c>
      <c r="M25">
        <v>7</v>
      </c>
      <c r="N25">
        <v>0</v>
      </c>
      <c r="O25">
        <v>0</v>
      </c>
    </row>
    <row r="26" spans="1:15">
      <c r="A26">
        <v>6</v>
      </c>
      <c r="B26">
        <v>295</v>
      </c>
      <c r="C26">
        <v>2</v>
      </c>
      <c r="D26">
        <v>8</v>
      </c>
      <c r="E26">
        <v>-6</v>
      </c>
      <c r="F26">
        <v>36</v>
      </c>
      <c r="J26">
        <v>33</v>
      </c>
      <c r="K26">
        <v>575</v>
      </c>
      <c r="L26">
        <v>3</v>
      </c>
      <c r="M26">
        <v>6</v>
      </c>
      <c r="N26">
        <v>-3</v>
      </c>
      <c r="O26">
        <v>9</v>
      </c>
    </row>
    <row r="27" spans="1:15">
      <c r="A27">
        <v>2</v>
      </c>
      <c r="B27">
        <v>425</v>
      </c>
      <c r="C27">
        <v>8.5</v>
      </c>
      <c r="D27">
        <v>1.5</v>
      </c>
      <c r="E27">
        <v>7</v>
      </c>
      <c r="F27">
        <v>49</v>
      </c>
      <c r="J27">
        <v>29</v>
      </c>
      <c r="K27">
        <v>577</v>
      </c>
      <c r="L27">
        <v>5.5</v>
      </c>
      <c r="M27">
        <v>5</v>
      </c>
      <c r="N27">
        <v>0.5</v>
      </c>
      <c r="O27">
        <v>0.25</v>
      </c>
    </row>
    <row r="28" spans="1:15">
      <c r="A28">
        <v>2</v>
      </c>
      <c r="B28">
        <v>384</v>
      </c>
      <c r="C28">
        <v>8.5</v>
      </c>
      <c r="D28">
        <v>3</v>
      </c>
      <c r="E28">
        <v>5.5</v>
      </c>
      <c r="F28">
        <f>5.5*5.5</f>
        <v>30.25</v>
      </c>
      <c r="J28">
        <v>29</v>
      </c>
      <c r="K28">
        <v>606</v>
      </c>
      <c r="L28">
        <v>5.5</v>
      </c>
      <c r="M28">
        <v>4</v>
      </c>
      <c r="N28">
        <v>1.5</v>
      </c>
      <c r="O28">
        <f>1.5*1.5</f>
        <v>2.25</v>
      </c>
    </row>
    <row r="29" spans="1:15">
      <c r="A29">
        <v>5</v>
      </c>
      <c r="B29">
        <v>315</v>
      </c>
      <c r="C29">
        <v>4.5</v>
      </c>
      <c r="D29">
        <v>7</v>
      </c>
      <c r="E29">
        <v>-2.5</v>
      </c>
      <c r="F29">
        <f>2.5*2.5</f>
        <v>6.25</v>
      </c>
      <c r="J29">
        <v>34</v>
      </c>
      <c r="K29">
        <v>661</v>
      </c>
      <c r="L29">
        <v>2</v>
      </c>
      <c r="M29">
        <v>3</v>
      </c>
      <c r="N29">
        <v>-1</v>
      </c>
      <c r="O29">
        <v>1</v>
      </c>
    </row>
    <row r="30" spans="1:15">
      <c r="A30">
        <v>4</v>
      </c>
      <c r="B30">
        <v>355</v>
      </c>
      <c r="C30">
        <v>6.5</v>
      </c>
      <c r="D30">
        <v>4</v>
      </c>
      <c r="E30">
        <v>2.5</v>
      </c>
      <c r="F30">
        <v>6.25</v>
      </c>
      <c r="J30">
        <v>30</v>
      </c>
      <c r="K30">
        <v>738</v>
      </c>
      <c r="L30">
        <v>4</v>
      </c>
      <c r="M30">
        <v>2</v>
      </c>
      <c r="N30">
        <v>2</v>
      </c>
      <c r="O30">
        <v>4</v>
      </c>
    </row>
    <row r="31" spans="1:15">
      <c r="A31">
        <v>5</v>
      </c>
      <c r="B31">
        <v>328</v>
      </c>
      <c r="C31">
        <v>4.5</v>
      </c>
      <c r="D31">
        <v>5</v>
      </c>
      <c r="E31">
        <v>-0.5</v>
      </c>
      <c r="F31">
        <f>0.5*0.5</f>
        <v>0.25</v>
      </c>
      <c r="J31">
        <v>40</v>
      </c>
      <c r="K31">
        <v>804</v>
      </c>
      <c r="L31">
        <v>1</v>
      </c>
      <c r="M31">
        <v>1</v>
      </c>
      <c r="N31">
        <v>0</v>
      </c>
      <c r="O31">
        <v>0</v>
      </c>
    </row>
    <row r="32" spans="1:15">
      <c r="A32">
        <v>1</v>
      </c>
      <c r="B32">
        <v>425</v>
      </c>
      <c r="C32">
        <v>10</v>
      </c>
      <c r="D32">
        <v>1.5</v>
      </c>
      <c r="E32">
        <v>8.5</v>
      </c>
      <c r="F32">
        <f>8.5*8.5</f>
        <v>72.25</v>
      </c>
      <c r="J32">
        <v>22</v>
      </c>
      <c r="K32">
        <v>496</v>
      </c>
      <c r="L32">
        <v>9</v>
      </c>
      <c r="M32">
        <v>9</v>
      </c>
      <c r="N32">
        <v>0</v>
      </c>
      <c r="O32">
        <v>0</v>
      </c>
    </row>
    <row r="33" spans="1:15">
      <c r="A33">
        <v>4</v>
      </c>
      <c r="B33">
        <v>325</v>
      </c>
      <c r="C33">
        <v>6.5</v>
      </c>
      <c r="D33">
        <v>6</v>
      </c>
      <c r="E33">
        <v>0.5</v>
      </c>
      <c r="F33">
        <v>0.25</v>
      </c>
      <c r="O33" s="23">
        <f>SUM(O24:O32)</f>
        <v>16.5</v>
      </c>
    </row>
    <row r="34" spans="1:15">
      <c r="F34" s="23">
        <f>SUM(F24:F33)</f>
        <v>313.5</v>
      </c>
    </row>
    <row r="35" spans="1:15">
      <c r="J35" t="s">
        <v>332</v>
      </c>
      <c r="K35">
        <v>2</v>
      </c>
      <c r="L35" s="23" t="s">
        <v>335</v>
      </c>
      <c r="N35">
        <f>H37</f>
        <v>7.833333333333333</v>
      </c>
    </row>
    <row r="36" spans="1:15">
      <c r="C36" t="s">
        <v>332</v>
      </c>
      <c r="D36">
        <v>3</v>
      </c>
      <c r="F36" s="23" t="s">
        <v>335</v>
      </c>
      <c r="H36">
        <f>3^3-3/12</f>
        <v>26.75</v>
      </c>
      <c r="L36" s="23" t="s">
        <v>337</v>
      </c>
      <c r="N36">
        <f>9*80</f>
        <v>720</v>
      </c>
    </row>
    <row r="37" spans="1:15">
      <c r="C37" t="s">
        <v>333</v>
      </c>
      <c r="D37">
        <v>2</v>
      </c>
      <c r="F37" s="23" t="s">
        <v>336</v>
      </c>
      <c r="H37">
        <f>2^3-2/12</f>
        <v>7.833333333333333</v>
      </c>
    </row>
    <row r="38" spans="1:15">
      <c r="C38" t="s">
        <v>346</v>
      </c>
      <c r="D38">
        <v>2</v>
      </c>
      <c r="F38" s="23" t="s">
        <v>349</v>
      </c>
      <c r="H38">
        <f>H37</f>
        <v>7.833333333333333</v>
      </c>
      <c r="J38" t="s">
        <v>334</v>
      </c>
      <c r="K38" t="s">
        <v>353</v>
      </c>
    </row>
    <row r="39" spans="1:15">
      <c r="C39" t="s">
        <v>347</v>
      </c>
      <c r="D39">
        <v>2</v>
      </c>
      <c r="F39" s="23" t="s">
        <v>350</v>
      </c>
      <c r="H39">
        <f>H38</f>
        <v>7.833333333333333</v>
      </c>
    </row>
    <row r="40" spans="1:15">
      <c r="C40" t="s">
        <v>348</v>
      </c>
      <c r="D40">
        <v>2</v>
      </c>
      <c r="F40" s="23" t="s">
        <v>351</v>
      </c>
      <c r="H40">
        <f>H39</f>
        <v>7.833333333333333</v>
      </c>
      <c r="K40">
        <f>1-(6*16.5+N35)/N36</f>
        <v>0.85162037037037042</v>
      </c>
    </row>
    <row r="41" spans="1:15">
      <c r="H41" s="23">
        <f>SUM(H36:H40)</f>
        <v>58.083333333333343</v>
      </c>
    </row>
    <row r="42" spans="1:15">
      <c r="F42" s="23" t="s">
        <v>337</v>
      </c>
      <c r="H42">
        <v>990</v>
      </c>
    </row>
    <row r="43" spans="1:15">
      <c r="B43" t="s">
        <v>334</v>
      </c>
      <c r="C43" t="s">
        <v>352</v>
      </c>
    </row>
    <row r="45" spans="1:15">
      <c r="E45">
        <f>1-(6*313.5+H41)/H42</f>
        <v>-0.95867003367003356</v>
      </c>
    </row>
    <row r="47" spans="1:15">
      <c r="A47" s="23" t="s">
        <v>22</v>
      </c>
      <c r="B47" s="23" t="s">
        <v>323</v>
      </c>
      <c r="C47" s="23" t="s">
        <v>324</v>
      </c>
      <c r="D47" s="23" t="s">
        <v>325</v>
      </c>
      <c r="E47" s="23" t="s">
        <v>326</v>
      </c>
      <c r="F47" s="23" t="s">
        <v>327</v>
      </c>
      <c r="J47" s="23" t="s">
        <v>22</v>
      </c>
      <c r="K47" s="23" t="s">
        <v>323</v>
      </c>
      <c r="L47" s="23" t="s">
        <v>324</v>
      </c>
      <c r="M47" s="23" t="s">
        <v>325</v>
      </c>
      <c r="N47" s="23" t="s">
        <v>326</v>
      </c>
      <c r="O47" s="23" t="s">
        <v>327</v>
      </c>
    </row>
    <row r="48" spans="1:15">
      <c r="A48">
        <v>3</v>
      </c>
      <c r="B48">
        <v>1</v>
      </c>
      <c r="C48">
        <v>6</v>
      </c>
      <c r="D48">
        <v>5.5</v>
      </c>
      <c r="E48">
        <v>0.5</v>
      </c>
      <c r="F48">
        <v>0.25</v>
      </c>
      <c r="J48">
        <v>80</v>
      </c>
      <c r="K48">
        <v>5</v>
      </c>
      <c r="L48">
        <v>5</v>
      </c>
      <c r="M48">
        <v>13</v>
      </c>
      <c r="N48">
        <v>-8</v>
      </c>
      <c r="O48">
        <v>64</v>
      </c>
    </row>
    <row r="49" spans="1:15">
      <c r="A49">
        <v>9</v>
      </c>
      <c r="B49">
        <v>3</v>
      </c>
      <c r="C49">
        <v>5</v>
      </c>
      <c r="D49">
        <v>3</v>
      </c>
      <c r="E49">
        <v>2</v>
      </c>
      <c r="F49">
        <v>4</v>
      </c>
      <c r="J49">
        <v>78</v>
      </c>
      <c r="K49">
        <v>23</v>
      </c>
      <c r="L49">
        <v>7</v>
      </c>
      <c r="M49">
        <v>6.5</v>
      </c>
      <c r="N49">
        <v>0.5</v>
      </c>
      <c r="O49">
        <v>0.25</v>
      </c>
    </row>
    <row r="50" spans="1:15">
      <c r="A50">
        <v>12</v>
      </c>
      <c r="B50">
        <v>4</v>
      </c>
      <c r="C50">
        <v>4</v>
      </c>
      <c r="D50">
        <v>1.5</v>
      </c>
      <c r="E50">
        <v>2.5</v>
      </c>
      <c r="F50">
        <f>2.5*2.5</f>
        <v>6.25</v>
      </c>
      <c r="J50">
        <v>60</v>
      </c>
      <c r="K50">
        <v>25</v>
      </c>
      <c r="L50">
        <v>13</v>
      </c>
      <c r="M50">
        <v>5</v>
      </c>
      <c r="N50">
        <v>8</v>
      </c>
      <c r="O50">
        <v>64</v>
      </c>
    </row>
    <row r="51" spans="1:15">
      <c r="A51">
        <v>14</v>
      </c>
      <c r="B51">
        <v>1</v>
      </c>
      <c r="C51">
        <v>3</v>
      </c>
      <c r="D51">
        <v>5.5</v>
      </c>
      <c r="E51">
        <v>-2.5</v>
      </c>
      <c r="F51">
        <v>6.25</v>
      </c>
      <c r="J51">
        <v>53</v>
      </c>
      <c r="K51">
        <v>48</v>
      </c>
      <c r="L51">
        <v>15</v>
      </c>
      <c r="M51">
        <v>1</v>
      </c>
      <c r="N51">
        <v>14</v>
      </c>
      <c r="O51">
        <v>196</v>
      </c>
    </row>
    <row r="52" spans="1:15">
      <c r="A52">
        <v>15</v>
      </c>
      <c r="B52">
        <v>4</v>
      </c>
      <c r="C52">
        <v>2</v>
      </c>
      <c r="D52">
        <v>1.5</v>
      </c>
      <c r="E52">
        <v>0.5</v>
      </c>
      <c r="F52">
        <v>0.25</v>
      </c>
      <c r="J52">
        <v>85</v>
      </c>
      <c r="K52">
        <v>17</v>
      </c>
      <c r="L52">
        <v>2</v>
      </c>
      <c r="M52">
        <v>9</v>
      </c>
      <c r="N52">
        <v>-7</v>
      </c>
      <c r="O52">
        <v>49</v>
      </c>
    </row>
    <row r="53" spans="1:15">
      <c r="A53">
        <v>17</v>
      </c>
      <c r="B53">
        <v>2</v>
      </c>
      <c r="C53">
        <v>1</v>
      </c>
      <c r="D53">
        <v>4</v>
      </c>
      <c r="E53">
        <v>-3</v>
      </c>
      <c r="F53">
        <v>9</v>
      </c>
      <c r="J53">
        <v>84</v>
      </c>
      <c r="K53">
        <v>8</v>
      </c>
      <c r="L53">
        <v>3</v>
      </c>
      <c r="M53">
        <v>12</v>
      </c>
      <c r="N53">
        <v>-9</v>
      </c>
      <c r="O53">
        <v>81</v>
      </c>
    </row>
    <row r="54" spans="1:15">
      <c r="F54" s="23">
        <f>SUM(F48:F53)</f>
        <v>26</v>
      </c>
      <c r="J54">
        <v>73</v>
      </c>
      <c r="K54">
        <v>4</v>
      </c>
      <c r="L54">
        <v>9</v>
      </c>
      <c r="M54">
        <v>14.5</v>
      </c>
      <c r="N54">
        <v>-5.5</v>
      </c>
      <c r="O54">
        <f>5.5*5.5</f>
        <v>30.25</v>
      </c>
    </row>
    <row r="55" spans="1:15">
      <c r="A55" t="s">
        <v>332</v>
      </c>
      <c r="B55">
        <v>2</v>
      </c>
      <c r="C55" s="23" t="s">
        <v>335</v>
      </c>
      <c r="E55">
        <f>H37</f>
        <v>7.833333333333333</v>
      </c>
      <c r="J55">
        <v>79</v>
      </c>
      <c r="K55">
        <v>26</v>
      </c>
      <c r="L55">
        <v>6</v>
      </c>
      <c r="M55">
        <v>4</v>
      </c>
      <c r="N55">
        <v>2</v>
      </c>
      <c r="O55">
        <v>4</v>
      </c>
    </row>
    <row r="56" spans="1:15">
      <c r="A56" t="s">
        <v>333</v>
      </c>
      <c r="B56">
        <v>2</v>
      </c>
      <c r="C56" s="23" t="s">
        <v>336</v>
      </c>
      <c r="E56">
        <f>E55</f>
        <v>7.833333333333333</v>
      </c>
      <c r="J56">
        <v>81</v>
      </c>
      <c r="K56">
        <v>11</v>
      </c>
      <c r="L56">
        <v>4</v>
      </c>
      <c r="M56">
        <v>11</v>
      </c>
      <c r="N56">
        <v>-7</v>
      </c>
      <c r="O56">
        <v>49</v>
      </c>
    </row>
    <row r="57" spans="1:15">
      <c r="E57" s="23">
        <f>SUM(E55:E56)</f>
        <v>15.666666666666666</v>
      </c>
      <c r="J57">
        <v>75</v>
      </c>
      <c r="K57">
        <v>19</v>
      </c>
      <c r="L57">
        <v>8</v>
      </c>
      <c r="M57">
        <v>8</v>
      </c>
      <c r="N57">
        <v>0</v>
      </c>
      <c r="O57">
        <v>0</v>
      </c>
    </row>
    <row r="58" spans="1:15">
      <c r="J58">
        <v>68</v>
      </c>
      <c r="K58">
        <v>14</v>
      </c>
      <c r="L58">
        <v>11</v>
      </c>
      <c r="M58">
        <v>10</v>
      </c>
      <c r="N58">
        <v>1</v>
      </c>
      <c r="O58">
        <v>1</v>
      </c>
    </row>
    <row r="59" spans="1:15">
      <c r="C59" s="23" t="s">
        <v>337</v>
      </c>
      <c r="E59">
        <f>6*35</f>
        <v>210</v>
      </c>
      <c r="J59">
        <v>72</v>
      </c>
      <c r="K59">
        <v>35</v>
      </c>
      <c r="L59">
        <v>10</v>
      </c>
      <c r="M59">
        <v>2</v>
      </c>
      <c r="N59">
        <v>8</v>
      </c>
      <c r="O59">
        <v>64</v>
      </c>
    </row>
    <row r="60" spans="1:15">
      <c r="J60">
        <v>58</v>
      </c>
      <c r="K60">
        <v>29</v>
      </c>
      <c r="L60">
        <v>14</v>
      </c>
      <c r="M60">
        <v>3</v>
      </c>
      <c r="N60">
        <v>11</v>
      </c>
      <c r="O60">
        <v>121</v>
      </c>
    </row>
    <row r="61" spans="1:15">
      <c r="B61" t="s">
        <v>334</v>
      </c>
      <c r="C61" t="s">
        <v>354</v>
      </c>
      <c r="J61">
        <v>92</v>
      </c>
      <c r="K61">
        <v>4</v>
      </c>
      <c r="L61">
        <v>1</v>
      </c>
      <c r="M61">
        <v>14.5</v>
      </c>
      <c r="N61">
        <v>13.5</v>
      </c>
      <c r="O61">
        <f>13.5*13.5</f>
        <v>182.25</v>
      </c>
    </row>
    <row r="62" spans="1:15">
      <c r="J62">
        <v>65</v>
      </c>
      <c r="K62">
        <v>23</v>
      </c>
      <c r="L62">
        <v>12</v>
      </c>
      <c r="M62">
        <v>6.5</v>
      </c>
      <c r="N62">
        <v>5.5</v>
      </c>
      <c r="O62">
        <v>30.25</v>
      </c>
    </row>
    <row r="63" spans="1:15">
      <c r="C63">
        <f>1-(6*26+E57)/E59</f>
        <v>0.18253968253968256</v>
      </c>
      <c r="O63" s="23">
        <f>SUM(O48:O62)</f>
        <v>936</v>
      </c>
    </row>
    <row r="64" spans="1:15">
      <c r="C64" t="s">
        <v>331</v>
      </c>
    </row>
    <row r="65" spans="1:16">
      <c r="K65" t="s">
        <v>332</v>
      </c>
      <c r="L65">
        <v>2</v>
      </c>
      <c r="M65" s="23" t="s">
        <v>335</v>
      </c>
      <c r="N65" s="22"/>
      <c r="O65" s="22">
        <v>7.8333329999999997</v>
      </c>
      <c r="P65" s="22"/>
    </row>
    <row r="66" spans="1:16">
      <c r="K66" t="s">
        <v>333</v>
      </c>
      <c r="L66">
        <v>2</v>
      </c>
      <c r="M66" s="23" t="s">
        <v>336</v>
      </c>
      <c r="N66" s="22"/>
      <c r="O66" s="22">
        <v>7.8333329999999997</v>
      </c>
    </row>
    <row r="67" spans="1:16">
      <c r="M67" s="22"/>
      <c r="N67" s="22"/>
      <c r="O67" s="23">
        <f>SUM(O65:O66)</f>
        <v>15.666665999999999</v>
      </c>
    </row>
    <row r="68" spans="1:16">
      <c r="M68" s="23" t="s">
        <v>337</v>
      </c>
      <c r="O68">
        <f>15*224</f>
        <v>3360</v>
      </c>
    </row>
    <row r="70" spans="1:16">
      <c r="L70" t="s">
        <v>334</v>
      </c>
      <c r="M70" s="46" t="s">
        <v>355</v>
      </c>
    </row>
    <row r="72" spans="1:16">
      <c r="M72">
        <f>1-(6*936+O67)/O68</f>
        <v>-0.67609126964285715</v>
      </c>
    </row>
    <row r="73" spans="1:16">
      <c r="M73" t="s">
        <v>356</v>
      </c>
    </row>
    <row r="75" spans="1:16">
      <c r="A75" s="23" t="s">
        <v>357</v>
      </c>
      <c r="B75" s="23" t="s">
        <v>358</v>
      </c>
      <c r="C75" s="23" t="s">
        <v>324</v>
      </c>
      <c r="D75" s="23" t="s">
        <v>325</v>
      </c>
      <c r="E75" s="23" t="s">
        <v>326</v>
      </c>
      <c r="F75" s="23" t="s">
        <v>327</v>
      </c>
      <c r="J75" s="23" t="s">
        <v>22</v>
      </c>
      <c r="K75" s="23" t="s">
        <v>323</v>
      </c>
      <c r="L75" s="23" t="s">
        <v>324</v>
      </c>
      <c r="M75" s="23" t="s">
        <v>325</v>
      </c>
      <c r="N75" s="23" t="s">
        <v>326</v>
      </c>
      <c r="O75" s="23" t="s">
        <v>327</v>
      </c>
    </row>
    <row r="76" spans="1:16">
      <c r="A76">
        <v>35</v>
      </c>
      <c r="B76">
        <v>26</v>
      </c>
      <c r="C76">
        <v>9</v>
      </c>
      <c r="D76">
        <v>8.5</v>
      </c>
      <c r="E76">
        <v>0.5</v>
      </c>
      <c r="F76">
        <v>0.25</v>
      </c>
      <c r="J76">
        <v>5</v>
      </c>
      <c r="K76">
        <v>5</v>
      </c>
      <c r="L76">
        <v>7</v>
      </c>
      <c r="M76">
        <v>6</v>
      </c>
      <c r="N76">
        <v>1</v>
      </c>
      <c r="O76">
        <v>1</v>
      </c>
    </row>
    <row r="77" spans="1:16">
      <c r="A77">
        <v>29</v>
      </c>
      <c r="B77">
        <v>22</v>
      </c>
      <c r="C77">
        <v>11</v>
      </c>
      <c r="D77">
        <v>10.5</v>
      </c>
      <c r="E77">
        <v>0.5</v>
      </c>
      <c r="F77">
        <v>0.25</v>
      </c>
      <c r="J77">
        <v>10</v>
      </c>
      <c r="K77">
        <v>2</v>
      </c>
      <c r="L77">
        <v>2</v>
      </c>
      <c r="M77">
        <v>10</v>
      </c>
      <c r="N77">
        <v>-8</v>
      </c>
      <c r="O77">
        <v>64</v>
      </c>
    </row>
    <row r="78" spans="1:16">
      <c r="A78">
        <v>41</v>
      </c>
      <c r="B78">
        <v>32</v>
      </c>
      <c r="C78">
        <v>7</v>
      </c>
      <c r="D78">
        <v>1.5</v>
      </c>
      <c r="E78">
        <v>5.5</v>
      </c>
      <c r="F78">
        <v>30.25</v>
      </c>
      <c r="J78">
        <v>4</v>
      </c>
      <c r="K78">
        <v>8</v>
      </c>
      <c r="L78">
        <v>8</v>
      </c>
      <c r="M78">
        <v>2.5</v>
      </c>
      <c r="N78">
        <v>5.5</v>
      </c>
      <c r="O78">
        <v>30.25</v>
      </c>
    </row>
    <row r="79" spans="1:16">
      <c r="A79">
        <v>66</v>
      </c>
      <c r="B79">
        <v>28</v>
      </c>
      <c r="C79">
        <v>1</v>
      </c>
      <c r="D79">
        <v>6</v>
      </c>
      <c r="E79">
        <v>-5</v>
      </c>
      <c r="F79">
        <v>25</v>
      </c>
      <c r="J79">
        <v>8</v>
      </c>
      <c r="K79">
        <v>3</v>
      </c>
      <c r="L79">
        <v>4</v>
      </c>
      <c r="M79">
        <v>8.5</v>
      </c>
      <c r="N79">
        <v>-4.5</v>
      </c>
      <c r="O79">
        <f>4.5*4.5</f>
        <v>20.25</v>
      </c>
    </row>
    <row r="80" spans="1:16">
      <c r="A80">
        <v>53</v>
      </c>
      <c r="B80">
        <v>31</v>
      </c>
      <c r="C80">
        <v>4</v>
      </c>
      <c r="D80">
        <v>3</v>
      </c>
      <c r="E80">
        <v>1</v>
      </c>
      <c r="F80">
        <v>1</v>
      </c>
      <c r="J80">
        <v>2</v>
      </c>
      <c r="K80">
        <v>8</v>
      </c>
      <c r="L80">
        <v>9</v>
      </c>
      <c r="M80">
        <v>2.5</v>
      </c>
      <c r="N80">
        <v>6.5</v>
      </c>
      <c r="O80">
        <f>6.5*6.5</f>
        <v>42.25</v>
      </c>
    </row>
    <row r="81" spans="1:16">
      <c r="A81">
        <v>48</v>
      </c>
      <c r="B81">
        <v>26</v>
      </c>
      <c r="C81">
        <v>5</v>
      </c>
      <c r="D81">
        <v>8.5</v>
      </c>
      <c r="E81">
        <v>-3.5</v>
      </c>
      <c r="F81">
        <f>3.5*3.5</f>
        <v>12.25</v>
      </c>
      <c r="J81">
        <v>7</v>
      </c>
      <c r="K81">
        <v>5</v>
      </c>
      <c r="L81">
        <v>5</v>
      </c>
      <c r="M81">
        <v>6</v>
      </c>
      <c r="N81">
        <v>-1</v>
      </c>
      <c r="O81">
        <v>1</v>
      </c>
    </row>
    <row r="82" spans="1:16">
      <c r="A82">
        <v>60</v>
      </c>
      <c r="B82">
        <v>30</v>
      </c>
      <c r="C82">
        <v>2</v>
      </c>
      <c r="D82">
        <v>4.5</v>
      </c>
      <c r="E82">
        <v>-2.5</v>
      </c>
      <c r="F82">
        <f>2.5*2.5</f>
        <v>6.25</v>
      </c>
      <c r="J82">
        <v>9</v>
      </c>
      <c r="K82">
        <v>5</v>
      </c>
      <c r="L82">
        <v>3</v>
      </c>
      <c r="M82">
        <v>6</v>
      </c>
      <c r="N82">
        <v>-3</v>
      </c>
      <c r="O82">
        <v>9</v>
      </c>
    </row>
    <row r="83" spans="1:16">
      <c r="A83">
        <v>46</v>
      </c>
      <c r="B83">
        <v>30</v>
      </c>
      <c r="C83">
        <v>6</v>
      </c>
      <c r="D83">
        <v>4.5</v>
      </c>
      <c r="E83">
        <v>1.5</v>
      </c>
      <c r="F83">
        <f>1.5*1.5</f>
        <v>2.25</v>
      </c>
      <c r="J83">
        <v>6</v>
      </c>
      <c r="K83">
        <v>7</v>
      </c>
      <c r="L83">
        <v>6</v>
      </c>
      <c r="M83">
        <v>4</v>
      </c>
      <c r="N83">
        <v>2</v>
      </c>
      <c r="O83">
        <v>4</v>
      </c>
    </row>
    <row r="84" spans="1:16">
      <c r="A84">
        <v>30</v>
      </c>
      <c r="B84">
        <v>22</v>
      </c>
      <c r="C84">
        <v>10</v>
      </c>
      <c r="D84">
        <v>10.5</v>
      </c>
      <c r="E84">
        <v>-0.5</v>
      </c>
      <c r="F84">
        <v>0.25</v>
      </c>
      <c r="J84">
        <v>1</v>
      </c>
      <c r="K84">
        <v>10</v>
      </c>
      <c r="L84">
        <v>10</v>
      </c>
      <c r="M84">
        <v>1</v>
      </c>
      <c r="N84">
        <v>9</v>
      </c>
      <c r="O84">
        <v>81</v>
      </c>
    </row>
    <row r="85" spans="1:16">
      <c r="A85">
        <v>36</v>
      </c>
      <c r="B85">
        <v>27</v>
      </c>
      <c r="C85">
        <v>8</v>
      </c>
      <c r="D85">
        <v>7</v>
      </c>
      <c r="E85">
        <v>1</v>
      </c>
      <c r="F85">
        <v>1</v>
      </c>
      <c r="J85">
        <v>12</v>
      </c>
      <c r="K85">
        <v>3</v>
      </c>
      <c r="L85">
        <v>1</v>
      </c>
      <c r="M85">
        <v>8.5</v>
      </c>
      <c r="N85">
        <v>-7.5</v>
      </c>
      <c r="O85">
        <f>7.5*7.5</f>
        <v>56.25</v>
      </c>
    </row>
    <row r="86" spans="1:16">
      <c r="A86">
        <v>58</v>
      </c>
      <c r="B86">
        <v>32</v>
      </c>
      <c r="C86">
        <v>3</v>
      </c>
      <c r="D86">
        <v>1.5</v>
      </c>
      <c r="E86">
        <v>1.5</v>
      </c>
      <c r="F86">
        <v>2.25</v>
      </c>
      <c r="O86" s="23">
        <f>SUM(O76:O85)</f>
        <v>309</v>
      </c>
    </row>
    <row r="87" spans="1:16">
      <c r="F87" s="23">
        <f>SUM(F76:F86)</f>
        <v>81</v>
      </c>
    </row>
    <row r="88" spans="1:16">
      <c r="K88" s="22" t="s">
        <v>332</v>
      </c>
      <c r="L88" s="22">
        <v>2</v>
      </c>
      <c r="M88" s="22"/>
      <c r="N88" s="23" t="s">
        <v>335</v>
      </c>
      <c r="P88">
        <f>G89</f>
        <v>7.833333333333333</v>
      </c>
    </row>
    <row r="89" spans="1:16">
      <c r="B89" s="22" t="s">
        <v>332</v>
      </c>
      <c r="C89" s="22">
        <v>2</v>
      </c>
      <c r="D89" s="22"/>
      <c r="E89" s="23" t="s">
        <v>335</v>
      </c>
      <c r="G89" s="22">
        <f>E55</f>
        <v>7.833333333333333</v>
      </c>
      <c r="K89" t="s">
        <v>333</v>
      </c>
      <c r="L89">
        <v>3</v>
      </c>
      <c r="N89" s="23" t="s">
        <v>336</v>
      </c>
      <c r="P89">
        <f>H36</f>
        <v>26.75</v>
      </c>
    </row>
    <row r="90" spans="1:16">
      <c r="B90" s="22" t="s">
        <v>333</v>
      </c>
      <c r="C90" s="22">
        <v>2</v>
      </c>
      <c r="D90" s="22"/>
      <c r="E90" s="23" t="s">
        <v>336</v>
      </c>
      <c r="G90" s="22">
        <f>E56</f>
        <v>7.833333333333333</v>
      </c>
      <c r="K90" t="s">
        <v>346</v>
      </c>
      <c r="L90">
        <v>2</v>
      </c>
      <c r="N90" s="23" t="s">
        <v>349</v>
      </c>
      <c r="P90">
        <f>P88</f>
        <v>7.833333333333333</v>
      </c>
    </row>
    <row r="91" spans="1:16">
      <c r="B91" s="22" t="s">
        <v>346</v>
      </c>
      <c r="C91" s="22">
        <v>2</v>
      </c>
      <c r="D91" s="22"/>
      <c r="E91" s="23" t="s">
        <v>349</v>
      </c>
      <c r="G91" s="22">
        <f>G90</f>
        <v>7.833333333333333</v>
      </c>
      <c r="P91" s="23">
        <f>SUM(P88:P90)</f>
        <v>42.416666666666671</v>
      </c>
    </row>
    <row r="92" spans="1:16">
      <c r="B92" s="22" t="s">
        <v>347</v>
      </c>
      <c r="C92" s="22">
        <v>2</v>
      </c>
      <c r="D92" s="22"/>
      <c r="E92" s="23" t="s">
        <v>350</v>
      </c>
      <c r="G92">
        <f>G91</f>
        <v>7.833333333333333</v>
      </c>
    </row>
    <row r="93" spans="1:16">
      <c r="G93" s="23">
        <f>SUM(G89:G92)</f>
        <v>31.333333333333332</v>
      </c>
      <c r="N93" s="23" t="s">
        <v>337</v>
      </c>
      <c r="P93">
        <f>10*99</f>
        <v>990</v>
      </c>
    </row>
    <row r="95" spans="1:16">
      <c r="E95" s="23" t="s">
        <v>337</v>
      </c>
      <c r="G95">
        <f>11*120</f>
        <v>1320</v>
      </c>
      <c r="K95" t="s">
        <v>334</v>
      </c>
      <c r="M95" t="s">
        <v>360</v>
      </c>
    </row>
    <row r="96" spans="1:16">
      <c r="M96">
        <f>1-(6*309+P91)/P93</f>
        <v>-0.9155723905723907</v>
      </c>
    </row>
    <row r="97" spans="2:13">
      <c r="B97" t="s">
        <v>334</v>
      </c>
      <c r="C97" t="s">
        <v>359</v>
      </c>
      <c r="M97" t="s">
        <v>356</v>
      </c>
    </row>
    <row r="99" spans="2:13">
      <c r="C99">
        <f>1-(6*G93)/G95</f>
        <v>0.85757575757575755</v>
      </c>
    </row>
    <row r="100" spans="2:13">
      <c r="C100" t="s">
        <v>331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mean</vt:lpstr>
      <vt:lpstr>median</vt:lpstr>
      <vt:lpstr>mode</vt:lpstr>
      <vt:lpstr>quartile</vt:lpstr>
      <vt:lpstr>quartile deviation</vt:lpstr>
      <vt:lpstr>mean deviation</vt:lpstr>
      <vt:lpstr>standard deviation</vt:lpstr>
      <vt:lpstr>correlation karl's</vt:lpstr>
      <vt:lpstr>correlation spearman's</vt:lpstr>
      <vt:lpstr>regression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MUJEEB</dc:creator>
  <cp:lastModifiedBy>MUJEEB</cp:lastModifiedBy>
  <dcterms:created xsi:type="dcterms:W3CDTF">2022-06-08T10:23:11Z</dcterms:created>
  <dcterms:modified xsi:type="dcterms:W3CDTF">2022-06-24T09:31:13Z</dcterms:modified>
</cp:coreProperties>
</file>