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RA" sheetId="1" state="visible" r:id="rId2"/>
    <sheet name="Table" sheetId="2" state="visible" r:id="rId3"/>
    <sheet name="Side Services Master" sheetId="3" state="visible" r:id="rId4"/>
    <sheet name="lists" sheetId="4" state="visible" r:id="rId5"/>
  </sheets>
  <definedNames>
    <definedName function="false" hidden="false" name="Crops" vbProcedure="false">lists!$B$2:$B$60</definedName>
    <definedName function="false" hidden="false" name="product" vbProcedure="false">lists!$D$2:$D$3</definedName>
    <definedName function="false" hidden="false" name="Units" vbProcedure="false">lists!$A$2:$A$320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<sst xmlns="http://schemas.openxmlformats.org/spreadsheetml/2006/main" count="223" uniqueCount="121">
  <si>
    <t xml:space="preserve">Select Units </t>
  </si>
  <si>
    <t xml:space="preserve">Imperial (ac,bu/ac, units/ac lbs of lint etc)</t>
  </si>
  <si>
    <t xml:space="preserve">Results:</t>
  </si>
  <si>
    <t xml:space="preserve">Add your crop</t>
  </si>
  <si>
    <t xml:space="preserve">Soybeans</t>
  </si>
  <si>
    <t xml:space="preserve">1st Year</t>
  </si>
  <si>
    <t xml:space="preserve">2nd Year</t>
  </si>
  <si>
    <t xml:space="preserve">3rd Year</t>
  </si>
  <si>
    <t xml:space="preserve">Select your operation</t>
  </si>
  <si>
    <t xml:space="preserve">PGR NVRA</t>
  </si>
  <si>
    <t xml:space="preserve">Solid or Liquid product </t>
  </si>
  <si>
    <t xml:space="preserve">Sprayer</t>
  </si>
  <si>
    <t xml:space="preserve">crop list is D17 comment</t>
  </si>
  <si>
    <t xml:space="preserve">Options:</t>
  </si>
  <si>
    <t xml:space="preserve">check comment</t>
  </si>
  <si>
    <t xml:space="preserve">Chemical Cost (without AUG)</t>
  </si>
  <si>
    <t xml:space="preserve">Do not allow choosing the same crop twice</t>
  </si>
  <si>
    <t xml:space="preserve">Fertilization Cost(with Augmenta Savings)</t>
  </si>
  <si>
    <t xml:space="preserve">Yield (Yield without Augmenta)</t>
  </si>
  <si>
    <t xml:space="preserve">Yield (With Augmenta extra yield)</t>
  </si>
  <si>
    <t xml:space="preserve">Total Cropped Area: </t>
  </si>
  <si>
    <t xml:space="preserve">AVG yield </t>
  </si>
  <si>
    <t xml:space="preserve">Production Cost (without Augmenta)</t>
  </si>
  <si>
    <t xml:space="preserve">AVG selling price per unit (from the farm)*</t>
  </si>
  <si>
    <t xml:space="preserve">Production Cost (with Augmenta)</t>
  </si>
  <si>
    <t xml:space="preserve">Cost per hectare/acre for production (not including N) (optional)</t>
  </si>
  <si>
    <t xml:space="preserve">Avg units of fertilizer applied per application*</t>
  </si>
  <si>
    <t xml:space="preserve">Combined Profit (with Augmenta)</t>
  </si>
  <si>
    <t xml:space="preserve">Avg cost of product per unit</t>
  </si>
  <si>
    <t xml:space="preserve">You pay Augmenta:</t>
  </si>
  <si>
    <t xml:space="preserve">Conversion factor</t>
  </si>
  <si>
    <t xml:space="preserve">Savings</t>
  </si>
  <si>
    <t xml:space="preserve">efficiency increase</t>
  </si>
  <si>
    <t xml:space="preserve">Yield increase</t>
  </si>
  <si>
    <t xml:space="preserve">Yearly improvement savings</t>
  </si>
  <si>
    <t xml:space="preserve">Service fee/ha or ha</t>
  </si>
  <si>
    <t xml:space="preserve">Number of in-season applications:*</t>
  </si>
  <si>
    <t xml:space="preserve">Aplications </t>
  </si>
  <si>
    <t xml:space="preserve">Yearly Grand Total (For Farmer)</t>
  </si>
  <si>
    <t xml:space="preserve">Average applied area/day</t>
  </si>
  <si>
    <t xml:space="preserve">Total profit after 3 years</t>
  </si>
  <si>
    <t xml:space="preserve">Corn/Maize</t>
  </si>
  <si>
    <t xml:space="preserve">N VRA</t>
  </si>
  <si>
    <t xml:space="preserve">Spreader</t>
  </si>
  <si>
    <t xml:space="preserve">Gross Profit w/o Augmenta</t>
  </si>
  <si>
    <t xml:space="preserve">Gross Profit w Augmenta</t>
  </si>
  <si>
    <t xml:space="preserve">Cost per hectare/acre for production (optional)</t>
  </si>
  <si>
    <t xml:space="preserve">Product/Units</t>
  </si>
  <si>
    <t xml:space="preserve">Cost/Unit</t>
  </si>
  <si>
    <t xml:space="preserve">Conversion Factor</t>
  </si>
  <si>
    <t xml:space="preserve">% Saving</t>
  </si>
  <si>
    <t xml:space="preserve">Yield</t>
  </si>
  <si>
    <t xml:space="preserve">service fee/ha</t>
  </si>
  <si>
    <t xml:space="preserve">metric (ha,Kg/ha metric tones/ha)</t>
  </si>
  <si>
    <t xml:space="preserve">kg/ha</t>
  </si>
  <si>
    <t xml:space="preserve">$/kg</t>
  </si>
  <si>
    <t xml:space="preserve">l/ha</t>
  </si>
  <si>
    <t xml:space="preserve">$/l</t>
  </si>
  <si>
    <t xml:space="preserve">ml/ha</t>
  </si>
  <si>
    <t xml:space="preserve">HA NVRA</t>
  </si>
  <si>
    <t xml:space="preserve">lbs/ac</t>
  </si>
  <si>
    <t xml:space="preserve">$/US Ton (2000lb)</t>
  </si>
  <si>
    <t xml:space="preserve">gal/ac</t>
  </si>
  <si>
    <t xml:space="preserve">$/ton</t>
  </si>
  <si>
    <t xml:space="preserve">oz/ac</t>
  </si>
  <si>
    <t xml:space="preserve">$/gal</t>
  </si>
  <si>
    <t xml:space="preserve">variables</t>
  </si>
  <si>
    <t xml:space="preserve">DEVICE COST Upfront (40% commission)</t>
  </si>
  <si>
    <t xml:space="preserve">Price of Petrol per lt</t>
  </si>
  <si>
    <t xml:space="preserve">Farm Manager Salary / Day</t>
  </si>
  <si>
    <t xml:space="preserve">% of Driving Savings</t>
  </si>
  <si>
    <t xml:space="preserve">km Drive/acre/day</t>
  </si>
  <si>
    <t xml:space="preserve">Phonecall Costs per day</t>
  </si>
  <si>
    <t xml:space="preserve">% of the tasks than we help</t>
  </si>
  <si>
    <t xml:space="preserve">% Better Decisions taken based on data (reflected to yield)</t>
  </si>
  <si>
    <t xml:space="preserve">% Better Decisions taken based on data (reflected to prod cost)</t>
  </si>
  <si>
    <t xml:space="preserve">Inputs coming from Main Spreadseet</t>
  </si>
  <si>
    <t xml:space="preserve">BACK END HELPER CALCULATIONS</t>
  </si>
  <si>
    <t xml:space="preserve">Total Farm Ha</t>
  </si>
  <si>
    <t xml:space="preserve">$ USD</t>
  </si>
  <si>
    <t xml:space="preserve">Number of in-season applications</t>
  </si>
  <si>
    <t xml:space="preserve">Assumptions</t>
  </si>
  <si>
    <t xml:space="preserve">Farm Size 1-100 Hectares</t>
  </si>
  <si>
    <t xml:space="preserve">AVG Hectares per day</t>
  </si>
  <si>
    <t xml:space="preserve">Total days for fertilization</t>
  </si>
  <si>
    <t xml:space="preserve">Logistics for operation</t>
  </si>
  <si>
    <t xml:space="preserve">Profit Calculation Based on Side Services</t>
  </si>
  <si>
    <t xml:space="preserve">Fleet Management</t>
  </si>
  <si>
    <t xml:space="preserve">Without Augmenta</t>
  </si>
  <si>
    <t xml:space="preserve">Profit/Loss WITH Augmenta</t>
  </si>
  <si>
    <t xml:space="preserve">Per Operation</t>
  </si>
  <si>
    <t xml:space="preserve">All Operations Included</t>
  </si>
  <si>
    <t xml:space="preserve">km Drive/day</t>
  </si>
  <si>
    <t xml:space="preserve">Petrol used (lt)</t>
  </si>
  <si>
    <t xml:space="preserve">Fuel Cost</t>
  </si>
  <si>
    <t xml:space="preserve">Total Km</t>
  </si>
  <si>
    <t xml:space="preserve">Total Fuel Cost</t>
  </si>
  <si>
    <t xml:space="preserve">WITH Augmenta</t>
  </si>
  <si>
    <t xml:space="preserve">Crop &amp; Application Reporting</t>
  </si>
  <si>
    <t xml:space="preserve">Time Saved because of Augmenta (in days)</t>
  </si>
  <si>
    <t xml:space="preserve">Time before and after application (in days)</t>
  </si>
  <si>
    <t xml:space="preserve">Time before and after application in total (in days)</t>
  </si>
  <si>
    <t xml:space="preserve">Cost Saved Because of Augmenta</t>
  </si>
  <si>
    <t xml:space="preserve">Crop1</t>
  </si>
  <si>
    <t xml:space="preserve">Crop2</t>
  </si>
  <si>
    <t xml:space="preserve">CropX</t>
  </si>
  <si>
    <t xml:space="preserve">Production Cost as provided</t>
  </si>
  <si>
    <t xml:space="preserve">Revenue because of Reporting</t>
  </si>
  <si>
    <t xml:space="preserve">Production Cost based on better decisions</t>
  </si>
  <si>
    <t xml:space="preserve">Yield As provided (units)</t>
  </si>
  <si>
    <t xml:space="preserve">Yield based on better decisions (units)</t>
  </si>
  <si>
    <t xml:space="preserve">Revenue because of Yield</t>
  </si>
  <si>
    <t xml:space="preserve">Revenue because of better decisions</t>
  </si>
  <si>
    <t xml:space="preserve">Units </t>
  </si>
  <si>
    <t xml:space="preserve">Crops</t>
  </si>
  <si>
    <t xml:space="preserve">Operation </t>
  </si>
  <si>
    <t xml:space="preserve">Product </t>
  </si>
  <si>
    <t xml:space="preserve">Metric (ha,Kg/ha metric tones/ha)</t>
  </si>
  <si>
    <t xml:space="preserve">Wheat </t>
  </si>
  <si>
    <t xml:space="preserve">Rice </t>
  </si>
  <si>
    <t xml:space="preserve">Cotton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</si>
</sst>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\$#,##0.00"/>
    <numFmt numFmtId="166" formatCode="_(\$* #,##0.00_);_(\$* \(#,##0.00\);_(\$* \-??_);_(@_)"/>
    <numFmt numFmtId="167" formatCode="General"/>
    <numFmt numFmtId="168" formatCode="#,##0.00"/>
    <numFmt numFmtId="169" formatCode="0%"/>
    <numFmt numFmtId="170" formatCode="0"/>
    <numFmt numFmtId="171" formatCode="[$€]#,##0.00"/>
    <numFmt numFmtId="172" formatCode="#,##0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b val="true"/>
      <strike val="true"/>
      <sz val="12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  <font>
      <sz val="12"/>
      <color rgb="FF000000"/>
      <name val="Calibri"/>
      <family val="0"/>
      <charset val="1"/>
    </font>
    <font>
      <b val="true"/>
      <sz val="14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sz val="11"/>
      <color rgb="FF3C4043"/>
      <name val="Robot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24"/>
      <color rgb="FF000000"/>
      <name val="Arial"/>
      <family val="0"/>
      <charset val="1"/>
    </font>
    <font>
      <sz val="24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D0E0E3"/>
        <bgColor rgb="FFD9EAD3"/>
      </patternFill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3F3F3"/>
      </patternFill>
    </fill>
    <fill>
      <patternFill patternType="solid">
        <fgColor rgb="FFA4C2F4"/>
        <bgColor rgb="FFCCCCCC"/>
      </patternFill>
    </fill>
    <fill>
      <patternFill patternType="solid">
        <fgColor rgb="FFFF0000"/>
        <bgColor rgb="FF993300"/>
      </patternFill>
    </fill>
    <fill>
      <patternFill patternType="solid">
        <fgColor rgb="FFFF9900"/>
        <bgColor rgb="FFFFCC00"/>
      </patternFill>
    </fill>
    <fill>
      <patternFill patternType="solid">
        <fgColor rgb="FFCCCCCC"/>
        <bgColor rgb="FFD0E0E3"/>
      </patternFill>
    </fill>
    <fill>
      <patternFill patternType="solid">
        <fgColor rgb="FFD9EAD3"/>
        <bgColor rgb="FFD0E0E3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F3F3F3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49.29"/>
    <col collapsed="false" customWidth="true" hidden="false" outlineLevel="0" max="3" min="3" style="0" width="21.43"/>
    <col collapsed="false" customWidth="true" hidden="false" outlineLevel="0" max="5" min="5" style="0" width="40.85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/>
      <c r="E1" s="3" t="s">
        <v>2</v>
      </c>
      <c r="F1" s="3"/>
      <c r="G1" s="3"/>
      <c r="H1" s="3"/>
      <c r="I1" s="4"/>
      <c r="J1" s="4"/>
      <c r="K1" s="4"/>
      <c r="L1" s="4"/>
      <c r="M1" s="4"/>
    </row>
    <row r="2" customFormat="false" ht="15.75" hidden="false" customHeight="true" outlineLevel="0" collapsed="false">
      <c r="A2" s="5" t="s">
        <v>3</v>
      </c>
      <c r="B2" s="6" t="s">
        <v>4</v>
      </c>
      <c r="C2" s="6"/>
      <c r="F2" s="7" t="s">
        <v>5</v>
      </c>
      <c r="G2" s="7" t="s">
        <v>6</v>
      </c>
      <c r="H2" s="7" t="s">
        <v>7</v>
      </c>
      <c r="I2" s="4"/>
      <c r="J2" s="8"/>
      <c r="K2" s="8"/>
      <c r="L2" s="8"/>
      <c r="M2" s="8"/>
    </row>
    <row r="3" customFormat="false" ht="15.75" hidden="false" customHeight="true" outlineLevel="0" collapsed="false">
      <c r="A3" s="5" t="s">
        <v>8</v>
      </c>
      <c r="B3" s="2" t="s">
        <v>9</v>
      </c>
      <c r="C3" s="2"/>
      <c r="F3" s="9"/>
      <c r="I3" s="4"/>
      <c r="J3" s="10"/>
      <c r="K3" s="10"/>
      <c r="L3" s="10"/>
      <c r="M3" s="10"/>
    </row>
    <row r="4" customFormat="false" ht="15.75" hidden="false" customHeight="true" outlineLevel="0" collapsed="false">
      <c r="A4" s="5" t="s">
        <v>10</v>
      </c>
      <c r="B4" s="2" t="s">
        <v>11</v>
      </c>
      <c r="C4" s="2"/>
      <c r="I4" s="4"/>
      <c r="J4" s="11"/>
      <c r="K4" s="12"/>
      <c r="L4" s="12"/>
      <c r="M4" s="12"/>
    </row>
    <row r="5" customFormat="false" ht="15.75" hidden="false" customHeight="true" outlineLevel="0" collapsed="false">
      <c r="A5" s="13" t="s">
        <v>12</v>
      </c>
      <c r="B5" s="14" t="s">
        <v>13</v>
      </c>
      <c r="C5" s="15" t="s">
        <v>14</v>
      </c>
      <c r="E5" s="7" t="s">
        <v>15</v>
      </c>
      <c r="F5" s="16" t="n">
        <f aca="false">($B$10*$B$14*$B$15*$B$16*$B$22)+($B$34*$B$38*$B$39*$B$40*$B$46)</f>
        <v>17718.75</v>
      </c>
      <c r="G5" s="16" t="n">
        <f aca="false">($B$10*$B$14*$B$15*$B$16*$B$22)+($B$34*$B$38*$B$39*$B$40*$B$46)</f>
        <v>17718.75</v>
      </c>
      <c r="H5" s="16" t="n">
        <f aca="false">($B$10*$B$14*$B$15*$B$16*$B$22)+($B$34*$B$38*$B$39*$B$40*$B$46)</f>
        <v>17718.75</v>
      </c>
      <c r="J5" s="17"/>
      <c r="K5" s="18"/>
      <c r="L5" s="18"/>
      <c r="M5" s="18"/>
    </row>
    <row r="6" customFormat="false" ht="15.75" hidden="false" customHeight="true" outlineLevel="0" collapsed="false">
      <c r="B6" s="19" t="s">
        <v>16</v>
      </c>
      <c r="C6" s="20"/>
      <c r="E6" s="7" t="s">
        <v>17</v>
      </c>
      <c r="F6" s="16" t="n">
        <f aca="false">($B$10*$B$14*$B$15*$B$16*$B$22*(1-$B$17)+($B$34*$B$38*$B$39*$B$40*$B$46*(1-$B$41)))</f>
        <v>15415.3125</v>
      </c>
      <c r="G6" s="16" t="n">
        <f aca="false">($B$10*$B$14*$B$15*$B$16*$B$22*(1-$B$17-(1*B20))+($B$34*$B$38*$B$39*$B$40*$B$46*(1-$B$41-(1*B44))))</f>
        <v>15238.125</v>
      </c>
      <c r="H6" s="21" t="n">
        <f aca="false">($B$10*$B$14*$B$15*$B$16*$B$22*(1-$B$17-(2*B20))+($B$34*$B$38*$B$39*$B$40*$B$46*(1-$B$41-(2*B44))))</f>
        <v>15060.9375</v>
      </c>
      <c r="J6" s="22"/>
      <c r="K6" s="23"/>
      <c r="L6" s="23"/>
      <c r="M6" s="24"/>
    </row>
    <row r="7" customFormat="false" ht="15.75" hidden="false" customHeight="true" outlineLevel="0" collapsed="false">
      <c r="B7" s="19"/>
      <c r="C7" s="20"/>
      <c r="J7" s="8"/>
      <c r="K7" s="8"/>
      <c r="L7" s="8"/>
      <c r="M7" s="8"/>
    </row>
    <row r="8" customFormat="false" ht="15.75" hidden="false" customHeight="true" outlineLevel="0" collapsed="false">
      <c r="B8" s="19"/>
      <c r="C8" s="20"/>
      <c r="E8" s="7" t="s">
        <v>18</v>
      </c>
      <c r="F8" s="9" t="n">
        <f aca="false">$B$10*$B$11*$B$12+$B$34*$B$35*$B$36</f>
        <v>173052</v>
      </c>
      <c r="G8" s="9" t="n">
        <f aca="false">$B$10*$B$11*$B$12+$B$34*$B$35*$B$36</f>
        <v>173052</v>
      </c>
      <c r="H8" s="9" t="n">
        <f aca="false">$B$10*$B$11*$B$12+$B$34*$B$35*$B$36</f>
        <v>173052</v>
      </c>
      <c r="J8" s="11"/>
      <c r="K8" s="25"/>
      <c r="L8" s="25"/>
      <c r="M8" s="25"/>
    </row>
    <row r="9" customFormat="false" ht="15.75" hidden="false" customHeight="true" outlineLevel="0" collapsed="false">
      <c r="B9" s="19"/>
      <c r="C9" s="20"/>
      <c r="E9" s="7" t="s">
        <v>19</v>
      </c>
      <c r="F9" s="16" t="n">
        <f aca="false">$B$10*$B$11*$B$12*(1+$B$19)+$B$34*$B$35*$B$36*(1+$B$43)</f>
        <v>178243.56</v>
      </c>
      <c r="G9" s="16" t="n">
        <f aca="false">$B$10*$B$11*$B$12*(1+$B$19)+$B$34*$B$35*$B$36*(1+$B$43)</f>
        <v>178243.56</v>
      </c>
      <c r="H9" s="16" t="n">
        <f aca="false">$B$10*$B$11*$B$12*(1+$B$19)+$B$34*$B$35*$B$36*(1+$B$43)</f>
        <v>178243.56</v>
      </c>
      <c r="J9" s="11"/>
      <c r="K9" s="12"/>
      <c r="L9" s="12"/>
      <c r="M9" s="26"/>
    </row>
    <row r="10" customFormat="false" ht="15.75" hidden="false" customHeight="true" outlineLevel="0" collapsed="false">
      <c r="A10" s="14" t="s">
        <v>20</v>
      </c>
      <c r="B10" s="27" t="n">
        <v>150</v>
      </c>
      <c r="C10" s="14" t="e">
        <f aca="false">ifs($B$1=lists!$A$2,"Hectare",$B$1=lists!$A$3,"Acre")</f>
        <v>#NAME?</v>
      </c>
      <c r="J10" s="22"/>
      <c r="K10" s="23"/>
      <c r="L10" s="23"/>
      <c r="M10" s="28"/>
    </row>
    <row r="11" customFormat="false" ht="15.75" hidden="false" customHeight="true" outlineLevel="0" collapsed="false">
      <c r="A11" s="14" t="s">
        <v>21</v>
      </c>
      <c r="B11" s="27" t="n">
        <v>210</v>
      </c>
      <c r="C11" s="14" t="e">
        <f aca="false">ifs($B$1=lists!$A$2,"Metric Tones/ha",$B$1=lists!$A$3,"bu/ac")</f>
        <v>#NAME?</v>
      </c>
      <c r="E11" s="7" t="s">
        <v>22</v>
      </c>
      <c r="F11" s="9" t="n">
        <f aca="false">$B$10*$B$13+$B$34*$B$37</f>
        <v>107655</v>
      </c>
      <c r="G11" s="9" t="n">
        <f aca="false">$B$10*$B$13+$B$34*$B$37</f>
        <v>107655</v>
      </c>
      <c r="H11" s="9" t="n">
        <f aca="false">$B$10*$B$13+$B$34*$B$37</f>
        <v>107655</v>
      </c>
      <c r="J11" s="22"/>
      <c r="K11" s="23"/>
      <c r="L11" s="23"/>
      <c r="M11" s="28"/>
    </row>
    <row r="12" customFormat="false" ht="15.75" hidden="false" customHeight="true" outlineLevel="0" collapsed="false">
      <c r="A12" s="14" t="s">
        <v>23</v>
      </c>
      <c r="B12" s="27" t="n">
        <v>5.17</v>
      </c>
      <c r="C12" s="14" t="e">
        <f aca="false">ifs(B1=lists!$A$2,"Price/Metric tone",B1=lists!$A$3,"Price/ac")</f>
        <v>#NAME?</v>
      </c>
      <c r="E12" s="7" t="s">
        <v>24</v>
      </c>
      <c r="F12" s="9" t="n">
        <f aca="false">F11-'Side Services Master'!$M$41-(F11*$B$18)-(F11*$B$42)</f>
        <v>99465.18</v>
      </c>
      <c r="G12" s="9" t="n">
        <f aca="false">G11-'Side Services Master'!$M$41-(G11*$B$18)-(G11*$B$42)</f>
        <v>99465.18</v>
      </c>
      <c r="H12" s="9" t="n">
        <f aca="false">H11-'Side Services Master'!$M$41-(H11*$B$18)-(H11*$B$42)</f>
        <v>99465.18</v>
      </c>
      <c r="J12" s="22"/>
      <c r="K12" s="23"/>
      <c r="L12" s="23"/>
      <c r="M12" s="28"/>
    </row>
    <row r="13" customFormat="false" ht="15.75" hidden="false" customHeight="true" outlineLevel="0" collapsed="false">
      <c r="A13" s="14" t="s">
        <v>25</v>
      </c>
      <c r="B13" s="27" t="n">
        <v>659</v>
      </c>
      <c r="C13" s="14" t="e">
        <f aca="false">ifs(B1=lists!$A$2,"Price/Metric tone",B1=lists!$A$3,"Price/ac")</f>
        <v>#NAME?</v>
      </c>
      <c r="J13" s="22"/>
      <c r="K13" s="23"/>
      <c r="L13" s="23"/>
      <c r="M13" s="28"/>
    </row>
    <row r="14" customFormat="false" ht="15.75" hidden="false" customHeight="true" outlineLevel="0" collapsed="false">
      <c r="A14" s="14" t="s">
        <v>26</v>
      </c>
      <c r="B14" s="27" t="n">
        <v>60</v>
      </c>
      <c r="C14" s="29" t="str">
        <f aca="false">IFERROR(DGET(Table!$A$1:$F$9,Table!$D$1,Table!$M$1:$Q$2),"Spreader not compatible with this operation")</f>
        <v>Spreader not compatible with this operation</v>
      </c>
      <c r="E14" s="7" t="s">
        <v>27</v>
      </c>
      <c r="F14" s="16" t="n">
        <f aca="false">(F9-F8)+(F5-F6)+(F11-F12)</f>
        <v>15684.8175</v>
      </c>
      <c r="G14" s="16" t="n">
        <f aca="false">(G9-G8)+(G5-G6)+(G11-G12)</f>
        <v>15862.005</v>
      </c>
      <c r="H14" s="16" t="n">
        <f aca="false">(H9-H8)+(H5-H6)+(H11-H12)</f>
        <v>16039.1925</v>
      </c>
      <c r="J14" s="22"/>
      <c r="K14" s="23"/>
      <c r="L14" s="23"/>
      <c r="M14" s="28"/>
    </row>
    <row r="15" customFormat="false" ht="15.75" hidden="false" customHeight="true" outlineLevel="0" collapsed="false">
      <c r="A15" s="14" t="s">
        <v>28</v>
      </c>
      <c r="B15" s="27" t="n">
        <v>252</v>
      </c>
      <c r="C15" s="29" t="str">
        <f aca="false">IFERROR(DGET(Table!$A$1:$F$9,Table!$E$1,Table!$M$1:$Q$2),"Spreader not compatible with this operation")</f>
        <v>Spreader not compatible with this operation</v>
      </c>
      <c r="E15" s="30" t="s">
        <v>29</v>
      </c>
      <c r="F15" s="31" t="n">
        <f aca="false">Table!$B$12+($B$10*$B$21*$B$22)+($B$34*$B$21*$B$46)</f>
        <v>12300</v>
      </c>
      <c r="G15" s="31" t="n">
        <f aca="false">($B$10*$B$21*$B$22)+($B$34*$B$21*$B$46)</f>
        <v>300</v>
      </c>
      <c r="H15" s="31" t="n">
        <f aca="false">($B$10*$B$21*$B$22)+($B$34*$B$21*$B$46)</f>
        <v>300</v>
      </c>
      <c r="J15" s="22"/>
      <c r="K15" s="23"/>
      <c r="L15" s="23"/>
      <c r="M15" s="28"/>
    </row>
    <row r="16" customFormat="false" ht="15.75" hidden="true" customHeight="true" outlineLevel="0" collapsed="false">
      <c r="A16" s="14" t="s">
        <v>30</v>
      </c>
      <c r="B16" s="32" t="n">
        <f aca="false">IFERROR(DGET(Table!$A$1:$F$9,Table!$F$1,Table!$M$1:$Q$2),"Spreader not compatible with this operation")</f>
        <v>0.0078125</v>
      </c>
      <c r="C16" s="29" t="str">
        <f aca="false">IFERROR(DGET(Table!$A$1:$F$9,Table!$E$1,Table!$M$1:$Q$2),"Spreader not compatible with this operation")</f>
        <v>Spreader not compatible with this operation</v>
      </c>
      <c r="E16" s="30"/>
      <c r="F16" s="33"/>
      <c r="G16" s="33"/>
      <c r="H16" s="33"/>
      <c r="J16" s="22"/>
      <c r="K16" s="23"/>
      <c r="L16" s="23"/>
      <c r="M16" s="34"/>
    </row>
    <row r="17" customFormat="false" ht="15.75" hidden="true" customHeight="true" outlineLevel="0" collapsed="false">
      <c r="A17" s="14" t="s">
        <v>31</v>
      </c>
      <c r="B17" s="32" t="n">
        <f aca="false">IFERROR(DGET(Table!$A$1:$G$9,Table!$G$1,Table!$M$1:$Q$2),"Spreader not compatible with this operation")</f>
        <v>0.13</v>
      </c>
      <c r="C17" s="29"/>
      <c r="E17" s="30"/>
      <c r="F17" s="33"/>
      <c r="G17" s="33"/>
      <c r="H17" s="33"/>
      <c r="J17" s="34"/>
      <c r="K17" s="34"/>
      <c r="L17" s="34"/>
      <c r="M17" s="34"/>
    </row>
    <row r="18" customFormat="false" ht="15.75" hidden="true" customHeight="true" outlineLevel="0" collapsed="false">
      <c r="A18" s="14" t="s">
        <v>32</v>
      </c>
      <c r="B18" s="32" t="n">
        <f aca="false">IFERROR(DGET(Table!$A$1:$I$9,Table!$H$1,Table!$M$1:$Q$2),"Spreader not compatible with this operation")</f>
        <v>0.05</v>
      </c>
      <c r="C18" s="14"/>
      <c r="E18" s="30"/>
      <c r="F18" s="33"/>
      <c r="G18" s="33"/>
      <c r="H18" s="33"/>
      <c r="J18" s="34"/>
      <c r="K18" s="34"/>
      <c r="L18" s="34"/>
      <c r="M18" s="34"/>
    </row>
    <row r="19" customFormat="false" ht="15.75" hidden="true" customHeight="true" outlineLevel="0" collapsed="false">
      <c r="A19" s="14" t="s">
        <v>33</v>
      </c>
      <c r="B19" s="32" t="n">
        <f aca="false">IFERROR(DGET(Table!$A$1:$I$9,Table!$I$1,Table!$M$1:$Q$2),"Spreader not compatible with this operation")</f>
        <v>0.03</v>
      </c>
      <c r="C19" s="14"/>
      <c r="E19" s="30"/>
      <c r="F19" s="33"/>
      <c r="G19" s="33"/>
      <c r="H19" s="33"/>
      <c r="J19" s="34"/>
      <c r="K19" s="34"/>
      <c r="L19" s="34"/>
      <c r="M19" s="34"/>
    </row>
    <row r="20" customFormat="false" ht="15.75" hidden="true" customHeight="true" outlineLevel="0" collapsed="false">
      <c r="A20" s="14" t="s">
        <v>34</v>
      </c>
      <c r="B20" s="32" t="n">
        <f aca="false">IFERROR(DGET(Table!$A$1:$J$9,Table!$J$1,Table!$M$1:$Q$2),"Spreader not compatible with this operation")</f>
        <v>0.01</v>
      </c>
      <c r="C20" s="14"/>
      <c r="E20" s="30"/>
      <c r="F20" s="33"/>
      <c r="G20" s="33"/>
      <c r="H20" s="33"/>
      <c r="J20" s="34"/>
      <c r="K20" s="34"/>
      <c r="L20" s="34"/>
      <c r="M20" s="34"/>
    </row>
    <row r="21" customFormat="false" ht="15.75" hidden="true" customHeight="true" outlineLevel="0" collapsed="false">
      <c r="A21" s="14" t="s">
        <v>35</v>
      </c>
      <c r="B21" s="32" t="n">
        <f aca="false">IFERROR(DGET(Table!$A$1:$K$9,Table!$K$1,Table!$M$1:$Q$2),"Spreader not compatible with this operation")</f>
        <v>2</v>
      </c>
      <c r="C21" s="14"/>
      <c r="E21" s="30"/>
      <c r="F21" s="33"/>
      <c r="G21" s="33"/>
      <c r="H21" s="33"/>
      <c r="J21" s="34"/>
      <c r="K21" s="34"/>
      <c r="L21" s="34"/>
      <c r="M21" s="34"/>
    </row>
    <row r="22" customFormat="false" ht="15.75" hidden="false" customHeight="true" outlineLevel="0" collapsed="false">
      <c r="A22" s="14" t="s">
        <v>36</v>
      </c>
      <c r="B22" s="27" t="n">
        <v>1</v>
      </c>
      <c r="C22" s="14" t="s">
        <v>37</v>
      </c>
      <c r="E22" s="30" t="s">
        <v>38</v>
      </c>
      <c r="F22" s="33" t="n">
        <f aca="false">F14-F15</f>
        <v>3384.8175</v>
      </c>
      <c r="G22" s="33" t="n">
        <f aca="false">G14-G15</f>
        <v>15562.005</v>
      </c>
      <c r="H22" s="33" t="n">
        <f aca="false">H14-H15</f>
        <v>15739.1925</v>
      </c>
      <c r="J22" s="34"/>
      <c r="K22" s="34"/>
      <c r="L22" s="34"/>
      <c r="M22" s="34"/>
    </row>
    <row r="23" customFormat="false" ht="15.75" hidden="false" customHeight="true" outlineLevel="0" collapsed="false">
      <c r="A23" s="14" t="s">
        <v>39</v>
      </c>
      <c r="B23" s="27" t="n">
        <v>600</v>
      </c>
      <c r="C23" s="14" t="e">
        <f aca="false">ifs($B$1=lists!$A$2,"ha/day",$B$1=lists!$A$3,"ac/day")</f>
        <v>#NAME?</v>
      </c>
      <c r="E23" s="7" t="e">
        <f aca="false">ifs($B$1=lists!$A$2,"Per hectare profit",$B$1=lists!$A$3,"Per acre profit")</f>
        <v>#NAME?</v>
      </c>
      <c r="F23" s="16" t="n">
        <f aca="false">F22/($B$10+$B$34)</f>
        <v>20.5140454545455</v>
      </c>
      <c r="G23" s="16" t="n">
        <f aca="false">G22/($B$10+$B$34)</f>
        <v>94.3151818181818</v>
      </c>
      <c r="H23" s="16" t="n">
        <f aca="false">H22/($B$10+$B$34)</f>
        <v>95.3890454545455</v>
      </c>
      <c r="J23" s="17"/>
      <c r="K23" s="18"/>
      <c r="L23" s="18"/>
      <c r="M23" s="28"/>
    </row>
    <row r="24" customFormat="false" ht="15.75" hidden="false" customHeight="true" outlineLevel="0" collapsed="false">
      <c r="E24" s="7" t="s">
        <v>40</v>
      </c>
      <c r="F24" s="35" t="n">
        <f aca="false">SUM(F22:H22)</f>
        <v>34686.015</v>
      </c>
      <c r="G24" s="36"/>
      <c r="H24" s="36"/>
    </row>
    <row r="25" customFormat="false" ht="15.75" hidden="false" customHeight="true" outlineLevel="0" collapsed="false">
      <c r="A25" s="5" t="s">
        <v>0</v>
      </c>
      <c r="B25" s="37" t="str">
        <f aca="false">B1</f>
        <v>Imperial (ac,bu/ac, units/ac lbs of lint etc)</v>
      </c>
      <c r="C25" s="37"/>
      <c r="E25" s="7" t="e">
        <f aca="false">ifs($B$1=lists!$A$2,"Average profit per hectare",$B$1=lists!$A$3,"Average profit per acre")</f>
        <v>#NAME?</v>
      </c>
      <c r="F25" s="9" t="n">
        <f aca="false">F24/3/(B10+B34)</f>
        <v>70.07275758</v>
      </c>
      <c r="G25" s="9"/>
      <c r="H25" s="9"/>
    </row>
    <row r="26" customFormat="false" ht="15.75" hidden="false" customHeight="true" outlineLevel="0" collapsed="false">
      <c r="A26" s="5" t="s">
        <v>3</v>
      </c>
      <c r="B26" s="38" t="s">
        <v>41</v>
      </c>
      <c r="C26" s="38"/>
    </row>
    <row r="27" customFormat="false" ht="15.75" hidden="false" customHeight="true" outlineLevel="0" collapsed="false">
      <c r="A27" s="5" t="s">
        <v>8</v>
      </c>
      <c r="B27" s="39" t="s">
        <v>42</v>
      </c>
      <c r="C27" s="39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A28" s="5" t="s">
        <v>10</v>
      </c>
      <c r="B28" s="39" t="s">
        <v>43</v>
      </c>
      <c r="C28" s="39"/>
      <c r="J28" s="40"/>
      <c r="K28" s="4"/>
      <c r="L28" s="4"/>
      <c r="M28" s="4"/>
      <c r="N28" s="4"/>
      <c r="O28" s="4"/>
    </row>
    <row r="29" customFormat="false" ht="15.75" hidden="false" customHeight="true" outlineLevel="0" collapsed="false">
      <c r="A29" s="14" t="s">
        <v>12</v>
      </c>
      <c r="B29" s="14" t="s">
        <v>13</v>
      </c>
      <c r="C29" s="15" t="s">
        <v>14</v>
      </c>
      <c r="E29" s="7" t="s">
        <v>44</v>
      </c>
      <c r="F29" s="9" t="n">
        <f aca="false">F8-(F5+F11)</f>
        <v>47678.25</v>
      </c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A30" s="14"/>
      <c r="B30" s="19" t="s">
        <v>16</v>
      </c>
      <c r="C30" s="20"/>
      <c r="E30" s="7" t="s">
        <v>45</v>
      </c>
      <c r="F30" s="16" t="n">
        <f aca="false">F9-(F6+F12+F15)</f>
        <v>51063.0675</v>
      </c>
      <c r="J30" s="41"/>
      <c r="K30" s="42"/>
      <c r="L30" s="42"/>
      <c r="M30" s="42"/>
      <c r="N30" s="4"/>
      <c r="O30" s="4"/>
    </row>
    <row r="31" customFormat="false" ht="15.75" hidden="false" customHeight="true" outlineLevel="0" collapsed="false">
      <c r="A31" s="14"/>
      <c r="B31" s="19"/>
      <c r="C31" s="20"/>
      <c r="F31" s="16" t="n">
        <f aca="false">F30-F29</f>
        <v>3384.8175</v>
      </c>
      <c r="J31" s="4"/>
      <c r="K31" s="42"/>
      <c r="L31" s="42"/>
      <c r="M31" s="42"/>
      <c r="N31" s="4"/>
      <c r="O31" s="4"/>
    </row>
    <row r="32" customFormat="false" ht="15.75" hidden="false" customHeight="true" outlineLevel="0" collapsed="false">
      <c r="A32" s="14"/>
      <c r="B32" s="19"/>
      <c r="C32" s="20"/>
      <c r="J32" s="43"/>
      <c r="K32" s="44"/>
      <c r="L32" s="44"/>
      <c r="M32" s="44"/>
      <c r="N32" s="44"/>
      <c r="O32" s="4"/>
    </row>
    <row r="33" customFormat="false" ht="15.75" hidden="false" customHeight="true" outlineLevel="0" collapsed="false">
      <c r="A33" s="14"/>
      <c r="B33" s="19"/>
      <c r="C33" s="20"/>
      <c r="J33" s="43"/>
      <c r="K33" s="45"/>
      <c r="L33" s="45"/>
      <c r="M33" s="45"/>
      <c r="N33" s="46"/>
      <c r="O33" s="4"/>
    </row>
    <row r="34" customFormat="false" ht="15.75" hidden="false" customHeight="true" outlineLevel="0" collapsed="false">
      <c r="A34" s="14" t="s">
        <v>20</v>
      </c>
      <c r="B34" s="47" t="n">
        <v>15</v>
      </c>
      <c r="C34" s="14" t="e">
        <f aca="false">ifs($B$25=lists!$A$2,"Hectare",$B$25=lists!$A$3,"Acre")</f>
        <v>#NAME?</v>
      </c>
      <c r="J34" s="43"/>
      <c r="K34" s="45"/>
      <c r="L34" s="44"/>
      <c r="M34" s="44"/>
      <c r="N34" s="46"/>
      <c r="O34" s="4"/>
    </row>
    <row r="35" customFormat="false" ht="15.75" hidden="false" customHeight="true" outlineLevel="0" collapsed="false">
      <c r="A35" s="14" t="s">
        <v>21</v>
      </c>
      <c r="B35" s="27" t="n">
        <v>55</v>
      </c>
      <c r="C35" s="14" t="e">
        <f aca="false">ifs($B$25=lists!$A$2,"Metric Tones/ha",$B$25=lists!$A$3,"bu/ac")</f>
        <v>#NAME?</v>
      </c>
      <c r="J35" s="43"/>
      <c r="K35" s="44"/>
      <c r="L35" s="45"/>
      <c r="M35" s="45"/>
      <c r="N35" s="46"/>
      <c r="O35" s="4"/>
    </row>
    <row r="36" customFormat="false" ht="15.75" hidden="false" customHeight="true" outlineLevel="0" collapsed="false">
      <c r="A36" s="14" t="s">
        <v>23</v>
      </c>
      <c r="B36" s="27" t="n">
        <v>12.36</v>
      </c>
      <c r="C36" s="14" t="e">
        <f aca="false">ifs(B25=lists!$A$2,"Price/Metric tone",B25=lists!$A$3,"Price/ac")</f>
        <v>#NAME?</v>
      </c>
      <c r="J36" s="43"/>
      <c r="K36" s="45"/>
      <c r="L36" s="44"/>
      <c r="M36" s="44"/>
      <c r="N36" s="46"/>
      <c r="O36" s="4"/>
    </row>
    <row r="37" customFormat="false" ht="15.75" hidden="false" customHeight="true" outlineLevel="0" collapsed="false">
      <c r="A37" s="14" t="s">
        <v>46</v>
      </c>
      <c r="B37" s="27" t="n">
        <v>587</v>
      </c>
      <c r="C37" s="14" t="e">
        <f aca="false">ifs(B25=lists!$A$2,"Price/Metric tone",B25=lists!$A$3,"Price/ac")</f>
        <v>#NAME?</v>
      </c>
      <c r="J37" s="43"/>
      <c r="K37" s="45"/>
      <c r="L37" s="45"/>
      <c r="M37" s="45"/>
      <c r="N37" s="46"/>
      <c r="O37" s="4"/>
    </row>
    <row r="38" customFormat="false" ht="15.75" hidden="false" customHeight="true" outlineLevel="0" collapsed="false">
      <c r="A38" s="14" t="s">
        <v>26</v>
      </c>
      <c r="B38" s="27" t="n">
        <v>0</v>
      </c>
      <c r="C38" s="29" t="str">
        <f aca="false">IFERROR(DGET(Table!$A$1:$E$9,Table!$D$1,Table!M4:P5),"Spreader not compatible with this operation")</f>
        <v>lbs/ac</v>
      </c>
      <c r="J38" s="43"/>
      <c r="K38" s="44"/>
      <c r="L38" s="44"/>
      <c r="M38" s="44"/>
      <c r="N38" s="46"/>
      <c r="O38" s="4"/>
    </row>
    <row r="39" customFormat="false" ht="15.75" hidden="false" customHeight="true" outlineLevel="0" collapsed="false">
      <c r="A39" s="14" t="s">
        <v>28</v>
      </c>
      <c r="B39" s="27" t="n">
        <v>0</v>
      </c>
      <c r="C39" s="29" t="str">
        <f aca="false">IFERROR(DGET(Table!$A$1:$E$9,Table!$E$1,Table!M4:P5),"Spreader not compatible with this operation")</f>
        <v>$/US Ton (2000lb)</v>
      </c>
      <c r="J39" s="43"/>
      <c r="K39" s="45"/>
      <c r="L39" s="45"/>
      <c r="M39" s="45"/>
      <c r="N39" s="46"/>
      <c r="O39" s="4"/>
    </row>
    <row r="40" customFormat="false" ht="15.75" hidden="true" customHeight="true" outlineLevel="0" collapsed="false">
      <c r="A40" s="14" t="s">
        <v>30</v>
      </c>
      <c r="B40" s="32" t="n">
        <f aca="false">IFERROR(DGET(Table!$A$1:$F$9,Table!$F$1,Table!M4:P5),"Spreader not compatible with this operation")</f>
        <v>0.0005</v>
      </c>
      <c r="C40" s="14"/>
      <c r="J40" s="43"/>
      <c r="K40" s="45"/>
      <c r="L40" s="44"/>
      <c r="M40" s="44"/>
      <c r="N40" s="46"/>
      <c r="O40" s="4"/>
    </row>
    <row r="41" customFormat="false" ht="15.75" hidden="true" customHeight="true" outlineLevel="0" collapsed="false">
      <c r="A41" s="14" t="s">
        <v>31</v>
      </c>
      <c r="B41" s="32" t="n">
        <f aca="false">IFERROR(DGET(Table!$A$1:$G$9,Table!$G$1,Table!$M$4:$P$5),"Spreader not compatible with this operation")</f>
        <v>0.04</v>
      </c>
      <c r="C41" s="14"/>
      <c r="J41" s="43"/>
      <c r="K41" s="44"/>
      <c r="L41" s="45"/>
      <c r="M41" s="45"/>
      <c r="N41" s="48"/>
      <c r="O41" s="4"/>
    </row>
    <row r="42" customFormat="false" ht="15.75" hidden="true" customHeight="true" outlineLevel="0" collapsed="false">
      <c r="A42" s="14" t="s">
        <v>32</v>
      </c>
      <c r="B42" s="32" t="n">
        <f aca="false">IFERROR(DGET(Table!$A$1:$I$9,Table!$H$1,Table!$M$4:$Q$5),"Spreader not compatible with this operation")</f>
        <v>0</v>
      </c>
      <c r="C42" s="14"/>
      <c r="J42" s="43"/>
      <c r="K42" s="44"/>
      <c r="L42" s="45"/>
      <c r="M42" s="45"/>
      <c r="N42" s="48"/>
      <c r="O42" s="4"/>
    </row>
    <row r="43" customFormat="false" ht="15.75" hidden="true" customHeight="true" outlineLevel="0" collapsed="false">
      <c r="A43" s="14" t="s">
        <v>33</v>
      </c>
      <c r="B43" s="32" t="n">
        <f aca="false">IFERROR(DGET(Table!$A$1:$J$9,Table!$J$1,Table!$M$4:$Q$5),"Spreader not compatible with this operation")</f>
        <v>0.03</v>
      </c>
      <c r="C43" s="14"/>
      <c r="J43" s="43"/>
      <c r="K43" s="44"/>
      <c r="L43" s="45"/>
      <c r="M43" s="45"/>
      <c r="N43" s="48"/>
      <c r="O43" s="4"/>
    </row>
    <row r="44" customFormat="false" ht="15.75" hidden="true" customHeight="true" outlineLevel="0" collapsed="false">
      <c r="A44" s="14" t="s">
        <v>34</v>
      </c>
      <c r="B44" s="32" t="n">
        <f aca="false">IFERROR(DGET(Table!$A$1:$J$9,Table!$J$1,Table!$M$4:$Q$5),"Spreader not compatible with this operation")</f>
        <v>0.03</v>
      </c>
      <c r="C44" s="14"/>
      <c r="J44" s="43"/>
      <c r="K44" s="44"/>
      <c r="L44" s="45"/>
      <c r="M44" s="45"/>
      <c r="N44" s="48"/>
      <c r="O44" s="4"/>
    </row>
    <row r="45" customFormat="false" ht="15.75" hidden="true" customHeight="true" outlineLevel="0" collapsed="false">
      <c r="A45" s="14" t="s">
        <v>35</v>
      </c>
      <c r="B45" s="32" t="n">
        <f aca="false">IFERROR(DGET(Table!$A$1:$K$9,Table!$K$1,Table!$M$4:$Q$5),"Spreader not compatible with this operation")</f>
        <v>3</v>
      </c>
      <c r="C45" s="14"/>
      <c r="J45" s="43"/>
      <c r="K45" s="44"/>
      <c r="L45" s="45"/>
      <c r="M45" s="45"/>
      <c r="N45" s="48"/>
      <c r="O45" s="4"/>
    </row>
    <row r="46" customFormat="false" ht="15.75" hidden="false" customHeight="true" outlineLevel="0" collapsed="false">
      <c r="A46" s="14" t="s">
        <v>36</v>
      </c>
      <c r="B46" s="27" t="n">
        <v>0</v>
      </c>
      <c r="C46" s="14" t="s">
        <v>37</v>
      </c>
      <c r="J46" s="43"/>
      <c r="K46" s="44"/>
      <c r="L46" s="45"/>
      <c r="M46" s="45"/>
      <c r="N46" s="48"/>
      <c r="O46" s="4"/>
    </row>
    <row r="47" customFormat="false" ht="15.75" hidden="false" customHeight="true" outlineLevel="0" collapsed="false">
      <c r="A47" s="14" t="s">
        <v>39</v>
      </c>
      <c r="B47" s="27" t="n">
        <v>600</v>
      </c>
      <c r="C47" s="14" t="e">
        <f aca="false">ifs($B$25=lists!$A$2,"ha/day",$B$25=lists!$A$3,"ac/day")</f>
        <v>#NAME?</v>
      </c>
      <c r="J47" s="4"/>
      <c r="K47" s="4"/>
      <c r="L47" s="4"/>
      <c r="M47" s="4"/>
      <c r="N47" s="4"/>
      <c r="O47" s="4"/>
    </row>
    <row r="48" customFormat="false" ht="15.75" hidden="false" customHeight="true" outlineLevel="0" collapsed="false">
      <c r="J48" s="4"/>
      <c r="K48" s="4"/>
      <c r="L48" s="4"/>
      <c r="M48" s="4"/>
      <c r="N48" s="4"/>
      <c r="O48" s="4"/>
    </row>
    <row r="49" customFormat="false" ht="15.75" hidden="false" customHeight="true" outlineLevel="0" collapsed="false">
      <c r="J49" s="4"/>
      <c r="K49" s="4"/>
      <c r="L49" s="4"/>
      <c r="M49" s="4"/>
      <c r="N49" s="4"/>
      <c r="O49" s="4"/>
    </row>
    <row r="50" customFormat="false" ht="15.75" hidden="false" customHeight="true" outlineLevel="0" collapsed="false">
      <c r="J50" s="4"/>
      <c r="K50" s="4"/>
      <c r="L50" s="4"/>
      <c r="M50" s="4"/>
      <c r="N50" s="4"/>
      <c r="O50" s="4"/>
    </row>
    <row r="51" customFormat="false" ht="15.75" hidden="false" customHeight="true" outlineLevel="0" collapsed="false">
      <c r="J51" s="4"/>
      <c r="K51" s="4"/>
      <c r="L51" s="4"/>
      <c r="M51" s="4"/>
      <c r="N51" s="4"/>
      <c r="O51" s="4"/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3">
    <mergeCell ref="B1:C1"/>
    <mergeCell ref="E1:H1"/>
    <mergeCell ref="B2:C2"/>
    <mergeCell ref="J2:M2"/>
    <mergeCell ref="B3:C3"/>
    <mergeCell ref="B4:C4"/>
    <mergeCell ref="B6:B9"/>
    <mergeCell ref="J7:M7"/>
    <mergeCell ref="B25:C25"/>
    <mergeCell ref="B26:C26"/>
    <mergeCell ref="B27:C27"/>
    <mergeCell ref="B28:C28"/>
    <mergeCell ref="B30:B33"/>
  </mergeCells>
  <dataValidations count="4">
    <dataValidation allowBlank="true" errorStyle="stop" operator="between" showDropDown="false" showErrorMessage="false" showInputMessage="false" sqref="B2 B26" type="list">
      <formula1>Crops</formula1>
      <formula2>0</formula2>
    </dataValidation>
    <dataValidation allowBlank="true" errorStyle="stop" operator="between" showDropDown="false" showErrorMessage="false" showInputMessage="false" sqref="B3 B27" type="list">
      <formula1>lists!$C$2:$C$90</formula1>
      <formula2>0</formula2>
    </dataValidation>
    <dataValidation allowBlank="true" errorStyle="stop" operator="between" showDropDown="false" showErrorMessage="false" showInputMessage="false" sqref="B1" type="list">
      <formula1>Units</formula1>
      <formula2>0</formula2>
    </dataValidation>
    <dataValidation allowBlank="true" errorStyle="stop" operator="between" showDropDown="false" showErrorMessage="false" showInputMessage="false" sqref="B4 B28" type="list">
      <formula1>product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6.12"/>
    <col collapsed="false" customWidth="true" hidden="false" outlineLevel="0" max="2" min="2" style="0" width="20.98"/>
    <col collapsed="false" customWidth="true" hidden="false" outlineLevel="0" max="3" min="3" style="0" width="24"/>
    <col collapsed="false" customWidth="true" hidden="false" outlineLevel="0" max="5" min="5" style="0" width="17.64"/>
    <col collapsed="false" customWidth="true" hidden="false" outlineLevel="0" max="10" min="10" style="0" width="22.09"/>
    <col collapsed="false" customWidth="false" hidden="true" outlineLevel="0" max="16" min="12" style="0" width="14.43"/>
  </cols>
  <sheetData>
    <row r="1" customFormat="false" ht="35.05" hidden="false" customHeight="true" outlineLevel="0" collapsed="false">
      <c r="A1" s="49" t="s">
        <v>0</v>
      </c>
      <c r="B1" s="49" t="s">
        <v>8</v>
      </c>
      <c r="C1" s="49" t="s">
        <v>10</v>
      </c>
      <c r="D1" s="49" t="s">
        <v>47</v>
      </c>
      <c r="E1" s="49" t="s">
        <v>48</v>
      </c>
      <c r="F1" s="49" t="s">
        <v>49</v>
      </c>
      <c r="G1" s="49" t="s">
        <v>50</v>
      </c>
      <c r="H1" s="49" t="s">
        <v>32</v>
      </c>
      <c r="I1" s="49" t="s">
        <v>51</v>
      </c>
      <c r="J1" s="49" t="s">
        <v>34</v>
      </c>
      <c r="K1" s="49" t="s">
        <v>52</v>
      </c>
      <c r="M1" s="1" t="s">
        <v>0</v>
      </c>
      <c r="N1" s="5" t="s">
        <v>8</v>
      </c>
      <c r="O1" s="5" t="s">
        <v>10</v>
      </c>
      <c r="P1" s="5" t="s">
        <v>47</v>
      </c>
    </row>
    <row r="2" customFormat="false" ht="36.55" hidden="false" customHeight="true" outlineLevel="0" collapsed="false">
      <c r="A2" s="19" t="s">
        <v>53</v>
      </c>
      <c r="B2" s="19" t="s">
        <v>42</v>
      </c>
      <c r="C2" s="19" t="s">
        <v>43</v>
      </c>
      <c r="D2" s="50" t="s">
        <v>54</v>
      </c>
      <c r="E2" s="50" t="s">
        <v>55</v>
      </c>
      <c r="F2" s="50" t="n">
        <f aca="false">1/1000</f>
        <v>0.001</v>
      </c>
      <c r="G2" s="51" t="n">
        <v>0.04</v>
      </c>
      <c r="H2" s="51" t="n">
        <v>0</v>
      </c>
      <c r="I2" s="51" t="n">
        <v>0.03</v>
      </c>
      <c r="J2" s="50" t="n">
        <v>0.03</v>
      </c>
      <c r="K2" s="50" t="n">
        <v>4</v>
      </c>
      <c r="M2" s="7" t="str">
        <f aca="false">VRA!B1</f>
        <v>Imperial (ac,bu/ac, units/ac lbs of lint etc)</v>
      </c>
      <c r="N2" s="7" t="str">
        <f aca="false">VRA!B3</f>
        <v>PGR NVRA</v>
      </c>
      <c r="O2" s="7" t="str">
        <f aca="false">VRA!B4</f>
        <v>Sprayer</v>
      </c>
      <c r="P2" s="7"/>
    </row>
    <row r="3" customFormat="false" ht="32.05" hidden="false" customHeight="true" outlineLevel="0" collapsed="false">
      <c r="A3" s="19" t="s">
        <v>53</v>
      </c>
      <c r="B3" s="14" t="s">
        <v>42</v>
      </c>
      <c r="C3" s="14" t="s">
        <v>11</v>
      </c>
      <c r="D3" s="51" t="s">
        <v>56</v>
      </c>
      <c r="E3" s="51" t="s">
        <v>57</v>
      </c>
      <c r="F3" s="51" t="n">
        <v>1</v>
      </c>
      <c r="G3" s="51" t="n">
        <v>0.04</v>
      </c>
      <c r="H3" s="51" t="n">
        <v>0</v>
      </c>
      <c r="I3" s="51" t="n">
        <v>0.03</v>
      </c>
      <c r="J3" s="51" t="n">
        <v>0.03</v>
      </c>
      <c r="K3" s="51" t="n">
        <v>4</v>
      </c>
      <c r="M3" s="7"/>
      <c r="N3" s="7"/>
      <c r="O3" s="7"/>
      <c r="P3" s="7"/>
    </row>
    <row r="4" customFormat="false" ht="35.8" hidden="false" customHeight="true" outlineLevel="0" collapsed="false">
      <c r="A4" s="19" t="s">
        <v>53</v>
      </c>
      <c r="B4" s="14" t="s">
        <v>9</v>
      </c>
      <c r="C4" s="14" t="s">
        <v>11</v>
      </c>
      <c r="D4" s="51" t="s">
        <v>58</v>
      </c>
      <c r="E4" s="51" t="s">
        <v>57</v>
      </c>
      <c r="F4" s="51" t="n">
        <f aca="false">1/1000</f>
        <v>0.001</v>
      </c>
      <c r="G4" s="51" t="n">
        <v>0.13</v>
      </c>
      <c r="H4" s="51" t="n">
        <v>0.05</v>
      </c>
      <c r="I4" s="51" t="n">
        <v>0.03</v>
      </c>
      <c r="J4" s="51" t="n">
        <v>0.01</v>
      </c>
      <c r="K4" s="51" t="n">
        <v>1.5</v>
      </c>
      <c r="M4" s="1" t="s">
        <v>0</v>
      </c>
      <c r="N4" s="5" t="s">
        <v>8</v>
      </c>
      <c r="O4" s="5" t="s">
        <v>10</v>
      </c>
      <c r="P4" s="5" t="s">
        <v>47</v>
      </c>
    </row>
    <row r="5" customFormat="false" ht="31.3" hidden="false" customHeight="true" outlineLevel="0" collapsed="false">
      <c r="A5" s="19" t="s">
        <v>53</v>
      </c>
      <c r="B5" s="14" t="s">
        <v>59</v>
      </c>
      <c r="C5" s="14" t="s">
        <v>11</v>
      </c>
      <c r="D5" s="51" t="s">
        <v>58</v>
      </c>
      <c r="E5" s="51" t="s">
        <v>57</v>
      </c>
      <c r="F5" s="51" t="n">
        <f aca="false">1/1000</f>
        <v>0.001</v>
      </c>
      <c r="G5" s="51" t="n">
        <v>0.1</v>
      </c>
      <c r="H5" s="51" t="n">
        <v>0.05</v>
      </c>
      <c r="I5" s="51" t="n">
        <v>0.03</v>
      </c>
      <c r="J5" s="51" t="n">
        <v>0.01</v>
      </c>
      <c r="K5" s="51" t="n">
        <v>1.5</v>
      </c>
      <c r="M5" s="7" t="str">
        <f aca="false">VRA!B25</f>
        <v>Imperial (ac,bu/ac, units/ac lbs of lint etc)</v>
      </c>
      <c r="N5" s="7" t="str">
        <f aca="false">VRA!B27</f>
        <v>N VRA</v>
      </c>
      <c r="O5" s="7" t="str">
        <f aca="false">VRA!B28</f>
        <v>Spreader</v>
      </c>
      <c r="P5" s="7"/>
    </row>
    <row r="6" customFormat="false" ht="32.05" hidden="false" customHeight="true" outlineLevel="0" collapsed="false">
      <c r="A6" s="19" t="s">
        <v>1</v>
      </c>
      <c r="B6" s="14" t="s">
        <v>42</v>
      </c>
      <c r="C6" s="14" t="s">
        <v>43</v>
      </c>
      <c r="D6" s="51" t="s">
        <v>60</v>
      </c>
      <c r="E6" s="51" t="s">
        <v>61</v>
      </c>
      <c r="F6" s="51" t="n">
        <f aca="false">1/2000</f>
        <v>0.0005</v>
      </c>
      <c r="G6" s="51" t="n">
        <v>0.04</v>
      </c>
      <c r="H6" s="51" t="n">
        <v>0</v>
      </c>
      <c r="I6" s="51" t="n">
        <v>0.03</v>
      </c>
      <c r="J6" s="51" t="n">
        <v>0.03</v>
      </c>
      <c r="K6" s="51" t="n">
        <v>3</v>
      </c>
    </row>
    <row r="7" customFormat="false" ht="35.05" hidden="false" customHeight="true" outlineLevel="0" collapsed="false">
      <c r="A7" s="19" t="s">
        <v>1</v>
      </c>
      <c r="B7" s="14" t="s">
        <v>42</v>
      </c>
      <c r="C7" s="14" t="s">
        <v>11</v>
      </c>
      <c r="D7" s="51" t="s">
        <v>62</v>
      </c>
      <c r="E7" s="51" t="s">
        <v>63</v>
      </c>
      <c r="F7" s="51" t="n">
        <f aca="false">11.2/2000</f>
        <v>0.0056</v>
      </c>
      <c r="G7" s="51" t="n">
        <v>0.04</v>
      </c>
      <c r="H7" s="51" t="n">
        <v>0</v>
      </c>
      <c r="I7" s="51" t="n">
        <v>0.03</v>
      </c>
      <c r="J7" s="51" t="n">
        <v>0.03</v>
      </c>
      <c r="K7" s="51" t="n">
        <v>3</v>
      </c>
    </row>
    <row r="8" customFormat="false" ht="34.3" hidden="false" customHeight="true" outlineLevel="0" collapsed="false">
      <c r="A8" s="19" t="s">
        <v>1</v>
      </c>
      <c r="B8" s="14" t="s">
        <v>9</v>
      </c>
      <c r="C8" s="14" t="s">
        <v>11</v>
      </c>
      <c r="D8" s="51" t="s">
        <v>64</v>
      </c>
      <c r="E8" s="51" t="s">
        <v>65</v>
      </c>
      <c r="F8" s="51" t="n">
        <f aca="false">1/128</f>
        <v>0.0078125</v>
      </c>
      <c r="G8" s="51" t="n">
        <v>0.13</v>
      </c>
      <c r="H8" s="51" t="n">
        <v>0.05</v>
      </c>
      <c r="I8" s="51" t="n">
        <v>0.03</v>
      </c>
      <c r="J8" s="51" t="n">
        <v>0.01</v>
      </c>
      <c r="K8" s="51" t="n">
        <v>2</v>
      </c>
    </row>
    <row r="9" customFormat="false" ht="29.85" hidden="false" customHeight="true" outlineLevel="0" collapsed="false">
      <c r="A9" s="19" t="s">
        <v>1</v>
      </c>
      <c r="B9" s="14" t="s">
        <v>59</v>
      </c>
      <c r="C9" s="14" t="s">
        <v>11</v>
      </c>
      <c r="D9" s="51" t="s">
        <v>64</v>
      </c>
      <c r="E9" s="51" t="s">
        <v>65</v>
      </c>
      <c r="F9" s="51" t="n">
        <f aca="false">1/128</f>
        <v>0.0078125</v>
      </c>
      <c r="G9" s="51" t="n">
        <v>0.1</v>
      </c>
      <c r="H9" s="51" t="n">
        <v>0.05</v>
      </c>
      <c r="I9" s="51" t="n">
        <v>0.03</v>
      </c>
      <c r="J9" s="51" t="n">
        <v>0.01</v>
      </c>
      <c r="K9" s="51" t="n">
        <v>2</v>
      </c>
    </row>
    <row r="10" customFormat="false" ht="15.75" hidden="false" customHeight="true" outlineLevel="0" collapsed="false"/>
    <row r="11" customFormat="false" ht="15.75" hidden="false" customHeight="true" outlineLevel="0" collapsed="false">
      <c r="A11" s="7" t="s">
        <v>66</v>
      </c>
    </row>
    <row r="12" customFormat="false" ht="41" hidden="false" customHeight="true" outlineLevel="0" collapsed="false">
      <c r="A12" s="52" t="s">
        <v>67</v>
      </c>
      <c r="B12" s="53" t="n">
        <v>12000</v>
      </c>
    </row>
    <row r="13" customFormat="false" ht="15.75" hidden="false" customHeight="true" outlineLevel="0" collapsed="false">
      <c r="A13" s="52" t="s">
        <v>68</v>
      </c>
      <c r="B13" s="53" t="n">
        <v>1</v>
      </c>
    </row>
    <row r="14" customFormat="false" ht="15.75" hidden="false" customHeight="true" outlineLevel="0" collapsed="false">
      <c r="A14" s="52" t="s">
        <v>69</v>
      </c>
      <c r="B14" s="53" t="n">
        <v>100</v>
      </c>
    </row>
    <row r="15" customFormat="false" ht="15.75" hidden="false" customHeight="true" outlineLevel="0" collapsed="false">
      <c r="A15" s="52" t="s">
        <v>70</v>
      </c>
      <c r="B15" s="53" t="n">
        <v>0.5</v>
      </c>
    </row>
    <row r="16" customFormat="false" ht="15.75" hidden="false" customHeight="true" outlineLevel="0" collapsed="false">
      <c r="A16" s="52" t="s">
        <v>71</v>
      </c>
      <c r="B16" s="53" t="n">
        <v>5</v>
      </c>
    </row>
    <row r="17" customFormat="false" ht="15.75" hidden="false" customHeight="true" outlineLevel="0" collapsed="false">
      <c r="A17" s="52" t="s">
        <v>72</v>
      </c>
      <c r="B17" s="53" t="n">
        <v>3</v>
      </c>
    </row>
    <row r="18" customFormat="false" ht="15.75" hidden="false" customHeight="true" outlineLevel="0" collapsed="false">
      <c r="A18" s="54" t="s">
        <v>73</v>
      </c>
      <c r="B18" s="55" t="n">
        <v>0.5</v>
      </c>
    </row>
    <row r="19" customFormat="false" ht="41.75" hidden="false" customHeight="true" outlineLevel="0" collapsed="false">
      <c r="A19" s="54" t="s">
        <v>74</v>
      </c>
      <c r="B19" s="55" t="n">
        <v>0.01</v>
      </c>
    </row>
    <row r="20" customFormat="false" ht="46.25" hidden="false" customHeight="true" outlineLevel="0" collapsed="false">
      <c r="A20" s="54" t="s">
        <v>75</v>
      </c>
      <c r="B20" s="55" t="n">
        <v>0.01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30" activeCellId="0" sqref="M30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61.86"/>
    <col collapsed="false" customWidth="true" hidden="false" outlineLevel="0" max="2" min="2" style="0" width="21.71"/>
    <col collapsed="false" customWidth="true" hidden="false" outlineLevel="0" max="3" min="3" style="0" width="18.12"/>
    <col collapsed="false" customWidth="true" hidden="false" outlineLevel="0" max="12" min="12" style="0" width="2.77"/>
    <col collapsed="false" customWidth="true" hidden="false" outlineLevel="0" max="13" min="13" style="0" width="38.43"/>
  </cols>
  <sheetData>
    <row r="1" customFormat="false" ht="15.75" hidden="false" customHeight="true" outlineLevel="0" collapsed="false">
      <c r="A1" s="7" t="s">
        <v>76</v>
      </c>
      <c r="B1" s="7" t="s">
        <v>77</v>
      </c>
      <c r="I1" s="1"/>
    </row>
    <row r="2" customFormat="false" ht="15.75" hidden="false" customHeight="true" outlineLevel="0" collapsed="false">
      <c r="A2" s="7" t="s">
        <v>78</v>
      </c>
      <c r="B2" s="4" t="n">
        <f aca="false">VRA!B10+VRA!B34</f>
        <v>165</v>
      </c>
      <c r="F2" s="7"/>
      <c r="G2" s="7"/>
      <c r="I2" s="7"/>
    </row>
    <row r="3" customFormat="false" ht="15.75" hidden="false" customHeight="true" outlineLevel="0" collapsed="false">
      <c r="A3" s="7" t="s">
        <v>68</v>
      </c>
      <c r="B3" s="56" t="n">
        <f aca="false">Table!B13</f>
        <v>1</v>
      </c>
      <c r="C3" s="7" t="s">
        <v>79</v>
      </c>
      <c r="E3" s="7"/>
      <c r="F3" s="7"/>
      <c r="G3" s="7"/>
    </row>
    <row r="4" customFormat="false" ht="15.75" hidden="false" customHeight="true" outlineLevel="0" collapsed="false">
      <c r="A4" s="34" t="s">
        <v>80</v>
      </c>
      <c r="B4" s="57" t="n">
        <f aca="false">VRA!B46+VRA!B22</f>
        <v>1</v>
      </c>
      <c r="F4" s="7"/>
      <c r="G4" s="7"/>
    </row>
    <row r="5" customFormat="false" ht="15.75" hidden="false" customHeight="true" outlineLevel="0" collapsed="false">
      <c r="A5" s="14" t="s">
        <v>39</v>
      </c>
      <c r="F5" s="7"/>
      <c r="G5" s="7"/>
    </row>
    <row r="6" customFormat="false" ht="15.75" hidden="false" customHeight="true" outlineLevel="0" collapsed="false">
      <c r="A6" s="58" t="s">
        <v>81</v>
      </c>
      <c r="G6" s="7"/>
    </row>
    <row r="7" customFormat="false" ht="15.75" hidden="false" customHeight="true" outlineLevel="0" collapsed="false">
      <c r="A7" s="59" t="s">
        <v>82</v>
      </c>
      <c r="B7" s="59"/>
      <c r="C7" s="59"/>
    </row>
    <row r="9" customFormat="false" ht="15.75" hidden="false" customHeight="true" outlineLevel="0" collapsed="false">
      <c r="A9" s="34" t="s">
        <v>83</v>
      </c>
      <c r="B9" s="60" t="n">
        <f aca="false">(VRA!B23+VRA!B47)/2</f>
        <v>600</v>
      </c>
      <c r="C9" s="34"/>
    </row>
    <row r="10" customFormat="false" ht="15.75" hidden="false" customHeight="true" outlineLevel="0" collapsed="false">
      <c r="A10" s="34"/>
      <c r="B10" s="10"/>
      <c r="C10" s="34"/>
    </row>
    <row r="11" customFormat="false" ht="15.75" hidden="false" customHeight="true" outlineLevel="0" collapsed="false">
      <c r="A11" s="34" t="s">
        <v>84</v>
      </c>
      <c r="B11" s="57" t="n">
        <f aca="false">B2/B9</f>
        <v>0.275</v>
      </c>
      <c r="C11" s="34"/>
    </row>
    <row r="12" customFormat="false" ht="15.75" hidden="false" customHeight="true" outlineLevel="0" collapsed="false">
      <c r="A12" s="34" t="s">
        <v>85</v>
      </c>
      <c r="B12" s="57" t="n">
        <f aca="false">B11/4</f>
        <v>0.06875</v>
      </c>
      <c r="C12" s="34"/>
    </row>
    <row r="13" customFormat="false" ht="15.75" hidden="false" customHeight="true" outlineLevel="0" collapsed="false">
      <c r="A13" s="34" t="s">
        <v>69</v>
      </c>
      <c r="B13" s="61" t="n">
        <f aca="false">Table!B14</f>
        <v>100</v>
      </c>
      <c r="C13" s="34"/>
    </row>
    <row r="15" customFormat="false" ht="15.75" hidden="false" customHeight="true" outlineLevel="0" collapsed="false">
      <c r="A15" s="62" t="s">
        <v>86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</row>
    <row r="16" customFormat="false" ht="15.75" hidden="false" customHeight="true" outlineLevel="0" collapsed="false">
      <c r="A16" s="63" t="s">
        <v>87</v>
      </c>
      <c r="B16" s="64" t="s">
        <v>88</v>
      </c>
      <c r="C16" s="64"/>
      <c r="D16" s="64"/>
      <c r="E16" s="64"/>
      <c r="F16" s="64"/>
      <c r="G16" s="64"/>
      <c r="H16" s="64"/>
      <c r="I16" s="64"/>
      <c r="J16" s="64"/>
      <c r="K16" s="64"/>
      <c r="M16" s="65" t="s">
        <v>89</v>
      </c>
      <c r="N16" s="66"/>
      <c r="O16" s="66"/>
      <c r="P16" s="66"/>
    </row>
    <row r="17" customFormat="false" ht="15.75" hidden="false" customHeight="true" outlineLevel="0" collapsed="false">
      <c r="A17" s="34"/>
      <c r="B17" s="67" t="s">
        <v>90</v>
      </c>
      <c r="C17" s="67"/>
      <c r="D17" s="67"/>
      <c r="E17" s="67"/>
      <c r="F17" s="67"/>
      <c r="G17" s="34"/>
      <c r="H17" s="68" t="s">
        <v>91</v>
      </c>
      <c r="I17" s="68"/>
      <c r="J17" s="68"/>
      <c r="K17" s="68"/>
      <c r="M17" s="69" t="n">
        <f aca="false">K19-K27</f>
        <v>0.317625</v>
      </c>
      <c r="N17" s="66"/>
      <c r="O17" s="66"/>
      <c r="P17" s="66"/>
    </row>
    <row r="18" customFormat="false" ht="15.75" hidden="false" customHeight="true" outlineLevel="0" collapsed="false">
      <c r="A18" s="70" t="s">
        <v>70</v>
      </c>
      <c r="B18" s="71" t="s">
        <v>92</v>
      </c>
      <c r="C18" s="71" t="s">
        <v>93</v>
      </c>
      <c r="D18" s="71" t="s">
        <v>94</v>
      </c>
      <c r="E18" s="71" t="s">
        <v>95</v>
      </c>
      <c r="F18" s="71" t="s">
        <v>96</v>
      </c>
      <c r="G18" s="34"/>
      <c r="H18" s="71" t="s">
        <v>93</v>
      </c>
      <c r="I18" s="71" t="s">
        <v>94</v>
      </c>
      <c r="J18" s="71" t="s">
        <v>95</v>
      </c>
      <c r="K18" s="71" t="s">
        <v>96</v>
      </c>
      <c r="M18" s="69"/>
      <c r="N18" s="66"/>
      <c r="O18" s="66"/>
      <c r="P18" s="66"/>
    </row>
    <row r="19" customFormat="false" ht="15.75" hidden="false" customHeight="true" outlineLevel="0" collapsed="false">
      <c r="A19" s="72" t="n">
        <f aca="false">Table!B15</f>
        <v>0.5</v>
      </c>
      <c r="B19" s="61" t="n">
        <f aca="false">B2/Table!B16</f>
        <v>33</v>
      </c>
      <c r="C19" s="73" t="n">
        <f aca="false">7*B19*0.01</f>
        <v>2.31</v>
      </c>
      <c r="D19" s="73" t="n">
        <f aca="false">C19*$B$3</f>
        <v>2.31</v>
      </c>
      <c r="E19" s="73" t="n">
        <f aca="false">B11*B19</f>
        <v>9.075</v>
      </c>
      <c r="F19" s="74" t="n">
        <f aca="false">B11*D19</f>
        <v>0.63525</v>
      </c>
      <c r="G19" s="34"/>
      <c r="H19" s="73" t="n">
        <f aca="false">C19*B4*B11</f>
        <v>0.63525</v>
      </c>
      <c r="I19" s="73" t="n">
        <f aca="false">D19*B4*B11</f>
        <v>0.63525</v>
      </c>
      <c r="J19" s="73" t="n">
        <f aca="false">B19*B11*B4</f>
        <v>9.075</v>
      </c>
      <c r="K19" s="73" t="n">
        <f aca="false">D19*B11*B4</f>
        <v>0.63525</v>
      </c>
      <c r="M19" s="69"/>
      <c r="N19" s="66"/>
      <c r="O19" s="66"/>
      <c r="P19" s="66"/>
    </row>
    <row r="20" customFormat="false" ht="15.75" hidden="false" customHeight="true" outlineLevel="0" collapsed="false">
      <c r="A20" s="75"/>
      <c r="B20" s="70"/>
      <c r="C20" s="70"/>
      <c r="D20" s="70"/>
      <c r="E20" s="34"/>
      <c r="F20" s="34"/>
      <c r="G20" s="34"/>
      <c r="H20" s="34"/>
      <c r="I20" s="34"/>
      <c r="J20" s="34"/>
      <c r="K20" s="34"/>
      <c r="M20" s="69"/>
      <c r="N20" s="66"/>
      <c r="O20" s="66"/>
      <c r="P20" s="66"/>
    </row>
    <row r="21" customFormat="false" ht="15.75" hidden="false" customHeight="true" outlineLevel="0" collapsed="false">
      <c r="A21" s="34"/>
      <c r="B21" s="34" t="s">
        <v>72</v>
      </c>
      <c r="G21" s="34"/>
      <c r="H21" s="34" t="s">
        <v>72</v>
      </c>
      <c r="I21" s="34"/>
      <c r="J21" s="34"/>
      <c r="K21" s="34"/>
      <c r="M21" s="66"/>
      <c r="N21" s="66"/>
      <c r="O21" s="66"/>
      <c r="P21" s="66"/>
    </row>
    <row r="22" customFormat="false" ht="15.75" hidden="false" customHeight="true" outlineLevel="0" collapsed="false">
      <c r="A22" s="34"/>
      <c r="B22" s="61" t="n">
        <f aca="false">Table!B17</f>
        <v>3</v>
      </c>
      <c r="G22" s="34"/>
      <c r="H22" s="73" t="n">
        <f aca="false">B22*B4</f>
        <v>3</v>
      </c>
      <c r="I22" s="76"/>
      <c r="J22" s="76"/>
      <c r="K22" s="34"/>
      <c r="M22" s="66"/>
      <c r="N22" s="66"/>
      <c r="O22" s="66"/>
      <c r="P22" s="66"/>
    </row>
    <row r="23" customFormat="false" ht="15.75" hidden="false" customHeight="true" outlineLevel="0" collapsed="false">
      <c r="A23" s="34"/>
      <c r="C23" s="34"/>
      <c r="D23" s="34"/>
      <c r="E23" s="34"/>
      <c r="F23" s="34"/>
      <c r="G23" s="34"/>
      <c r="H23" s="70"/>
      <c r="I23" s="70"/>
      <c r="J23" s="70"/>
      <c r="K23" s="70"/>
      <c r="M23" s="66"/>
      <c r="N23" s="66"/>
      <c r="O23" s="66"/>
      <c r="P23" s="66"/>
    </row>
    <row r="24" customFormat="false" ht="15.75" hidden="false" customHeight="true" outlineLevel="0" collapsed="false">
      <c r="A24" s="34"/>
      <c r="B24" s="64" t="s">
        <v>97</v>
      </c>
      <c r="C24" s="64"/>
      <c r="D24" s="64"/>
      <c r="E24" s="64"/>
      <c r="F24" s="64"/>
      <c r="G24" s="64"/>
      <c r="H24" s="64"/>
      <c r="I24" s="64"/>
      <c r="J24" s="64"/>
      <c r="K24" s="64"/>
      <c r="M24" s="66"/>
      <c r="N24" s="66"/>
      <c r="O24" s="66"/>
      <c r="P24" s="66"/>
    </row>
    <row r="25" customFormat="false" ht="15.75" hidden="false" customHeight="true" outlineLevel="0" collapsed="false">
      <c r="A25" s="34"/>
      <c r="B25" s="67" t="s">
        <v>90</v>
      </c>
      <c r="C25" s="67"/>
      <c r="D25" s="67"/>
      <c r="E25" s="67"/>
      <c r="F25" s="67"/>
      <c r="G25" s="34"/>
      <c r="H25" s="68" t="s">
        <v>91</v>
      </c>
      <c r="I25" s="68"/>
      <c r="J25" s="68"/>
      <c r="K25" s="68"/>
      <c r="M25" s="77"/>
      <c r="N25" s="77"/>
      <c r="O25" s="77"/>
      <c r="P25" s="77"/>
    </row>
    <row r="26" customFormat="false" ht="15.75" hidden="false" customHeight="true" outlineLevel="0" collapsed="false">
      <c r="B26" s="71" t="s">
        <v>92</v>
      </c>
      <c r="C26" s="71" t="s">
        <v>93</v>
      </c>
      <c r="D26" s="71" t="s">
        <v>94</v>
      </c>
      <c r="E26" s="71" t="s">
        <v>95</v>
      </c>
      <c r="F26" s="71" t="s">
        <v>96</v>
      </c>
      <c r="G26" s="34"/>
      <c r="H26" s="71" t="s">
        <v>93</v>
      </c>
      <c r="I26" s="71" t="s">
        <v>94</v>
      </c>
      <c r="J26" s="71" t="s">
        <v>95</v>
      </c>
      <c r="K26" s="71" t="s">
        <v>96</v>
      </c>
      <c r="M26" s="34"/>
      <c r="N26" s="34"/>
      <c r="O26" s="34"/>
      <c r="P26" s="34"/>
    </row>
    <row r="27" customFormat="false" ht="15.75" hidden="false" customHeight="true" outlineLevel="0" collapsed="false">
      <c r="B27" s="9" t="n">
        <f aca="false">B19*A19</f>
        <v>16.5</v>
      </c>
      <c r="C27" s="9" t="n">
        <f aca="false">C19*A19</f>
        <v>1.155</v>
      </c>
      <c r="D27" s="9" t="n">
        <f aca="false">D19*A19</f>
        <v>1.155</v>
      </c>
      <c r="E27" s="9" t="n">
        <f aca="false">E19*A19</f>
        <v>4.5375</v>
      </c>
      <c r="F27" s="78" t="n">
        <f aca="false">F19*A19</f>
        <v>0.317625</v>
      </c>
      <c r="G27" s="34"/>
      <c r="H27" s="9" t="n">
        <f aca="false">H19*A19</f>
        <v>0.317625</v>
      </c>
      <c r="I27" s="9" t="n">
        <f aca="false">I19*A19</f>
        <v>0.317625</v>
      </c>
      <c r="J27" s="9" t="n">
        <f aca="false">J19*A19</f>
        <v>4.5375</v>
      </c>
      <c r="K27" s="9" t="n">
        <f aca="false">K19*A19</f>
        <v>0.317625</v>
      </c>
      <c r="M27" s="34"/>
      <c r="N27" s="34"/>
      <c r="O27" s="34"/>
      <c r="P27" s="34"/>
    </row>
    <row r="28" customFormat="false" ht="15.75" hidden="false" customHeight="tru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customFormat="false" ht="15.75" hidden="false" customHeight="true" outlineLevel="0" collapsed="false">
      <c r="A29" s="63" t="s">
        <v>98</v>
      </c>
      <c r="B29" s="64" t="s">
        <v>88</v>
      </c>
      <c r="C29" s="64"/>
      <c r="D29" s="64"/>
      <c r="E29" s="64"/>
      <c r="F29" s="64"/>
      <c r="G29" s="64"/>
      <c r="H29" s="64"/>
      <c r="I29" s="64"/>
      <c r="J29" s="64"/>
      <c r="K29" s="64"/>
      <c r="M29" s="79" t="s">
        <v>99</v>
      </c>
    </row>
    <row r="30" customFormat="false" ht="27.6" hidden="false" customHeight="true" outlineLevel="0" collapsed="false">
      <c r="B30" s="67" t="s">
        <v>90</v>
      </c>
      <c r="C30" s="67"/>
      <c r="D30" s="67"/>
      <c r="E30" s="67"/>
      <c r="F30" s="67"/>
      <c r="G30" s="34"/>
      <c r="H30" s="68" t="s">
        <v>91</v>
      </c>
      <c r="I30" s="68"/>
      <c r="J30" s="68"/>
      <c r="K30" s="68"/>
      <c r="M30" s="80" t="n">
        <f aca="false">H32-H37</f>
        <v>0.034375</v>
      </c>
    </row>
    <row r="31" customFormat="false" ht="15.75" hidden="false" customHeight="true" outlineLevel="0" collapsed="false">
      <c r="A31" s="66" t="s">
        <v>73</v>
      </c>
      <c r="B31" s="81" t="s">
        <v>100</v>
      </c>
      <c r="C31" s="81"/>
      <c r="D31" s="81"/>
      <c r="E31" s="81"/>
      <c r="F31" s="81"/>
      <c r="G31" s="34"/>
      <c r="H31" s="81" t="s">
        <v>101</v>
      </c>
      <c r="I31" s="81"/>
      <c r="J31" s="81"/>
      <c r="K31" s="81"/>
    </row>
    <row r="32" customFormat="false" ht="15.75" hidden="false" customHeight="true" outlineLevel="0" collapsed="false">
      <c r="A32" s="82" t="n">
        <f aca="false">Table!B18</f>
        <v>0.5</v>
      </c>
      <c r="B32" s="81" t="n">
        <f aca="false">B12</f>
        <v>0.06875</v>
      </c>
      <c r="C32" s="81"/>
      <c r="D32" s="81"/>
      <c r="E32" s="81"/>
      <c r="F32" s="81"/>
      <c r="G32" s="34"/>
      <c r="H32" s="81" t="n">
        <f aca="false">B32*B4</f>
        <v>0.06875</v>
      </c>
      <c r="I32" s="81"/>
      <c r="J32" s="81"/>
      <c r="K32" s="81"/>
    </row>
    <row r="33" customFormat="false" ht="15.75" hidden="false" customHeight="true" outlineLevel="0" collapsed="false">
      <c r="A33" s="83" t="s">
        <v>74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customFormat="false" ht="15.75" hidden="false" customHeight="true" outlineLevel="0" collapsed="false">
      <c r="A34" s="72" t="n">
        <f aca="false">Table!B19</f>
        <v>0.01</v>
      </c>
      <c r="B34" s="64" t="s">
        <v>97</v>
      </c>
      <c r="C34" s="64"/>
      <c r="D34" s="64"/>
      <c r="E34" s="64"/>
      <c r="F34" s="64"/>
      <c r="G34" s="64"/>
      <c r="H34" s="64"/>
      <c r="I34" s="64"/>
      <c r="J34" s="64"/>
      <c r="K34" s="64"/>
      <c r="M34" s="79" t="s">
        <v>102</v>
      </c>
    </row>
    <row r="35" customFormat="false" ht="28.35" hidden="false" customHeight="true" outlineLevel="0" collapsed="false">
      <c r="A35" s="83" t="s">
        <v>75</v>
      </c>
      <c r="B35" s="67" t="s">
        <v>90</v>
      </c>
      <c r="C35" s="67"/>
      <c r="D35" s="67"/>
      <c r="E35" s="67"/>
      <c r="F35" s="67"/>
      <c r="G35" s="34"/>
      <c r="H35" s="68" t="s">
        <v>91</v>
      </c>
      <c r="I35" s="68"/>
      <c r="J35" s="68"/>
      <c r="K35" s="68"/>
      <c r="M35" s="84" t="n">
        <f aca="false">M30*B13</f>
        <v>3.4375</v>
      </c>
    </row>
    <row r="36" customFormat="false" ht="15.75" hidden="false" customHeight="true" outlineLevel="0" collapsed="false">
      <c r="A36" s="72" t="n">
        <f aca="false">Table!B20</f>
        <v>0.01</v>
      </c>
      <c r="B36" s="81" t="s">
        <v>100</v>
      </c>
      <c r="C36" s="81"/>
      <c r="D36" s="81"/>
      <c r="E36" s="81"/>
      <c r="F36" s="81"/>
      <c r="G36" s="34"/>
      <c r="H36" s="81" t="s">
        <v>101</v>
      </c>
      <c r="I36" s="81"/>
      <c r="J36" s="81"/>
      <c r="K36" s="81"/>
    </row>
    <row r="37" customFormat="false" ht="15.75" hidden="false" customHeight="true" outlineLevel="0" collapsed="false">
      <c r="A37" s="34"/>
      <c r="B37" s="81" t="n">
        <f aca="false">B32*A32</f>
        <v>0.034375</v>
      </c>
      <c r="C37" s="81"/>
      <c r="D37" s="81"/>
      <c r="E37" s="81"/>
      <c r="F37" s="81"/>
      <c r="G37" s="34"/>
      <c r="H37" s="81" t="n">
        <f aca="false">B37*B4</f>
        <v>0.034375</v>
      </c>
      <c r="I37" s="81"/>
      <c r="J37" s="81"/>
      <c r="K37" s="81"/>
    </row>
    <row r="38" customFormat="false" ht="15.75" hidden="false" customHeight="true" outlineLevel="0" collapsed="false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customFormat="false" ht="15.75" hidden="false" customHeight="true" outlineLevel="0" collapsed="false">
      <c r="A39" s="34"/>
      <c r="B39" s="34" t="s">
        <v>103</v>
      </c>
      <c r="C39" s="34" t="s">
        <v>104</v>
      </c>
      <c r="D39" s="34" t="s">
        <v>105</v>
      </c>
      <c r="E39" s="34"/>
      <c r="F39" s="34"/>
      <c r="G39" s="34"/>
      <c r="H39" s="34"/>
      <c r="I39" s="34"/>
      <c r="J39" s="34"/>
      <c r="K39" s="34"/>
    </row>
    <row r="40" customFormat="false" ht="15.75" hidden="false" customHeight="true" outlineLevel="0" collapsed="false">
      <c r="A40" s="63" t="s">
        <v>106</v>
      </c>
      <c r="B40" s="34" t="n">
        <f aca="false">VRA!B10*VRA!B13</f>
        <v>98850</v>
      </c>
      <c r="C40" s="34" t="n">
        <f aca="false">VRA!B34*VRA!B37</f>
        <v>8805</v>
      </c>
      <c r="D40" s="34"/>
      <c r="E40" s="34"/>
      <c r="F40" s="34"/>
      <c r="G40" s="34"/>
      <c r="H40" s="34"/>
      <c r="I40" s="34"/>
      <c r="J40" s="34"/>
      <c r="K40" s="34"/>
      <c r="M40" s="79" t="s">
        <v>107</v>
      </c>
    </row>
    <row r="41" customFormat="false" ht="26.1" hidden="false" customHeight="true" outlineLevel="0" collapsed="false">
      <c r="A41" s="34" t="s">
        <v>108</v>
      </c>
      <c r="B41" s="76" t="n">
        <f aca="false">B40-(B40*A36)</f>
        <v>97861.5</v>
      </c>
      <c r="C41" s="85" t="n">
        <f aca="false">C40-(C40*A36)</f>
        <v>8716.95</v>
      </c>
      <c r="D41" s="34"/>
      <c r="E41" s="34"/>
      <c r="F41" s="34"/>
      <c r="G41" s="34"/>
      <c r="H41" s="76"/>
      <c r="I41" s="34"/>
      <c r="J41" s="34"/>
      <c r="K41" s="34"/>
      <c r="M41" s="86" t="n">
        <f aca="false">(B46+B47+C46+C47)</f>
        <v>2807.07</v>
      </c>
    </row>
    <row r="42" customFormat="false" ht="15.75" hidden="false" customHeight="true" outlineLevel="0" collapsed="false">
      <c r="A42" s="34"/>
      <c r="E42" s="34"/>
      <c r="F42" s="34"/>
      <c r="G42" s="34"/>
      <c r="H42" s="34"/>
      <c r="I42" s="34"/>
      <c r="J42" s="34"/>
      <c r="K42" s="34"/>
    </row>
    <row r="43" customFormat="false" ht="15.75" hidden="false" customHeight="true" outlineLevel="0" collapsed="false">
      <c r="A43" s="63" t="s">
        <v>109</v>
      </c>
      <c r="B43" s="76" t="n">
        <f aca="false">VRA!B10*VRA!B11</f>
        <v>31500</v>
      </c>
      <c r="C43" s="34" t="n">
        <f aca="false">VRA!B34*VRA!B35</f>
        <v>825</v>
      </c>
      <c r="D43" s="34"/>
      <c r="E43" s="34"/>
      <c r="F43" s="34"/>
      <c r="G43" s="34"/>
      <c r="H43" s="34"/>
      <c r="I43" s="34"/>
      <c r="J43" s="34"/>
      <c r="K43" s="34"/>
    </row>
    <row r="44" customFormat="false" ht="15.75" hidden="false" customHeight="true" outlineLevel="0" collapsed="false">
      <c r="A44" s="63" t="s">
        <v>110</v>
      </c>
      <c r="B44" s="87" t="n">
        <f aca="false">B43+(B43*A34)</f>
        <v>31815</v>
      </c>
      <c r="C44" s="34" t="n">
        <f aca="false">C43+(C43*A36)</f>
        <v>833.25</v>
      </c>
      <c r="D44" s="34"/>
      <c r="E44" s="34"/>
      <c r="F44" s="34"/>
      <c r="G44" s="34"/>
      <c r="H44" s="34"/>
      <c r="I44" s="34"/>
      <c r="J44" s="34"/>
      <c r="K44" s="34"/>
    </row>
    <row r="46" customFormat="false" ht="15.75" hidden="false" customHeight="true" outlineLevel="0" collapsed="false">
      <c r="A46" s="7" t="s">
        <v>111</v>
      </c>
      <c r="B46" s="9" t="n">
        <f aca="false">(B44-B43)*VRA!B12</f>
        <v>1628.55</v>
      </c>
      <c r="C46" s="9" t="n">
        <f aca="false">(C44-C43)*VRA!B36</f>
        <v>101.97</v>
      </c>
    </row>
    <row r="47" customFormat="false" ht="15.75" hidden="false" customHeight="true" outlineLevel="0" collapsed="false">
      <c r="A47" s="7" t="s">
        <v>112</v>
      </c>
      <c r="B47" s="9" t="n">
        <f aca="false">B40-B41</f>
        <v>988.5</v>
      </c>
      <c r="C47" s="9" t="n">
        <f aca="false">C40-C41</f>
        <v>88.0499999999993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3">
    <mergeCell ref="A15:K15"/>
    <mergeCell ref="B16:K16"/>
    <mergeCell ref="B17:F17"/>
    <mergeCell ref="H17:K17"/>
    <mergeCell ref="M17:M20"/>
    <mergeCell ref="B24:K24"/>
    <mergeCell ref="B25:F25"/>
    <mergeCell ref="H25:K25"/>
    <mergeCell ref="M25:P25"/>
    <mergeCell ref="B29:K29"/>
    <mergeCell ref="B30:F30"/>
    <mergeCell ref="H30:K30"/>
    <mergeCell ref="B31:F31"/>
    <mergeCell ref="H31:K31"/>
    <mergeCell ref="B32:F32"/>
    <mergeCell ref="H32:K32"/>
    <mergeCell ref="B34:K34"/>
    <mergeCell ref="B35:F35"/>
    <mergeCell ref="H35:K35"/>
    <mergeCell ref="B36:F36"/>
    <mergeCell ref="H36:K36"/>
    <mergeCell ref="B37:F37"/>
    <mergeCell ref="H37:K3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5.7"/>
  </cols>
  <sheetData>
    <row r="1" customFormat="false" ht="15.75" hidden="false" customHeight="true" outlineLevel="0" collapsed="false">
      <c r="A1" s="7" t="s">
        <v>113</v>
      </c>
      <c r="B1" s="7" t="s">
        <v>114</v>
      </c>
      <c r="C1" s="7" t="s">
        <v>115</v>
      </c>
      <c r="D1" s="7" t="s">
        <v>116</v>
      </c>
    </row>
    <row r="2" customFormat="false" ht="41.75" hidden="false" customHeight="true" outlineLevel="0" collapsed="false">
      <c r="A2" s="75" t="s">
        <v>117</v>
      </c>
      <c r="B2" s="7" t="s">
        <v>118</v>
      </c>
      <c r="C2" s="7" t="s">
        <v>42</v>
      </c>
      <c r="D2" s="7" t="s">
        <v>43</v>
      </c>
    </row>
    <row r="3" customFormat="false" ht="35.8" hidden="false" customHeight="true" outlineLevel="0" collapsed="false">
      <c r="A3" s="75" t="s">
        <v>1</v>
      </c>
      <c r="B3" s="7" t="s">
        <v>119</v>
      </c>
      <c r="C3" s="7" t="s">
        <v>9</v>
      </c>
      <c r="D3" s="7" t="s">
        <v>11</v>
      </c>
    </row>
    <row r="4" customFormat="false" ht="15.75" hidden="false" customHeight="true" outlineLevel="0" collapsed="false">
      <c r="B4" s="7" t="s">
        <v>41</v>
      </c>
      <c r="C4" s="7" t="s">
        <v>59</v>
      </c>
    </row>
    <row r="5" customFormat="false" ht="15.75" hidden="false" customHeight="true" outlineLevel="0" collapsed="false">
      <c r="B5" s="7" t="s">
        <v>4</v>
      </c>
    </row>
    <row r="6" customFormat="false" ht="15.75" hidden="false" customHeight="true" outlineLevel="0" collapsed="false">
      <c r="B6" s="7" t="s">
        <v>120</v>
      </c>
    </row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2021-08-30T21:32:54Z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