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ser Inputs" sheetId="1" state="visible" r:id="rId2"/>
    <sheet name="outputs" sheetId="2" state="visible" r:id="rId3"/>
    <sheet name="Crop 1 Calculations" sheetId="3" state="visible" r:id="rId4"/>
    <sheet name="Crop 2 Calculations" sheetId="4" state="visible" r:id="rId5"/>
    <sheet name="Table " sheetId="5" state="visible" r:id="rId6"/>
    <sheet name="Side Services Master" sheetId="6" state="hidden" r:id="rId7"/>
    <sheet name="lists" sheetId="7" state="hidden" r:id="rId8"/>
    <sheet name="VRA" sheetId="8" state="hidden" r:id="rId9"/>
  </sheets>
  <definedNames>
    <definedName function="false" hidden="true" localSheetId="6" name="_xlnm._FilterDatabase" vbProcedure="false">lists!$B$1:$B$1000</definedName>
    <definedName function="false" hidden="true" localSheetId="4" name="_xlnm._FilterDatabase" vbProcedure="false">'Table '!$A$1:$L$89</definedName>
    <definedName function="false" hidden="false" name="Crops" vbProcedure="false">lists!$B$2:$B$60</definedName>
    <definedName function="false" hidden="false" name="product" vbProcedure="false">lists!$D$2:$D$3</definedName>
    <definedName function="false" hidden="false" name="Units" vbProcedure="false">lists!$A$2:$A$320</definedName>
    <definedName function="false" hidden="false" name="yesno" vbProcedure="false">lists!$E$1:$E$2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<sst xmlns="http://schemas.openxmlformats.org/spreadsheetml/2006/main" count="1009" uniqueCount="190">
  <si>
    <t xml:space="preserve">Crop 1</t>
  </si>
  <si>
    <t xml:space="preserve">Select Units </t>
  </si>
  <si>
    <t xml:space="preserve">Metric (ha,Kg/ha metric tones/ha)</t>
  </si>
  <si>
    <t xml:space="preserve">Results:</t>
  </si>
  <si>
    <t xml:space="preserve">Add your crop</t>
  </si>
  <si>
    <t xml:space="preserve">Cotton </t>
  </si>
  <si>
    <t xml:space="preserve">1st Year</t>
  </si>
  <si>
    <t xml:space="preserve">2nd Year</t>
  </si>
  <si>
    <t xml:space="preserve">3rd Year</t>
  </si>
  <si>
    <t xml:space="preserve">Sprayer or Spreader</t>
  </si>
  <si>
    <t xml:space="preserve">Sprayer</t>
  </si>
  <si>
    <t xml:space="preserve">Chemical Cost (without AUG)</t>
  </si>
  <si>
    <t xml:space="preserve">Will this field have N applied </t>
  </si>
  <si>
    <t xml:space="preserve">Yes</t>
  </si>
  <si>
    <t xml:space="preserve">Fertilization Cost(with Augmenta Savings)</t>
  </si>
  <si>
    <t xml:space="preserve">Total Cropped Area: </t>
  </si>
  <si>
    <t xml:space="preserve">AVG yield </t>
  </si>
  <si>
    <t xml:space="preserve">Yield (Yield without Augmenta)</t>
  </si>
  <si>
    <t xml:space="preserve">AVG crop selling price per unit </t>
  </si>
  <si>
    <t xml:space="preserve">Yield (With Augmenta extra yield)</t>
  </si>
  <si>
    <t xml:space="preserve">Cost per (hectare or acre) for production (not including N, PGR or HA) (optional)</t>
  </si>
  <si>
    <t xml:space="preserve">Avg (kg or lbs) of N applied per (hectare or acre)</t>
  </si>
  <si>
    <t xml:space="preserve">Production Cost (without Augmenta)</t>
  </si>
  <si>
    <t xml:space="preserve">Avg cost of (kg or lb) of N applied</t>
  </si>
  <si>
    <t xml:space="preserve">Production Cost (with Augmenta)</t>
  </si>
  <si>
    <t xml:space="preserve">Number of in-season applications</t>
  </si>
  <si>
    <t xml:space="preserve">Applications</t>
  </si>
  <si>
    <t xml:space="preserve">Will this field have plant growth regulator applied </t>
  </si>
  <si>
    <t xml:space="preserve">Fees paid to Augmenta</t>
  </si>
  <si>
    <t xml:space="preserve">AVG PGR applied/(hectare or acre)</t>
  </si>
  <si>
    <t xml:space="preserve">Hardware</t>
  </si>
  <si>
    <t xml:space="preserve">AVG cost per (liter or gallon)</t>
  </si>
  <si>
    <t xml:space="preserve">NVRA</t>
  </si>
  <si>
    <t xml:space="preserve">Aplications </t>
  </si>
  <si>
    <t xml:space="preserve">PGR VRA</t>
  </si>
  <si>
    <t xml:space="preserve">Will this field have harvest aid applied </t>
  </si>
  <si>
    <t xml:space="preserve">HA VRA</t>
  </si>
  <si>
    <t xml:space="preserve">AVG PGR applied/ha or per acre</t>
  </si>
  <si>
    <t xml:space="preserve">Yearly total </t>
  </si>
  <si>
    <t xml:space="preserve">AVG cost perunit </t>
  </si>
  <si>
    <t xml:space="preserve">Number of in-season applications:*</t>
  </si>
  <si>
    <t xml:space="preserve">Profit without Augmenta</t>
  </si>
  <si>
    <t xml:space="preserve">Profit with Augmenta (including fees and hardware)</t>
  </si>
  <si>
    <t xml:space="preserve">Crop 2</t>
  </si>
  <si>
    <t xml:space="preserve">Profit added by Augmenta</t>
  </si>
  <si>
    <t xml:space="preserve">Soybeans</t>
  </si>
  <si>
    <t xml:space="preserve">Crop 2 </t>
  </si>
  <si>
    <t xml:space="preserve">Yearly Totals </t>
  </si>
  <si>
    <t xml:space="preserve">Page break </t>
  </si>
  <si>
    <t xml:space="preserve">Crop #1</t>
  </si>
  <si>
    <t xml:space="preserve">Chemical Costs</t>
  </si>
  <si>
    <t xml:space="preserve">Year 1</t>
  </si>
  <si>
    <t xml:space="preserve">Year 2</t>
  </si>
  <si>
    <t xml:space="preserve">Year 3</t>
  </si>
  <si>
    <t xml:space="preserve">Nitrogen cost without Augmenta crop two</t>
  </si>
  <si>
    <t xml:space="preserve">Nitrogen cost with AUG crop one</t>
  </si>
  <si>
    <t xml:space="preserve">AVG selling price per unit (from the farm)*</t>
  </si>
  <si>
    <t xml:space="preserve">Savings with Augmenta</t>
  </si>
  <si>
    <t xml:space="preserve">Cost per hectare/acre for production (not including N) (optional)</t>
  </si>
  <si>
    <t xml:space="preserve">Avg units of fertilizer applied per application*</t>
  </si>
  <si>
    <t xml:space="preserve">PGR without Augmenta crop one</t>
  </si>
  <si>
    <t xml:space="preserve">Avg cost of product per unit</t>
  </si>
  <si>
    <t xml:space="preserve">PGR with Augmenta crop one</t>
  </si>
  <si>
    <t xml:space="preserve">Conversion factor</t>
  </si>
  <si>
    <t xml:space="preserve">Savings</t>
  </si>
  <si>
    <t xml:space="preserve">HA without Augmenta crop one</t>
  </si>
  <si>
    <t xml:space="preserve">efficiency increase</t>
  </si>
  <si>
    <t xml:space="preserve">HA with Augmenta crop one</t>
  </si>
  <si>
    <t xml:space="preserve">Yield increase</t>
  </si>
  <si>
    <t xml:space="preserve">Yearly improvement savings</t>
  </si>
  <si>
    <t xml:space="preserve">Service fee/ha or ha</t>
  </si>
  <si>
    <t xml:space="preserve">Yield </t>
  </si>
  <si>
    <t xml:space="preserve">Avg units of PGRapplied per application*</t>
  </si>
  <si>
    <t xml:space="preserve">Yield without Augmenta rop one</t>
  </si>
  <si>
    <t xml:space="preserve">Yield increase with Augmenta NVRA Crop one</t>
  </si>
  <si>
    <t xml:space="preserve">Yield increase  with Augmenta PGR VRA Crop one</t>
  </si>
  <si>
    <t xml:space="preserve">Yield increase with Augmenta HA VRA Crop one</t>
  </si>
  <si>
    <t xml:space="preserve">Increased yield with Augmenta</t>
  </si>
  <si>
    <t xml:space="preserve">Total Yield with Augmenta</t>
  </si>
  <si>
    <t xml:space="preserve">Production costs with increase efficiency</t>
  </si>
  <si>
    <t xml:space="preserve">Production Cost without Augmenta crop 1</t>
  </si>
  <si>
    <t xml:space="preserve">Production Cost with Augmenta crop 1</t>
  </si>
  <si>
    <t xml:space="preserve">Profit with Augmenta</t>
  </si>
  <si>
    <t xml:space="preserve">Crop #2</t>
  </si>
  <si>
    <t xml:space="preserve">Nitrogen cost without Augmenta crop one</t>
  </si>
  <si>
    <t xml:space="preserve">Nitrogen cost with Augmenta crop one</t>
  </si>
  <si>
    <t xml:space="preserve">PGR without Augmenta crop two</t>
  </si>
  <si>
    <t xml:space="preserve">PGR with Augmenta crop two</t>
  </si>
  <si>
    <t xml:space="preserve">HA without Augmenta crop two</t>
  </si>
  <si>
    <t xml:space="preserve">HA with Augmenta crop two</t>
  </si>
  <si>
    <t xml:space="preserve">Yield increase with Augmenta NVRA crop two</t>
  </si>
  <si>
    <t xml:space="preserve">Yield increase  with Augmenta PGR VRA crop two</t>
  </si>
  <si>
    <t xml:space="preserve">Yield increase with Augmenta HA VRA crop two</t>
  </si>
  <si>
    <t xml:space="preserve">Select your operation</t>
  </si>
  <si>
    <t xml:space="preserve">Crop</t>
  </si>
  <si>
    <t xml:space="preserve">Solid or Liquid product </t>
  </si>
  <si>
    <t xml:space="preserve">Product/Units</t>
  </si>
  <si>
    <t xml:space="preserve">Cost/Unit</t>
  </si>
  <si>
    <t xml:space="preserve">Conversion Factor</t>
  </si>
  <si>
    <t xml:space="preserve">% Saving</t>
  </si>
  <si>
    <t xml:space="preserve">Yield</t>
  </si>
  <si>
    <t xml:space="preserve">service fee/ha</t>
  </si>
  <si>
    <t xml:space="preserve">metric (ha,Kg/ha metric tones/ha)</t>
  </si>
  <si>
    <t xml:space="preserve">N VRA</t>
  </si>
  <si>
    <t xml:space="preserve">Corn/Maize</t>
  </si>
  <si>
    <t xml:space="preserve">Spreader</t>
  </si>
  <si>
    <t xml:space="preserve">(kg of N)/hectare</t>
  </si>
  <si>
    <t xml:space="preserve">Cost/(kg of N)</t>
  </si>
  <si>
    <t xml:space="preserve">ml/ha</t>
  </si>
  <si>
    <t xml:space="preserve">$/l</t>
  </si>
  <si>
    <t xml:space="preserve">Imperial (ac,bu/ac, units/ac lbs of lint etc)</t>
  </si>
  <si>
    <t xml:space="preserve">(lbs of N)/ac</t>
  </si>
  <si>
    <t xml:space="preserve">$/(lb of N)</t>
  </si>
  <si>
    <t xml:space="preserve">oz/ac</t>
  </si>
  <si>
    <t xml:space="preserve">$/gal</t>
  </si>
  <si>
    <t xml:space="preserve">Cost/(lb of N)</t>
  </si>
  <si>
    <t xml:space="preserve">Rapeseed/Canola</t>
  </si>
  <si>
    <t xml:space="preserve">NA</t>
  </si>
  <si>
    <t xml:space="preserve">Rice </t>
  </si>
  <si>
    <t xml:space="preserve">Wheat </t>
  </si>
  <si>
    <t xml:space="preserve">Clovers</t>
  </si>
  <si>
    <t xml:space="preserve">Barley</t>
  </si>
  <si>
    <t xml:space="preserve">Grasses</t>
  </si>
  <si>
    <t xml:space="preserve">Other small grains</t>
  </si>
  <si>
    <t xml:space="preserve">Sorghum </t>
  </si>
  <si>
    <t xml:space="preserve">variables</t>
  </si>
  <si>
    <t xml:space="preserve">DEVICE COST Upfront (40% commission)</t>
  </si>
  <si>
    <t xml:space="preserve">Price of Petrol per lt</t>
  </si>
  <si>
    <t xml:space="preserve">Farm Manager Salary / Day</t>
  </si>
  <si>
    <t xml:space="preserve">% of Driving Savings</t>
  </si>
  <si>
    <t xml:space="preserve">km Drive/acre/day</t>
  </si>
  <si>
    <t xml:space="preserve">Phonecall Costs per day</t>
  </si>
  <si>
    <t xml:space="preserve">% of the tasks than we help</t>
  </si>
  <si>
    <t xml:space="preserve">% Better Decisions taken based on data (reflected to yield)</t>
  </si>
  <si>
    <t xml:space="preserve">% Better Decisions taken based on data (reflected to prod cost)</t>
  </si>
  <si>
    <t xml:space="preserve">NVRA FEE</t>
  </si>
  <si>
    <t xml:space="preserve">PGR NVRA FEE</t>
  </si>
  <si>
    <t xml:space="preserve">Inputs coming from Main Spreadseet</t>
  </si>
  <si>
    <t xml:space="preserve">BACK END HELPER CALCULATIONS</t>
  </si>
  <si>
    <t xml:space="preserve">Total Farm Ha</t>
  </si>
  <si>
    <t xml:space="preserve">$ USD</t>
  </si>
  <si>
    <t xml:space="preserve">Average applied area/day</t>
  </si>
  <si>
    <t xml:space="preserve">Assumptions</t>
  </si>
  <si>
    <t xml:space="preserve">Farm Size 1-100 Hectares</t>
  </si>
  <si>
    <t xml:space="preserve">AVG Hectares per day</t>
  </si>
  <si>
    <t xml:space="preserve">Total days for fertilization</t>
  </si>
  <si>
    <t xml:space="preserve">Logistics for operation</t>
  </si>
  <si>
    <t xml:space="preserve">Profit Calculation Based on Side Services</t>
  </si>
  <si>
    <t xml:space="preserve">Fleet Management</t>
  </si>
  <si>
    <t xml:space="preserve">Without Augmenta</t>
  </si>
  <si>
    <t xml:space="preserve">Profit/Loss WITH Augmenta</t>
  </si>
  <si>
    <t xml:space="preserve">Per Operation</t>
  </si>
  <si>
    <t xml:space="preserve">All Operations Included</t>
  </si>
  <si>
    <t xml:space="preserve">km Drive/day</t>
  </si>
  <si>
    <t xml:space="preserve">Petrol used (lt)</t>
  </si>
  <si>
    <t xml:space="preserve">Fuel Cost</t>
  </si>
  <si>
    <t xml:space="preserve">Total Km</t>
  </si>
  <si>
    <t xml:space="preserve">Total Fuel Cost</t>
  </si>
  <si>
    <t xml:space="preserve">WITH Augmenta</t>
  </si>
  <si>
    <t xml:space="preserve">Crop &amp; Application Reporting</t>
  </si>
  <si>
    <t xml:space="preserve">Time Saved because of Augmenta (in days)</t>
  </si>
  <si>
    <t xml:space="preserve">Time before and after application (in days)</t>
  </si>
  <si>
    <t xml:space="preserve">Time before and after application in total (in days)</t>
  </si>
  <si>
    <t xml:space="preserve">Cost Saved Because of Augmenta</t>
  </si>
  <si>
    <t xml:space="preserve">Crop1</t>
  </si>
  <si>
    <t xml:space="preserve">Crop2</t>
  </si>
  <si>
    <t xml:space="preserve">CropX</t>
  </si>
  <si>
    <t xml:space="preserve">Production Cost as provided</t>
  </si>
  <si>
    <t xml:space="preserve">Revenue because of Reporting</t>
  </si>
  <si>
    <t xml:space="preserve">Production Cost based on better decisions</t>
  </si>
  <si>
    <t xml:space="preserve">Yield As provided (units)</t>
  </si>
  <si>
    <t xml:space="preserve">Yield based on better decisions (units)</t>
  </si>
  <si>
    <t xml:space="preserve">Revenue because of Yield</t>
  </si>
  <si>
    <t xml:space="preserve">Revenue because of better decisions</t>
  </si>
  <si>
    <t xml:space="preserve">Units </t>
  </si>
  <si>
    <t xml:space="preserve">Crops</t>
  </si>
  <si>
    <t xml:space="preserve">Operation </t>
  </si>
  <si>
    <t xml:space="preserve">Product </t>
  </si>
  <si>
    <t xml:space="preserve">No</t>
  </si>
  <si>
    <t xml:space="preserve">crop list is D17 comment</t>
  </si>
  <si>
    <t xml:space="preserve">Options:</t>
  </si>
  <si>
    <t xml:space="preserve">check comment</t>
  </si>
  <si>
    <t xml:space="preserve">Do not allow choosing the same crop twice</t>
  </si>
  <si>
    <t xml:space="preserve">Combined Profit (with Augmenta)</t>
  </si>
  <si>
    <t xml:space="preserve">You pay Augmenta:</t>
  </si>
  <si>
    <t xml:space="preserve">Yearly Grand Total (For Farmer)</t>
  </si>
  <si>
    <t xml:space="preserve">Total profit after 3 years</t>
  </si>
  <si>
    <t xml:space="preserve">Gross Profit w/o Augmenta</t>
  </si>
  <si>
    <t xml:space="preserve">Gross Profit w Augmenta</t>
  </si>
  <si>
    <t xml:space="preserve">Cost per hectare/acre for production (optional)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</si>
</sst>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\$#,##0.00"/>
    <numFmt numFmtId="166" formatCode="_(\$* #,##0.00_);_(\$* \(#,##0.00\);_(\$* \-??_);_(@_)"/>
    <numFmt numFmtId="167" formatCode="General"/>
    <numFmt numFmtId="168" formatCode="0%"/>
    <numFmt numFmtId="169" formatCode="0"/>
    <numFmt numFmtId="170" formatCode="[$€]#,##0.00"/>
    <numFmt numFmtId="171" formatCode="#,##0.00"/>
    <numFmt numFmtId="172" formatCode="#,##0"/>
  </numFmts>
  <fonts count="1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Inconsolata"/>
      <family val="0"/>
      <charset val="1"/>
    </font>
    <font>
      <sz val="11"/>
      <color rgb="FFF7981D"/>
      <name val="Inconsolata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4"/>
      <color rgb="FF00000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sz val="24"/>
      <color rgb="FF000000"/>
      <name val="Arial"/>
      <family val="0"/>
      <charset val="1"/>
    </font>
    <font>
      <b val="true"/>
      <strike val="true"/>
      <sz val="12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1"/>
      <color rgb="FFFFFFFF"/>
      <name val="Arial"/>
      <family val="0"/>
      <charset val="1"/>
    </font>
    <font>
      <sz val="11"/>
      <color rgb="FF3C4043"/>
      <name val="Roboto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D0E0E3"/>
        <bgColor rgb="FFD9EAD3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3F3F3"/>
      </patternFill>
    </fill>
    <fill>
      <patternFill patternType="solid">
        <fgColor rgb="FFFF0000"/>
        <bgColor rgb="FF993300"/>
      </patternFill>
    </fill>
    <fill>
      <patternFill patternType="solid">
        <fgColor rgb="FFFF9900"/>
        <bgColor rgb="FFF7981D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D0E0E3"/>
      </patternFill>
    </fill>
    <fill>
      <patternFill patternType="solid">
        <fgColor rgb="FFD9EAD3"/>
        <bgColor rgb="FFD0E0E3"/>
      </patternFill>
    </fill>
    <fill>
      <patternFill patternType="solid">
        <fgColor rgb="FFF3F3F3"/>
        <bgColor rgb="FFFFFFFF"/>
      </patternFill>
    </fill>
    <fill>
      <patternFill patternType="solid">
        <fgColor rgb="FFFFF2CC"/>
        <bgColor rgb="FFF3F3F3"/>
      </patternFill>
    </fill>
    <fill>
      <patternFill patternType="solid">
        <fgColor rgb="FFA4C2F4"/>
        <bgColor rgb="FFCC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7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9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F3F3F3"/>
      <rgbColor rgb="FF660066"/>
      <rgbColor rgb="FFF7981D"/>
      <rgbColor rgb="FF0066CC"/>
      <rgbColor rgb="FFD0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40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1523880</xdr:colOff>
      <xdr:row>0</xdr:row>
      <xdr:rowOff>0</xdr:rowOff>
    </xdr:from>
    <xdr:to>
      <xdr:col>2</xdr:col>
      <xdr:colOff>322560</xdr:colOff>
      <xdr:row>4</xdr:row>
      <xdr:rowOff>28080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1523880" y="0"/>
          <a:ext cx="2963520" cy="789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H37" activeCellId="0" sqref="H37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30.29"/>
    <col collapsed="false" customWidth="true" hidden="false" outlineLevel="0" max="2" min="2" style="0" width="23.01"/>
    <col collapsed="false" customWidth="true" hidden="false" outlineLevel="0" max="3" min="3" style="0" width="22.86"/>
    <col collapsed="false" customWidth="true" hidden="false" outlineLevel="0" max="6" min="6" style="0" width="45.98"/>
  </cols>
  <sheetData>
    <row r="1" customFormat="false" ht="15" hidden="false" customHeight="true" outlineLevel="0" collapsed="false">
      <c r="A1" s="1" t="s">
        <v>0</v>
      </c>
      <c r="B1" s="1"/>
      <c r="C1" s="1"/>
      <c r="F1" s="2"/>
      <c r="G1" s="2"/>
      <c r="H1" s="2"/>
      <c r="I1" s="2"/>
    </row>
    <row r="2" customFormat="false" ht="15" hidden="false" customHeight="true" outlineLevel="0" collapsed="false">
      <c r="A2" s="3" t="s">
        <v>1</v>
      </c>
      <c r="B2" s="4" t="s">
        <v>2</v>
      </c>
      <c r="C2" s="4"/>
      <c r="F2" s="5" t="s">
        <v>3</v>
      </c>
      <c r="G2" s="5"/>
      <c r="H2" s="5"/>
      <c r="I2" s="5"/>
    </row>
    <row r="3" customFormat="false" ht="15" hidden="false" customHeight="true" outlineLevel="0" collapsed="false">
      <c r="A3" s="3" t="s">
        <v>4</v>
      </c>
      <c r="B3" s="4" t="s">
        <v>5</v>
      </c>
      <c r="C3" s="4"/>
      <c r="G3" s="6" t="s">
        <v>6</v>
      </c>
      <c r="H3" s="6" t="s">
        <v>7</v>
      </c>
      <c r="I3" s="6" t="s">
        <v>8</v>
      </c>
    </row>
    <row r="4" customFormat="false" ht="15" hidden="false" customHeight="true" outlineLevel="0" collapsed="false">
      <c r="A4" s="3" t="s">
        <v>9</v>
      </c>
      <c r="B4" s="4" t="s">
        <v>10</v>
      </c>
      <c r="C4" s="4"/>
      <c r="F4" s="7" t="s">
        <v>11</v>
      </c>
      <c r="G4" s="8" t="n">
        <f aca="false">('Crop 1 Calculations'!F3+'Crop 1 Calculations'!F7+'Crop 1 Calculations'!F11)+('Crop 2 Calculations'!F3+'Crop 2 Calculations'!F7+'Crop 2 Calculations'!F11)</f>
        <v>100065</v>
      </c>
      <c r="H4" s="8" t="n">
        <f aca="false">('Crop 1 Calculations'!G3+'Crop 1 Calculations'!G7+'Crop 1 Calculations'!G11)+('Crop 2 Calculations'!G3+'Crop 2 Calculations'!G7+'Crop 2 Calculations'!G11)</f>
        <v>100065</v>
      </c>
      <c r="I4" s="8" t="n">
        <f aca="false">('Crop 1 Calculations'!H3+'Crop 1 Calculations'!H7+'Crop 1 Calculations'!H11)+('Crop 2 Calculations'!H3+'Crop 2 Calculations'!H7+'Crop 2 Calculations'!H11)</f>
        <v>100065</v>
      </c>
    </row>
    <row r="5" customFormat="false" ht="15" hidden="false" customHeight="true" outlineLevel="0" collapsed="false">
      <c r="A5" s="9" t="s">
        <v>12</v>
      </c>
      <c r="B5" s="10" t="s">
        <v>13</v>
      </c>
      <c r="C5" s="10"/>
      <c r="F5" s="7" t="s">
        <v>14</v>
      </c>
      <c r="G5" s="8" t="n">
        <f aca="false">('Crop 1 Calculations'!F4+'Crop 1 Calculations'!F8+'Crop 1 Calculations'!F12)+'Crop 2 Calculations'!F4+'Crop 2 Calculations'!F8+'Crop 2 Calculations'!F12</f>
        <v>90470.7</v>
      </c>
      <c r="H5" s="8" t="n">
        <f aca="false">('Crop 1 Calculations'!G4+'Crop 1 Calculations'!G8+'Crop 1 Calculations'!G12)+'Crop 2 Calculations'!G4+'Crop 2 Calculations'!G8+'Crop 2 Calculations'!G12</f>
        <v>89481.75</v>
      </c>
      <c r="I5" s="8" t="n">
        <f aca="false">('Crop 1 Calculations'!H4+'Crop 1 Calculations'!H8+'Crop 1 Calculations'!H12)+'Crop 2 Calculations'!H4+'Crop 2 Calculations'!H8+'Crop 2 Calculations'!H12</f>
        <v>88475.25</v>
      </c>
    </row>
    <row r="6" customFormat="false" ht="15" hidden="false" customHeight="false" outlineLevel="0" collapsed="false">
      <c r="A6" s="9" t="s">
        <v>15</v>
      </c>
      <c r="B6" s="10" t="n">
        <v>750</v>
      </c>
      <c r="C6" s="9" t="e">
        <f aca="false">ifs($B$2=lists!$A$2,"hectare",$B$2=lists!$A$3,"acre")</f>
        <v>#NAME?</v>
      </c>
      <c r="F6" s="7"/>
    </row>
    <row r="7" customFormat="false" ht="15" hidden="false" customHeight="false" outlineLevel="0" collapsed="false">
      <c r="A7" s="9" t="s">
        <v>16</v>
      </c>
      <c r="B7" s="10" t="n">
        <v>50</v>
      </c>
      <c r="C7" s="9" t="e">
        <f aca="false">ifs($B$2=lists!$A$2,"metric tones/ha",$B$2=lists!$A$3,"bu/ac")</f>
        <v>#NAME?</v>
      </c>
      <c r="F7" s="7" t="s">
        <v>17</v>
      </c>
      <c r="G7" s="11" t="n">
        <f aca="false">'Crop 1 Calculations'!F18+'Crop 2 Calculations'!F18</f>
        <v>225000</v>
      </c>
      <c r="H7" s="11" t="n">
        <f aca="false">'Crop 1 Calculations'!G18+'Crop 2 Calculations'!G18</f>
        <v>225000</v>
      </c>
      <c r="I7" s="11" t="n">
        <f aca="false">'Crop 1 Calculations'!H18+'Crop 2 Calculations'!H18</f>
        <v>225000</v>
      </c>
    </row>
    <row r="8" customFormat="false" ht="15" hidden="false" customHeight="false" outlineLevel="0" collapsed="false">
      <c r="A8" s="9" t="s">
        <v>18</v>
      </c>
      <c r="B8" s="10" t="n">
        <v>6</v>
      </c>
      <c r="C8" s="9" t="e">
        <f aca="false">ifs(B2=lists!$A$2,"price/metric tone",B2=lists!$A$3,"price/bushel")</f>
        <v>#NAME?</v>
      </c>
      <c r="F8" s="7" t="s">
        <v>19</v>
      </c>
      <c r="G8" s="11" t="n">
        <f aca="false">'Crop 1 Calculations'!F23+'Crop 2 Calculations'!F23</f>
        <v>240750</v>
      </c>
      <c r="H8" s="11" t="n">
        <f aca="false">'Crop 1 Calculations'!G23+'Crop 2 Calculations'!G23</f>
        <v>240750</v>
      </c>
      <c r="I8" s="11" t="n">
        <f aca="false">'Crop 1 Calculations'!H23+'Crop 2 Calculations'!H23</f>
        <v>240750</v>
      </c>
    </row>
    <row r="9" customFormat="false" ht="43.25" hidden="false" customHeight="true" outlineLevel="0" collapsed="false">
      <c r="A9" s="9" t="s">
        <v>20</v>
      </c>
      <c r="B9" s="10" t="n">
        <v>5</v>
      </c>
      <c r="C9" s="9" t="e">
        <f aca="false">ifs(B2=lists!$A$2,"price/ha",B2=lists!$A$3,"price/ac")</f>
        <v>#NAME?</v>
      </c>
      <c r="F9" s="7"/>
    </row>
    <row r="10" customFormat="false" ht="32.05" hidden="false" customHeight="true" outlineLevel="0" collapsed="false">
      <c r="A10" s="9" t="s">
        <v>21</v>
      </c>
      <c r="B10" s="10" t="n">
        <v>60</v>
      </c>
      <c r="C10" s="9" t="str">
        <f aca="false">IFERROR(DGET('Table '!$A$1:$G1024,'Table '!$E$1,'Table '!$T$1:$X$2),"Spreader not compatible with this operation")</f>
        <v>Spreader not compatible with this operation</v>
      </c>
      <c r="F10" s="7" t="s">
        <v>22</v>
      </c>
      <c r="G10" s="8" t="n">
        <f aca="false">'Crop 1 Calculations'!F26+'Crop 2 Calculations'!F26</f>
        <v>3750</v>
      </c>
      <c r="H10" s="8" t="n">
        <f aca="false">'Crop 1 Calculations'!G26+'Crop 2 Calculations'!G26</f>
        <v>3750</v>
      </c>
      <c r="I10" s="8" t="n">
        <f aca="false">'Crop 1 Calculations'!H26+'Crop 2 Calculations'!H26</f>
        <v>3750</v>
      </c>
    </row>
    <row r="11" customFormat="false" ht="30.55" hidden="false" customHeight="true" outlineLevel="0" collapsed="false">
      <c r="A11" s="9" t="s">
        <v>23</v>
      </c>
      <c r="B11" s="10" t="n">
        <v>2</v>
      </c>
      <c r="C11" s="9" t="str">
        <f aca="false">IFERROR(DGET('Table '!$A$1:$G1018,'Table '!$F$1,'Table '!$T$1:$X$2),"Spreader not compatible with this operation")</f>
        <v>Spreader not compatible with this operation</v>
      </c>
      <c r="F11" s="7" t="s">
        <v>24</v>
      </c>
      <c r="G11" s="11" t="n">
        <f aca="false">'Crop 1 Calculations'!F27+'Crop 2 Calculations'!F27</f>
        <v>3375</v>
      </c>
      <c r="H11" s="11" t="n">
        <f aca="false">'Crop 1 Calculations'!G27+'Crop 2 Calculations'!G27</f>
        <v>3375</v>
      </c>
      <c r="I11" s="11" t="n">
        <f aca="false">'Crop 1 Calculations'!H27+'Crop 2 Calculations'!H27</f>
        <v>3375</v>
      </c>
    </row>
    <row r="12" customFormat="false" ht="29.85" hidden="false" customHeight="true" outlineLevel="0" collapsed="false">
      <c r="A12" s="9" t="s">
        <v>25</v>
      </c>
      <c r="B12" s="10" t="n">
        <v>1</v>
      </c>
      <c r="C12" s="9" t="s">
        <v>26</v>
      </c>
    </row>
    <row r="13" customFormat="false" ht="30.55" hidden="false" customHeight="true" outlineLevel="0" collapsed="false">
      <c r="A13" s="9" t="s">
        <v>27</v>
      </c>
      <c r="B13" s="10" t="s">
        <v>13</v>
      </c>
      <c r="C13" s="10"/>
      <c r="F13" s="12" t="s">
        <v>28</v>
      </c>
      <c r="G13" s="12"/>
      <c r="H13" s="12"/>
      <c r="I13" s="12"/>
    </row>
    <row r="14" customFormat="false" ht="30.55" hidden="false" customHeight="true" outlineLevel="0" collapsed="false">
      <c r="A14" s="9" t="s">
        <v>29</v>
      </c>
      <c r="B14" s="10" t="n">
        <v>10</v>
      </c>
      <c r="C14" s="13" t="str">
        <f aca="false">IFERROR(DGET('Table '!$A$1:$G1018,'Table '!$E$1,'Table '!$Y$1:$AB$2),"NA")</f>
        <v>NA</v>
      </c>
      <c r="F14" s="6" t="s">
        <v>30</v>
      </c>
      <c r="G14" s="8" t="n">
        <f aca="false">'Crop 1 Calculations'!F31+'Crop 2 Calculations'!F31</f>
        <v>12000</v>
      </c>
      <c r="H14" s="8" t="n">
        <f aca="false">'Crop 1 Calculations'!G31+'Crop 2 Calculations'!G31</f>
        <v>0</v>
      </c>
      <c r="I14" s="8" t="n">
        <f aca="false">'Crop 1 Calculations'!H31+'Crop 2 Calculations'!H31</f>
        <v>0</v>
      </c>
    </row>
    <row r="15" customFormat="false" ht="15" hidden="false" customHeight="false" outlineLevel="0" collapsed="false">
      <c r="A15" s="9" t="s">
        <v>31</v>
      </c>
      <c r="B15" s="10" t="n">
        <v>78</v>
      </c>
      <c r="C15" s="13" t="str">
        <f aca="false">IFERROR(DGET('Table '!$A$1:$G1018,'Table '!$F$1,'Table '!$Y$1:$AB$2),"NA")</f>
        <v>NA</v>
      </c>
      <c r="F15" s="6" t="s">
        <v>32</v>
      </c>
      <c r="G15" s="8" t="n">
        <f aca="false">'Crop 1 Calculations'!F32+'Crop 2 Calculations'!F32</f>
        <v>3000</v>
      </c>
      <c r="H15" s="8" t="n">
        <f aca="false">'Crop 1 Calculations'!G32+'Crop 2 Calculations'!G32</f>
        <v>3000</v>
      </c>
      <c r="I15" s="8" t="n">
        <f aca="false">'Crop 1 Calculations'!H32+'Crop 2 Calculations'!H32</f>
        <v>3000</v>
      </c>
    </row>
    <row r="16" customFormat="false" ht="29.85" hidden="false" customHeight="true" outlineLevel="0" collapsed="false">
      <c r="A16" s="9" t="s">
        <v>25</v>
      </c>
      <c r="B16" s="10" t="n">
        <v>1</v>
      </c>
      <c r="C16" s="13" t="s">
        <v>33</v>
      </c>
      <c r="F16" s="6" t="s">
        <v>34</v>
      </c>
      <c r="G16" s="8" t="n">
        <f aca="false">'Crop 1 Calculations'!F33+'Crop 2 Calculations'!F33</f>
        <v>1125</v>
      </c>
      <c r="H16" s="8" t="n">
        <f aca="false">'Crop 1 Calculations'!G33+'Crop 2 Calculations'!G33</f>
        <v>1125</v>
      </c>
      <c r="I16" s="8" t="n">
        <f aca="false">'Crop 1 Calculations'!H33+'Crop 2 Calculations'!H33</f>
        <v>1125</v>
      </c>
    </row>
    <row r="17" customFormat="false" ht="29.85" hidden="false" customHeight="true" outlineLevel="0" collapsed="false">
      <c r="A17" s="9" t="s">
        <v>35</v>
      </c>
      <c r="B17" s="10" t="s">
        <v>13</v>
      </c>
      <c r="C17" s="10"/>
      <c r="F17" s="6" t="s">
        <v>36</v>
      </c>
      <c r="G17" s="8" t="n">
        <f aca="false">'Crop 1 Calculations'!F34+'Crop 2 Calculations'!F34</f>
        <v>1125</v>
      </c>
      <c r="H17" s="8" t="n">
        <f aca="false">'Crop 1 Calculations'!G34+'Crop 2 Calculations'!G34</f>
        <v>1125</v>
      </c>
      <c r="I17" s="8" t="n">
        <f aca="false">'Crop 1 Calculations'!H34+'Crop 2 Calculations'!H34</f>
        <v>1125</v>
      </c>
    </row>
    <row r="18" customFormat="false" ht="15" hidden="false" customHeight="false" outlineLevel="0" collapsed="false">
      <c r="A18" s="9" t="s">
        <v>37</v>
      </c>
      <c r="B18" s="10" t="n">
        <v>79</v>
      </c>
      <c r="C18" s="13" t="str">
        <f aca="false">IFERROR(DGET('Table '!$A$1:$G1021,'Table '!$E$1,'Table '!$AD$1:$AG$2),"NA")</f>
        <v>NA</v>
      </c>
      <c r="F18" s="14" t="s">
        <v>38</v>
      </c>
      <c r="G18" s="8" t="n">
        <f aca="false">SUM(G14:G17)</f>
        <v>17250</v>
      </c>
      <c r="H18" s="8" t="n">
        <f aca="false">SUM(H14:H17)</f>
        <v>5250</v>
      </c>
      <c r="I18" s="8" t="n">
        <f aca="false">SUM(I14:I17)</f>
        <v>5250</v>
      </c>
    </row>
    <row r="19" customFormat="false" ht="15" hidden="false" customHeight="false" outlineLevel="0" collapsed="false">
      <c r="A19" s="9" t="s">
        <v>39</v>
      </c>
      <c r="B19" s="10" t="n">
        <v>80</v>
      </c>
      <c r="C19" s="13" t="str">
        <f aca="false">IFERROR(DGET('Table '!$A$1:$G1021,'Table '!$F$1,'Table '!$AD$1:$AG$2),"NA")</f>
        <v>NA</v>
      </c>
    </row>
    <row r="20" customFormat="false" ht="31.3" hidden="false" customHeight="true" outlineLevel="0" collapsed="false">
      <c r="A20" s="9" t="s">
        <v>40</v>
      </c>
      <c r="B20" s="10" t="n">
        <v>2</v>
      </c>
      <c r="C20" s="13" t="s">
        <v>33</v>
      </c>
      <c r="F20" s="15" t="s">
        <v>0</v>
      </c>
      <c r="G20" s="8"/>
      <c r="H20" s="8"/>
      <c r="I20" s="8"/>
    </row>
    <row r="21" customFormat="false" ht="15" hidden="false" customHeight="false" outlineLevel="0" collapsed="false">
      <c r="A21" s="7"/>
      <c r="B21" s="7"/>
      <c r="C21" s="7"/>
      <c r="F21" s="6" t="s">
        <v>41</v>
      </c>
      <c r="G21" s="8" t="n">
        <f aca="false">'Crop 1 Calculations'!F37</f>
        <v>121185</v>
      </c>
      <c r="H21" s="8" t="n">
        <f aca="false">'Crop 1 Calculations'!G37</f>
        <v>121185</v>
      </c>
      <c r="I21" s="8" t="n">
        <f aca="false">'Crop 1 Calculations'!H37</f>
        <v>121185</v>
      </c>
    </row>
    <row r="22" customFormat="false" ht="15" hidden="false" customHeight="false" outlineLevel="0" collapsed="false">
      <c r="A22" s="7"/>
      <c r="B22" s="7"/>
      <c r="C22" s="7"/>
      <c r="F22" s="6" t="s">
        <v>42</v>
      </c>
      <c r="G22" s="8" t="n">
        <f aca="false">'Crop 1 Calculations'!F38</f>
        <v>129654.3</v>
      </c>
      <c r="H22" s="8" t="n">
        <f aca="false">'Crop 1 Calculations'!G38</f>
        <v>142643.25</v>
      </c>
      <c r="I22" s="8" t="n">
        <f aca="false">'Crop 1 Calculations'!H38</f>
        <v>143649.75</v>
      </c>
    </row>
    <row r="23" customFormat="false" ht="15" hidden="false" customHeight="true" outlineLevel="0" collapsed="false">
      <c r="A23" s="1" t="s">
        <v>43</v>
      </c>
      <c r="B23" s="1"/>
      <c r="C23" s="1"/>
      <c r="F23" s="6" t="s">
        <v>44</v>
      </c>
      <c r="G23" s="8" t="n">
        <f aca="false">'Crop 1 Calculations'!F39</f>
        <v>8469.29999999999</v>
      </c>
      <c r="H23" s="8" t="n">
        <f aca="false">'Crop 1 Calculations'!G39</f>
        <v>21458.25</v>
      </c>
      <c r="I23" s="8" t="n">
        <f aca="false">'Crop 1 Calculations'!H39</f>
        <v>22464.75</v>
      </c>
    </row>
    <row r="24" customFormat="false" ht="15" hidden="false" customHeight="false" outlineLevel="0" collapsed="false">
      <c r="A24" s="3" t="s">
        <v>1</v>
      </c>
      <c r="B24" s="16" t="str">
        <f aca="false">B2</f>
        <v>Metric (ha,Kg/ha metric tones/ha)</v>
      </c>
      <c r="C24" s="16"/>
    </row>
    <row r="25" customFormat="false" ht="15" hidden="false" customHeight="true" outlineLevel="0" collapsed="false">
      <c r="A25" s="3" t="s">
        <v>4</v>
      </c>
      <c r="B25" s="4" t="s">
        <v>45</v>
      </c>
      <c r="C25" s="4"/>
      <c r="F25" s="15" t="s">
        <v>46</v>
      </c>
    </row>
    <row r="26" customFormat="false" ht="15" hidden="false" customHeight="true" outlineLevel="0" collapsed="false">
      <c r="A26" s="3" t="s">
        <v>9</v>
      </c>
      <c r="B26" s="4" t="s">
        <v>10</v>
      </c>
      <c r="C26" s="4"/>
      <c r="F26" s="6" t="s">
        <v>41</v>
      </c>
      <c r="G26" s="8" t="n">
        <f aca="false">'Crop 2 Calculations'!F37</f>
        <v>0</v>
      </c>
      <c r="H26" s="8" t="n">
        <f aca="false">'Crop 2 Calculations'!G37</f>
        <v>0</v>
      </c>
      <c r="I26" s="8" t="n">
        <f aca="false">'Crop 2 Calculations'!H37</f>
        <v>0</v>
      </c>
    </row>
    <row r="27" customFormat="false" ht="15" hidden="false" customHeight="true" outlineLevel="0" collapsed="false">
      <c r="A27" s="9" t="s">
        <v>12</v>
      </c>
      <c r="B27" s="10" t="s">
        <v>13</v>
      </c>
      <c r="C27" s="10"/>
      <c r="F27" s="6" t="s">
        <v>42</v>
      </c>
      <c r="G27" s="8" t="n">
        <f aca="false">'Crop 2 Calculations'!F38</f>
        <v>0</v>
      </c>
      <c r="H27" s="8" t="n">
        <f aca="false">'Crop 2 Calculations'!G38</f>
        <v>0</v>
      </c>
      <c r="I27" s="8" t="n">
        <f aca="false">'Crop 2 Calculations'!H38</f>
        <v>0</v>
      </c>
    </row>
    <row r="28" customFormat="false" ht="15" hidden="false" customHeight="false" outlineLevel="0" collapsed="false">
      <c r="A28" s="9" t="s">
        <v>15</v>
      </c>
      <c r="B28" s="10"/>
      <c r="C28" s="9" t="e">
        <f aca="false">ifs($B$24=lists!$A$2,"hectare",$B$24=lists!$A$3,"acre")</f>
        <v>#NAME?</v>
      </c>
      <c r="F28" s="6" t="s">
        <v>44</v>
      </c>
      <c r="G28" s="8" t="n">
        <f aca="false">'Crop 2 Calculations'!F39</f>
        <v>0</v>
      </c>
      <c r="H28" s="8" t="n">
        <f aca="false">'Crop 2 Calculations'!G39</f>
        <v>0</v>
      </c>
      <c r="I28" s="8" t="n">
        <f aca="false">'Crop 2 Calculations'!H39</f>
        <v>0</v>
      </c>
    </row>
    <row r="29" customFormat="false" ht="15" hidden="false" customHeight="false" outlineLevel="0" collapsed="false">
      <c r="A29" s="9" t="s">
        <v>16</v>
      </c>
      <c r="B29" s="10"/>
      <c r="C29" s="9" t="e">
        <f aca="false">ifs($B$24=lists!$A$2,"metric tones/ha",$B$24=lists!$A$3,"bu/ac")</f>
        <v>#NAME?</v>
      </c>
    </row>
    <row r="30" customFormat="false" ht="15" hidden="false" customHeight="false" outlineLevel="0" collapsed="false">
      <c r="A30" s="9" t="s">
        <v>18</v>
      </c>
      <c r="B30" s="10"/>
      <c r="C30" s="9" t="e">
        <f aca="false">ifs(B24=lists!$A$2,"price/metric tone",B24=lists!$A$3,"price/bushel")</f>
        <v>#NAME?</v>
      </c>
      <c r="F30" s="15" t="s">
        <v>47</v>
      </c>
    </row>
    <row r="31" customFormat="false" ht="15" hidden="false" customHeight="false" outlineLevel="0" collapsed="false">
      <c r="A31" s="9" t="s">
        <v>20</v>
      </c>
      <c r="B31" s="10"/>
      <c r="C31" s="9" t="e">
        <f aca="false">ifs(B24=lists!$A$2,"price/metric tone",B24=lists!$A$3,"price/acre")</f>
        <v>#NAME?</v>
      </c>
      <c r="F31" s="6" t="s">
        <v>41</v>
      </c>
      <c r="G31" s="8" t="n">
        <f aca="false">'Crop 1 Calculations'!F37+'Crop 2 Calculations'!F37</f>
        <v>121185</v>
      </c>
      <c r="H31" s="8" t="n">
        <f aca="false">'Crop 1 Calculations'!G37+'Crop 2 Calculations'!G37</f>
        <v>121185</v>
      </c>
      <c r="I31" s="8" t="n">
        <f aca="false">'Crop 1 Calculations'!H37+'Crop 2 Calculations'!H37</f>
        <v>121185</v>
      </c>
    </row>
    <row r="32" customFormat="false" ht="15" hidden="false" customHeight="false" outlineLevel="0" collapsed="false">
      <c r="A32" s="9" t="s">
        <v>21</v>
      </c>
      <c r="B32" s="10"/>
      <c r="C32" s="9" t="str">
        <f aca="false">IFERROR(DGET('Table '!$A$1:$G1045,'Table '!$E$1,'Table '!$T$6:$X$7),"Spreader not compatible with this operation")</f>
        <v>Spreader not compatible with this operation</v>
      </c>
      <c r="F32" s="6" t="s">
        <v>42</v>
      </c>
      <c r="G32" s="8" t="n">
        <f aca="false">'Crop 1 Calculations'!F38+'Crop 2 Calculations'!F38</f>
        <v>129654.3</v>
      </c>
      <c r="H32" s="8" t="n">
        <f aca="false">'Crop 1 Calculations'!G38+'Crop 2 Calculations'!G38</f>
        <v>142643.25</v>
      </c>
      <c r="I32" s="8" t="n">
        <f aca="false">'Crop 1 Calculations'!H38+'Crop 2 Calculations'!H38</f>
        <v>143649.75</v>
      </c>
    </row>
    <row r="33" customFormat="false" ht="15" hidden="false" customHeight="false" outlineLevel="0" collapsed="false">
      <c r="A33" s="9" t="s">
        <v>23</v>
      </c>
      <c r="B33" s="10"/>
      <c r="C33" s="13" t="str">
        <f aca="false">IFERROR(DGET('Table '!$A$1:$G1039,'Table '!$F$1,'Table '!$T$6:$X$7),"Spreader not compatible with this operation")</f>
        <v>Spreader not compatible with this operation</v>
      </c>
      <c r="F33" s="6" t="s">
        <v>44</v>
      </c>
      <c r="G33" s="8" t="n">
        <f aca="false">'Crop 1 Calculations'!F39+'Crop 2 Calculations'!F39</f>
        <v>8469.29999999999</v>
      </c>
      <c r="H33" s="8" t="n">
        <f aca="false">'Crop 1 Calculations'!G39+'Crop 2 Calculations'!G39</f>
        <v>21458.25</v>
      </c>
      <c r="I33" s="8" t="n">
        <f aca="false">'Crop 1 Calculations'!H39+'Crop 2 Calculations'!H39</f>
        <v>22464.75</v>
      </c>
    </row>
    <row r="34" customFormat="false" ht="15" hidden="false" customHeight="false" outlineLevel="0" collapsed="false">
      <c r="A34" s="9" t="s">
        <v>25</v>
      </c>
      <c r="B34" s="10"/>
      <c r="C34" s="9" t="s">
        <v>33</v>
      </c>
    </row>
    <row r="35" customFormat="false" ht="15" hidden="false" customHeight="true" outlineLevel="0" collapsed="false">
      <c r="A35" s="9" t="s">
        <v>27</v>
      </c>
      <c r="B35" s="10" t="s">
        <v>13</v>
      </c>
      <c r="C35" s="10"/>
    </row>
    <row r="36" customFormat="false" ht="26.85" hidden="false" customHeight="false" outlineLevel="0" collapsed="false">
      <c r="A36" s="9" t="s">
        <v>29</v>
      </c>
      <c r="B36" s="10"/>
      <c r="C36" s="13" t="str">
        <f aca="false">IFERROR(DGET('Table '!$A$1:$G1039,'Table '!$E$1,'Table '!$Y$6:$AB$7),"NA")</f>
        <v>NA</v>
      </c>
    </row>
    <row r="37" customFormat="false" ht="15" hidden="false" customHeight="false" outlineLevel="0" collapsed="false">
      <c r="A37" s="9" t="s">
        <v>31</v>
      </c>
      <c r="B37" s="10"/>
      <c r="C37" s="13" t="str">
        <f aca="false">IFERROR(DGET('Table '!$A$1:$G1039,'Table '!$F$1,'Table '!$Y$6:$AB$7),"NA")</f>
        <v>NA</v>
      </c>
    </row>
    <row r="38" customFormat="false" ht="15" hidden="false" customHeight="false" outlineLevel="0" collapsed="false">
      <c r="A38" s="9" t="s">
        <v>25</v>
      </c>
      <c r="B38" s="10"/>
      <c r="C38" s="13" t="s">
        <v>33</v>
      </c>
    </row>
    <row r="39" customFormat="false" ht="15" hidden="false" customHeight="true" outlineLevel="0" collapsed="false">
      <c r="A39" s="9" t="s">
        <v>35</v>
      </c>
      <c r="B39" s="10" t="s">
        <v>13</v>
      </c>
      <c r="C39" s="10"/>
    </row>
    <row r="40" customFormat="false" ht="15" hidden="false" customHeight="false" outlineLevel="0" collapsed="false">
      <c r="A40" s="9" t="s">
        <v>37</v>
      </c>
      <c r="B40" s="10"/>
      <c r="C40" s="13" t="str">
        <f aca="false">IFERROR(DGET('Table '!$A$1:$G1042,'Table '!$E$1,'Table '!$AD$6:$AG$7),"NA")</f>
        <v>NA</v>
      </c>
    </row>
    <row r="41" customFormat="false" ht="15" hidden="false" customHeight="false" outlineLevel="0" collapsed="false">
      <c r="A41" s="9" t="s">
        <v>39</v>
      </c>
      <c r="B41" s="10"/>
      <c r="C41" s="13" t="str">
        <f aca="false">IFERROR(DGET('Table '!$A$1:$G1042,'Table '!$F$1,'Table '!$AD$6:$AG$7),"NA")</f>
        <v>NA</v>
      </c>
    </row>
    <row r="42" customFormat="false" ht="15" hidden="false" customHeight="false" outlineLevel="0" collapsed="false">
      <c r="A42" s="9" t="s">
        <v>40</v>
      </c>
      <c r="B42" s="10"/>
      <c r="C42" s="13" t="s">
        <v>33</v>
      </c>
    </row>
  </sheetData>
  <mergeCells count="16">
    <mergeCell ref="A1:C1"/>
    <mergeCell ref="B2:C2"/>
    <mergeCell ref="F2:I2"/>
    <mergeCell ref="B3:C3"/>
    <mergeCell ref="B4:C4"/>
    <mergeCell ref="B5:C5"/>
    <mergeCell ref="B13:C13"/>
    <mergeCell ref="F13:I13"/>
    <mergeCell ref="B17:C17"/>
    <mergeCell ref="A23:C23"/>
    <mergeCell ref="B24:C24"/>
    <mergeCell ref="B25:C25"/>
    <mergeCell ref="B26:C26"/>
    <mergeCell ref="B27:C27"/>
    <mergeCell ref="B35:C35"/>
    <mergeCell ref="B39:C39"/>
  </mergeCells>
  <conditionalFormatting sqref="C13">
    <cfRule type="expression" priority="2" aboveAverage="0" equalAverage="0" bottom="0" percent="0" rank="0" text="" dxfId="0">
      <formula>LEN(TRIM(C13))&gt;0</formula>
    </cfRule>
  </conditionalFormatting>
  <dataValidations count="4">
    <dataValidation allowBlank="true" operator="between" showDropDown="false" showErrorMessage="false" showInputMessage="false" sqref="B3 B25" type="list">
      <formula1>Crops</formula1>
      <formula2>0</formula2>
    </dataValidation>
    <dataValidation allowBlank="true" operator="between" showDropDown="false" showErrorMessage="false" showInputMessage="false" sqref="B5 B13 B17 B27 B35 B39" type="list">
      <formula1>yesno</formula1>
      <formula2>0</formula2>
    </dataValidation>
    <dataValidation allowBlank="true" operator="between" showDropDown="false" showErrorMessage="false" showInputMessage="false" sqref="B2" type="list">
      <formula1>Units</formula1>
      <formula2>0</formula2>
    </dataValidation>
    <dataValidation allowBlank="true" operator="between" showDropDown="false" showErrorMessage="false" showInputMessage="false" sqref="B4 B26" type="list">
      <formula1>product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44.58"/>
  </cols>
  <sheetData>
    <row r="1" customFormat="false" ht="15" hidden="false" customHeight="false" outlineLevel="0" collapsed="false">
      <c r="A1" s="17"/>
      <c r="B1" s="17"/>
      <c r="C1" s="17"/>
      <c r="D1" s="17"/>
      <c r="E1" s="18"/>
    </row>
    <row r="2" customFormat="false" ht="15" hidden="false" customHeight="false" outlineLevel="0" collapsed="false">
      <c r="A2" s="17"/>
      <c r="B2" s="17"/>
      <c r="C2" s="17"/>
      <c r="D2" s="17"/>
      <c r="E2" s="18"/>
    </row>
    <row r="3" customFormat="false" ht="15" hidden="false" customHeight="false" outlineLevel="0" collapsed="false">
      <c r="A3" s="17"/>
      <c r="B3" s="17"/>
      <c r="C3" s="17"/>
      <c r="D3" s="17"/>
      <c r="E3" s="18"/>
    </row>
    <row r="4" customFormat="false" ht="15" hidden="false" customHeight="false" outlineLevel="0" collapsed="false">
      <c r="A4" s="17"/>
      <c r="B4" s="17"/>
      <c r="C4" s="17"/>
      <c r="D4" s="17"/>
      <c r="E4" s="18"/>
    </row>
    <row r="5" customFormat="false" ht="15" hidden="false" customHeight="false" outlineLevel="0" collapsed="false">
      <c r="A5" s="17"/>
      <c r="B5" s="17"/>
      <c r="C5" s="17"/>
      <c r="D5" s="17"/>
      <c r="E5" s="18"/>
    </row>
    <row r="6" customFormat="false" ht="15" hidden="false" customHeight="false" outlineLevel="0" collapsed="false">
      <c r="A6" s="19"/>
      <c r="B6" s="19"/>
      <c r="C6" s="19"/>
      <c r="D6" s="19"/>
      <c r="E6" s="18"/>
    </row>
    <row r="7" customFormat="false" ht="15" hidden="false" customHeight="false" outlineLevel="0" collapsed="false">
      <c r="A7" s="19"/>
      <c r="B7" s="19"/>
      <c r="C7" s="19"/>
      <c r="D7" s="19"/>
      <c r="E7" s="18"/>
    </row>
    <row r="8" customFormat="false" ht="15" hidden="false" customHeight="false" outlineLevel="0" collapsed="false">
      <c r="A8" s="20" t="s">
        <v>3</v>
      </c>
      <c r="B8" s="20"/>
      <c r="C8" s="20"/>
      <c r="D8" s="20"/>
      <c r="E8" s="18"/>
    </row>
    <row r="9" customFormat="false" ht="15" hidden="false" customHeight="false" outlineLevel="0" collapsed="false">
      <c r="B9" s="6" t="s">
        <v>6</v>
      </c>
      <c r="C9" s="6" t="s">
        <v>7</v>
      </c>
      <c r="D9" s="6" t="s">
        <v>8</v>
      </c>
    </row>
    <row r="10" customFormat="false" ht="15" hidden="false" customHeight="false" outlineLevel="0" collapsed="false">
      <c r="A10" s="9" t="s">
        <v>11</v>
      </c>
      <c r="B10" s="21" t="n">
        <f aca="false">'User Inputs'!G4</f>
        <v>100065</v>
      </c>
      <c r="C10" s="21" t="n">
        <f aca="false">'User Inputs'!H4</f>
        <v>100065</v>
      </c>
      <c r="D10" s="21" t="n">
        <f aca="false">'User Inputs'!I4</f>
        <v>100065</v>
      </c>
    </row>
    <row r="11" customFormat="false" ht="15" hidden="false" customHeight="false" outlineLevel="0" collapsed="false">
      <c r="A11" s="9" t="s">
        <v>14</v>
      </c>
      <c r="B11" s="21" t="n">
        <f aca="false">'User Inputs'!G5</f>
        <v>90470.7</v>
      </c>
      <c r="C11" s="21" t="n">
        <f aca="false">'User Inputs'!H5</f>
        <v>89481.75</v>
      </c>
      <c r="D11" s="21" t="n">
        <f aca="false">'User Inputs'!I5</f>
        <v>88475.25</v>
      </c>
    </row>
    <row r="12" customFormat="false" ht="15" hidden="false" customHeight="false" outlineLevel="0" collapsed="false">
      <c r="A12" s="7"/>
      <c r="B12" s="8" t="n">
        <f aca="false">'User Inputs'!G6</f>
        <v>0</v>
      </c>
      <c r="C12" s="8" t="n">
        <f aca="false">'User Inputs'!H6</f>
        <v>0</v>
      </c>
      <c r="D12" s="8" t="n">
        <f aca="false">'User Inputs'!I6</f>
        <v>0</v>
      </c>
    </row>
    <row r="13" customFormat="false" ht="15" hidden="false" customHeight="false" outlineLevel="0" collapsed="false">
      <c r="A13" s="9" t="s">
        <v>17</v>
      </c>
      <c r="B13" s="21" t="n">
        <f aca="false">'User Inputs'!G7</f>
        <v>225000</v>
      </c>
      <c r="C13" s="21" t="n">
        <f aca="false">'User Inputs'!H7</f>
        <v>225000</v>
      </c>
      <c r="D13" s="21" t="n">
        <f aca="false">'User Inputs'!I7</f>
        <v>225000</v>
      </c>
    </row>
    <row r="14" customFormat="false" ht="15" hidden="false" customHeight="false" outlineLevel="0" collapsed="false">
      <c r="A14" s="9" t="s">
        <v>19</v>
      </c>
      <c r="B14" s="21" t="n">
        <f aca="false">'User Inputs'!G8</f>
        <v>240750</v>
      </c>
      <c r="C14" s="21" t="n">
        <f aca="false">'User Inputs'!H8</f>
        <v>240750</v>
      </c>
      <c r="D14" s="21" t="n">
        <f aca="false">'User Inputs'!I8</f>
        <v>240750</v>
      </c>
    </row>
    <row r="15" customFormat="false" ht="15" hidden="false" customHeight="false" outlineLevel="0" collapsed="false">
      <c r="A15" s="7"/>
      <c r="B15" s="8" t="n">
        <f aca="false">'User Inputs'!G9</f>
        <v>0</v>
      </c>
      <c r="C15" s="8" t="n">
        <f aca="false">'User Inputs'!H9</f>
        <v>0</v>
      </c>
      <c r="D15" s="8" t="n">
        <f aca="false">'User Inputs'!I9</f>
        <v>0</v>
      </c>
    </row>
    <row r="16" customFormat="false" ht="15" hidden="false" customHeight="false" outlineLevel="0" collapsed="false">
      <c r="A16" s="9" t="s">
        <v>22</v>
      </c>
      <c r="B16" s="21" t="n">
        <f aca="false">'User Inputs'!G10</f>
        <v>3750</v>
      </c>
      <c r="C16" s="21" t="n">
        <f aca="false">'User Inputs'!H10</f>
        <v>3750</v>
      </c>
      <c r="D16" s="21" t="n">
        <f aca="false">'User Inputs'!I10</f>
        <v>3750</v>
      </c>
    </row>
    <row r="17" customFormat="false" ht="15" hidden="false" customHeight="false" outlineLevel="0" collapsed="false">
      <c r="A17" s="9" t="s">
        <v>24</v>
      </c>
      <c r="B17" s="21" t="n">
        <f aca="false">'User Inputs'!G11</f>
        <v>3375</v>
      </c>
      <c r="C17" s="21" t="n">
        <f aca="false">'User Inputs'!H11</f>
        <v>3375</v>
      </c>
      <c r="D17" s="21" t="n">
        <f aca="false">'User Inputs'!I11</f>
        <v>3375</v>
      </c>
    </row>
    <row r="19" customFormat="false" ht="15" hidden="false" customHeight="false" outlineLevel="0" collapsed="false">
      <c r="A19" s="22" t="s">
        <v>47</v>
      </c>
      <c r="B19" s="22"/>
      <c r="C19" s="22"/>
      <c r="D19" s="22"/>
    </row>
    <row r="20" customFormat="false" ht="15" hidden="false" customHeight="false" outlineLevel="0" collapsed="false">
      <c r="A20" s="23" t="s">
        <v>41</v>
      </c>
      <c r="B20" s="21" t="n">
        <f aca="false">'User Inputs'!G31</f>
        <v>121185</v>
      </c>
      <c r="C20" s="21" t="n">
        <f aca="false">'User Inputs'!H31</f>
        <v>121185</v>
      </c>
      <c r="D20" s="21" t="n">
        <f aca="false">'User Inputs'!I31</f>
        <v>121185</v>
      </c>
    </row>
    <row r="21" customFormat="false" ht="15" hidden="false" customHeight="false" outlineLevel="0" collapsed="false">
      <c r="A21" s="23" t="s">
        <v>42</v>
      </c>
      <c r="B21" s="21" t="n">
        <f aca="false">'User Inputs'!G32</f>
        <v>129654.3</v>
      </c>
      <c r="C21" s="21" t="n">
        <f aca="false">'User Inputs'!H32</f>
        <v>142643.25</v>
      </c>
      <c r="D21" s="21" t="n">
        <f aca="false">'User Inputs'!I32</f>
        <v>143649.75</v>
      </c>
    </row>
    <row r="22" customFormat="false" ht="15" hidden="false" customHeight="false" outlineLevel="0" collapsed="false">
      <c r="A22" s="23" t="s">
        <v>44</v>
      </c>
      <c r="B22" s="21" t="n">
        <f aca="false">'User Inputs'!G33</f>
        <v>8469.29999999999</v>
      </c>
      <c r="C22" s="21" t="n">
        <f aca="false">'User Inputs'!H33</f>
        <v>21458.25</v>
      </c>
      <c r="D22" s="21" t="n">
        <f aca="false">'User Inputs'!I33</f>
        <v>22464.75</v>
      </c>
    </row>
    <row r="23" customFormat="false" ht="15" hidden="false" customHeight="false" outlineLevel="0" collapsed="false">
      <c r="B23" s="8" t="n">
        <f aca="false">'User Inputs'!G34</f>
        <v>0</v>
      </c>
    </row>
    <row r="24" customFormat="false" ht="15" hidden="false" customHeight="false" outlineLevel="0" collapsed="false">
      <c r="A24" s="22" t="s">
        <v>48</v>
      </c>
      <c r="B24" s="22"/>
      <c r="C24" s="22"/>
      <c r="D24" s="22"/>
    </row>
    <row r="25" customFormat="false" ht="15" hidden="false" customHeight="true" outlineLevel="0" collapsed="false">
      <c r="A25" s="22"/>
      <c r="B25" s="22"/>
      <c r="C25" s="22"/>
      <c r="D25" s="22"/>
    </row>
    <row r="27" customFormat="false" ht="15" hidden="false" customHeight="true" outlineLevel="0" collapsed="false">
      <c r="A27" s="24" t="s">
        <v>28</v>
      </c>
      <c r="B27" s="24"/>
      <c r="C27" s="24"/>
      <c r="D27" s="24"/>
    </row>
    <row r="28" customFormat="false" ht="15" hidden="false" customHeight="false" outlineLevel="0" collapsed="false">
      <c r="A28" s="23" t="s">
        <v>30</v>
      </c>
      <c r="B28" s="21" t="n">
        <f aca="false">'User Inputs'!G14</f>
        <v>12000</v>
      </c>
      <c r="C28" s="21" t="n">
        <f aca="false">'User Inputs'!H14</f>
        <v>0</v>
      </c>
      <c r="D28" s="21" t="n">
        <f aca="false">'User Inputs'!I14</f>
        <v>0</v>
      </c>
      <c r="E28" s="8"/>
    </row>
    <row r="29" customFormat="false" ht="15" hidden="false" customHeight="false" outlineLevel="0" collapsed="false">
      <c r="A29" s="23" t="s">
        <v>32</v>
      </c>
      <c r="B29" s="21" t="n">
        <f aca="false">'User Inputs'!G15</f>
        <v>3000</v>
      </c>
      <c r="C29" s="21" t="n">
        <f aca="false">'User Inputs'!H15</f>
        <v>3000</v>
      </c>
      <c r="D29" s="21" t="n">
        <f aca="false">'User Inputs'!I15</f>
        <v>3000</v>
      </c>
      <c r="E29" s="8"/>
    </row>
    <row r="30" customFormat="false" ht="15" hidden="false" customHeight="false" outlineLevel="0" collapsed="false">
      <c r="A30" s="23" t="s">
        <v>34</v>
      </c>
      <c r="B30" s="21" t="n">
        <f aca="false">'User Inputs'!G16</f>
        <v>1125</v>
      </c>
      <c r="C30" s="21" t="n">
        <f aca="false">'User Inputs'!H16</f>
        <v>1125</v>
      </c>
      <c r="D30" s="21" t="n">
        <f aca="false">'User Inputs'!I16</f>
        <v>1125</v>
      </c>
      <c r="E30" s="8"/>
    </row>
    <row r="31" customFormat="false" ht="15" hidden="false" customHeight="false" outlineLevel="0" collapsed="false">
      <c r="A31" s="23" t="s">
        <v>36</v>
      </c>
      <c r="B31" s="21" t="n">
        <f aca="false">'User Inputs'!G17</f>
        <v>1125</v>
      </c>
      <c r="C31" s="21" t="n">
        <f aca="false">'User Inputs'!H17</f>
        <v>1125</v>
      </c>
      <c r="D31" s="21" t="n">
        <f aca="false">'User Inputs'!I17</f>
        <v>1125</v>
      </c>
      <c r="E31" s="8"/>
    </row>
    <row r="32" customFormat="false" ht="15" hidden="false" customHeight="false" outlineLevel="0" collapsed="false">
      <c r="A32" s="25" t="s">
        <v>38</v>
      </c>
      <c r="B32" s="21" t="n">
        <f aca="false">'User Inputs'!G18</f>
        <v>17250</v>
      </c>
      <c r="C32" s="21" t="n">
        <f aca="false">'User Inputs'!H18</f>
        <v>5250</v>
      </c>
      <c r="D32" s="21" t="n">
        <f aca="false">'User Inputs'!I18</f>
        <v>5250</v>
      </c>
      <c r="E32" s="8"/>
    </row>
    <row r="34" customFormat="false" ht="15" hidden="false" customHeight="false" outlineLevel="0" collapsed="false">
      <c r="A34" s="15" t="s">
        <v>0</v>
      </c>
      <c r="B34" s="8"/>
      <c r="C34" s="8"/>
      <c r="D34" s="8"/>
    </row>
    <row r="35" customFormat="false" ht="15" hidden="false" customHeight="false" outlineLevel="0" collapsed="false">
      <c r="A35" s="23" t="s">
        <v>41</v>
      </c>
      <c r="B35" s="21" t="n">
        <f aca="false">'User Inputs'!G21</f>
        <v>121185</v>
      </c>
      <c r="C35" s="21" t="n">
        <f aca="false">'User Inputs'!H21</f>
        <v>121185</v>
      </c>
      <c r="D35" s="21" t="n">
        <f aca="false">'User Inputs'!I21</f>
        <v>121185</v>
      </c>
    </row>
    <row r="36" customFormat="false" ht="15" hidden="false" customHeight="false" outlineLevel="0" collapsed="false">
      <c r="A36" s="23" t="s">
        <v>42</v>
      </c>
      <c r="B36" s="21" t="n">
        <f aca="false">'User Inputs'!G22</f>
        <v>129654.3</v>
      </c>
      <c r="C36" s="21" t="n">
        <f aca="false">'User Inputs'!H22</f>
        <v>142643.25</v>
      </c>
      <c r="D36" s="21" t="n">
        <f aca="false">'User Inputs'!I22</f>
        <v>143649.75</v>
      </c>
      <c r="J36" s="6"/>
      <c r="K36" s="8"/>
      <c r="L36" s="8"/>
      <c r="M36" s="8"/>
    </row>
    <row r="37" customFormat="false" ht="15" hidden="false" customHeight="false" outlineLevel="0" collapsed="false">
      <c r="A37" s="23" t="s">
        <v>44</v>
      </c>
      <c r="B37" s="21" t="n">
        <f aca="false">'User Inputs'!G23</f>
        <v>8469.29999999999</v>
      </c>
      <c r="C37" s="21" t="n">
        <f aca="false">'User Inputs'!H23</f>
        <v>21458.25</v>
      </c>
      <c r="D37" s="21" t="n">
        <f aca="false">'User Inputs'!I23</f>
        <v>22464.75</v>
      </c>
      <c r="J37" s="6"/>
      <c r="K37" s="8"/>
      <c r="L37" s="8"/>
      <c r="M37" s="8"/>
    </row>
    <row r="38" customFormat="false" ht="15" hidden="false" customHeight="false" outlineLevel="0" collapsed="false">
      <c r="J38" s="6"/>
      <c r="K38" s="8"/>
      <c r="L38" s="8"/>
      <c r="M38" s="8"/>
    </row>
    <row r="39" customFormat="false" ht="15" hidden="false" customHeight="false" outlineLevel="0" collapsed="false">
      <c r="A39" s="15" t="s">
        <v>46</v>
      </c>
    </row>
    <row r="40" customFormat="false" ht="15" hidden="false" customHeight="false" outlineLevel="0" collapsed="false">
      <c r="A40" s="23" t="s">
        <v>41</v>
      </c>
      <c r="B40" s="21" t="n">
        <f aca="false">'User Inputs'!G26</f>
        <v>0</v>
      </c>
      <c r="C40" s="21" t="n">
        <f aca="false">'User Inputs'!H26</f>
        <v>0</v>
      </c>
      <c r="D40" s="21" t="n">
        <f aca="false">'User Inputs'!I26</f>
        <v>0</v>
      </c>
    </row>
    <row r="41" customFormat="false" ht="15" hidden="false" customHeight="false" outlineLevel="0" collapsed="false">
      <c r="A41" s="23" t="s">
        <v>42</v>
      </c>
      <c r="B41" s="21" t="n">
        <f aca="false">'User Inputs'!G27</f>
        <v>0</v>
      </c>
      <c r="C41" s="21" t="n">
        <f aca="false">'User Inputs'!H27</f>
        <v>0</v>
      </c>
      <c r="D41" s="21" t="n">
        <f aca="false">'User Inputs'!I27</f>
        <v>0</v>
      </c>
    </row>
    <row r="42" customFormat="false" ht="15" hidden="false" customHeight="false" outlineLevel="0" collapsed="false">
      <c r="A42" s="23" t="s">
        <v>44</v>
      </c>
      <c r="B42" s="21" t="n">
        <f aca="false">'User Inputs'!G28</f>
        <v>0</v>
      </c>
      <c r="C42" s="21" t="n">
        <f aca="false">'User Inputs'!H28</f>
        <v>0</v>
      </c>
      <c r="D42" s="21" t="n">
        <f aca="false">'User Inputs'!I28</f>
        <v>0</v>
      </c>
    </row>
  </sheetData>
  <mergeCells count="5">
    <mergeCell ref="A1:D5"/>
    <mergeCell ref="A8:D8"/>
    <mergeCell ref="A19:D19"/>
    <mergeCell ref="A24:D25"/>
    <mergeCell ref="A27:D2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J29" activeCellId="0" sqref="J29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59.29"/>
    <col collapsed="false" customWidth="true" hidden="false" outlineLevel="0" max="4" min="4" style="0" width="27.43"/>
    <col collapsed="false" customWidth="true" hidden="false" outlineLevel="0" max="5" min="5" style="0" width="29.73"/>
  </cols>
  <sheetData>
    <row r="1" customFormat="false" ht="15" hidden="false" customHeight="false" outlineLevel="0" collapsed="false">
      <c r="A1" s="6" t="s">
        <v>49</v>
      </c>
      <c r="E1" s="26" t="s">
        <v>50</v>
      </c>
      <c r="F1" s="26"/>
      <c r="G1" s="26"/>
      <c r="H1" s="26"/>
      <c r="I1" s="7"/>
    </row>
    <row r="2" customFormat="false" ht="15" hidden="false" customHeight="false" outlineLevel="0" collapsed="false">
      <c r="A2" s="22" t="s">
        <v>32</v>
      </c>
      <c r="B2" s="22"/>
      <c r="F2" s="6" t="s">
        <v>51</v>
      </c>
      <c r="G2" s="6" t="s">
        <v>52</v>
      </c>
      <c r="H2" s="6" t="s">
        <v>53</v>
      </c>
    </row>
    <row r="3" customFormat="false" ht="15" hidden="false" customHeight="false" outlineLevel="0" collapsed="false">
      <c r="A3" s="23" t="s">
        <v>15</v>
      </c>
      <c r="B3" s="23" t="n">
        <f aca="false">'User Inputs'!B6</f>
        <v>750</v>
      </c>
      <c r="D3" s="7"/>
      <c r="E3" s="27" t="s">
        <v>54</v>
      </c>
      <c r="F3" s="8" t="n">
        <f aca="false">($B$3*$B$7*$B$8*$B$9*$B$10)</f>
        <v>90000</v>
      </c>
      <c r="G3" s="8" t="n">
        <f aca="false">($B$3*$B$7*$B$8*$B$9*$B$10)</f>
        <v>90000</v>
      </c>
      <c r="H3" s="8" t="n">
        <f aca="false">($B$3*$B$7*$B$8*$B$9*$B$10)</f>
        <v>90000</v>
      </c>
    </row>
    <row r="4" customFormat="false" ht="15" hidden="false" customHeight="false" outlineLevel="0" collapsed="false">
      <c r="A4" s="23" t="s">
        <v>16</v>
      </c>
      <c r="B4" s="23" t="n">
        <f aca="false">'User Inputs'!B7</f>
        <v>50</v>
      </c>
      <c r="E4" s="27" t="s">
        <v>55</v>
      </c>
      <c r="F4" s="8" t="n">
        <f aca="false">$F$3*(1-$B$11-($B$14*1))</f>
        <v>81720</v>
      </c>
      <c r="G4" s="8" t="n">
        <f aca="false">$F$3*(1-$B$11-($B$14*2))</f>
        <v>80820</v>
      </c>
      <c r="H4" s="8" t="n">
        <f aca="false">$F$3*(1-$B$11-($B$14*3))</f>
        <v>79920</v>
      </c>
    </row>
    <row r="5" customFormat="false" ht="15" hidden="false" customHeight="false" outlineLevel="0" collapsed="false">
      <c r="A5" s="23" t="s">
        <v>56</v>
      </c>
      <c r="B5" s="23" t="n">
        <f aca="false">'User Inputs'!B8</f>
        <v>6</v>
      </c>
      <c r="E5" s="28" t="s">
        <v>57</v>
      </c>
      <c r="F5" s="28" t="n">
        <f aca="false">F3-F4</f>
        <v>8280</v>
      </c>
      <c r="G5" s="28" t="n">
        <f aca="false">G3-G4</f>
        <v>9180</v>
      </c>
      <c r="H5" s="28" t="n">
        <f aca="false">H3-H4</f>
        <v>10080</v>
      </c>
    </row>
    <row r="6" customFormat="false" ht="15" hidden="false" customHeight="false" outlineLevel="0" collapsed="false">
      <c r="A6" s="23" t="s">
        <v>58</v>
      </c>
      <c r="B6" s="23" t="n">
        <f aca="false">'User Inputs'!B9</f>
        <v>5</v>
      </c>
      <c r="E6" s="8"/>
      <c r="F6" s="8"/>
      <c r="G6" s="8"/>
      <c r="H6" s="8"/>
    </row>
    <row r="7" customFormat="false" ht="15" hidden="false" customHeight="false" outlineLevel="0" collapsed="false">
      <c r="A7" s="23" t="s">
        <v>59</v>
      </c>
      <c r="B7" s="23" t="n">
        <f aca="false">ifs('User Inputs'!$B$5="Yes",1,'User Inputs'!$B$5="No",0)*'User Inputs'!B10</f>
        <v>60</v>
      </c>
      <c r="E7" s="8" t="s">
        <v>60</v>
      </c>
      <c r="F7" s="8" t="n">
        <f aca="false">ifs('User Inputs'!$B$13="No",0,'User Inputs'!$B$13="Yes",($B$3*$B$18*$B$19*$B$20*$B$21))</f>
        <v>585</v>
      </c>
      <c r="G7" s="8" t="n">
        <f aca="false">ifs('User Inputs'!$B$13="No",0,'User Inputs'!$B$13="Yes",($B$3*$B$18*$B$19*$B$20*$B$21))</f>
        <v>585</v>
      </c>
      <c r="H7" s="8" t="n">
        <f aca="false">ifs('User Inputs'!$B$13="No",0,'User Inputs'!$B$13="Yes",($B$3*$B$18*$B$19*$B$20*$B$21))</f>
        <v>585</v>
      </c>
    </row>
    <row r="8" customFormat="false" ht="15" hidden="false" customHeight="false" outlineLevel="0" collapsed="false">
      <c r="A8" s="23" t="s">
        <v>61</v>
      </c>
      <c r="B8" s="23" t="n">
        <f aca="false">'User Inputs'!B11</f>
        <v>2</v>
      </c>
      <c r="E8" s="8" t="s">
        <v>62</v>
      </c>
      <c r="F8" s="8" t="n">
        <f aca="false">F7*(1-$B$33-($B$25*2))</f>
        <v>503.1</v>
      </c>
      <c r="G8" s="8" t="n">
        <f aca="false">G7*(1-$B$33-($B$25*1))</f>
        <v>508.95</v>
      </c>
      <c r="H8" s="8" t="n">
        <f aca="false">H7*(1-$B$33-($B$25*3))</f>
        <v>497.25</v>
      </c>
    </row>
    <row r="9" customFormat="false" ht="15" hidden="false" customHeight="false" outlineLevel="0" collapsed="false">
      <c r="A9" s="23" t="s">
        <v>40</v>
      </c>
      <c r="B9" s="23" t="n">
        <f aca="false">ifs('User Inputs'!$B$5="Yes",1,'User Inputs'!$B$5="No",0)*'User Inputs'!B12</f>
        <v>1</v>
      </c>
      <c r="E9" s="28" t="s">
        <v>57</v>
      </c>
      <c r="F9" s="28" t="n">
        <f aca="false">F7-F8</f>
        <v>81.9</v>
      </c>
      <c r="G9" s="28" t="n">
        <f aca="false">G7-G8</f>
        <v>76.05</v>
      </c>
      <c r="H9" s="28" t="n">
        <f aca="false">H7-H8</f>
        <v>87.75</v>
      </c>
    </row>
    <row r="10" customFormat="false" ht="15" hidden="false" customHeight="false" outlineLevel="0" collapsed="false">
      <c r="A10" s="23" t="s">
        <v>63</v>
      </c>
      <c r="B10" s="23" t="n">
        <f aca="false">IFERROR(DGET('Table '!$A$1:$G991,'Table '!$G$1,'Table '!$T$1:$X$2),"Spreader not compatible with this operation")</f>
        <v>1</v>
      </c>
      <c r="E10" s="8"/>
      <c r="F10" s="8"/>
      <c r="G10" s="8"/>
      <c r="H10" s="8"/>
    </row>
    <row r="11" customFormat="false" ht="15" hidden="false" customHeight="false" outlineLevel="0" collapsed="false">
      <c r="A11" s="23" t="s">
        <v>64</v>
      </c>
      <c r="B11" s="23" t="n">
        <f aca="false">IFERROR(DGET('Table '!$A$1:$H991,'Table '!$H$1,'Table '!$T$1:$X$2),"Spreader not compatible with this operation")</f>
        <v>0.082</v>
      </c>
      <c r="E11" s="8" t="s">
        <v>65</v>
      </c>
      <c r="F11" s="8" t="n">
        <f aca="false">ifs('User Inputs'!$B$13="No",0,'User Inputs'!$B$13="Yes",($B$3*$B$29*$B$30*$B$31*$B$32))</f>
        <v>9480</v>
      </c>
      <c r="G11" s="8" t="n">
        <f aca="false">ifs('User Inputs'!$B$13="No",0,'User Inputs'!$B$13="Yes",($B$3*$B$29*$B$30*$B$31*$B$32))</f>
        <v>9480</v>
      </c>
      <c r="H11" s="8" t="n">
        <f aca="false">ifs('User Inputs'!$B$13="No",0,'User Inputs'!$B$13="Yes",($B$3*$B$29*$B$30*$B$31*$B$32))</f>
        <v>9480</v>
      </c>
    </row>
    <row r="12" customFormat="false" ht="15" hidden="false" customHeight="false" outlineLevel="0" collapsed="false">
      <c r="A12" s="23" t="s">
        <v>66</v>
      </c>
      <c r="B12" s="23" t="n">
        <f aca="false">ifs('User Inputs'!$B$5="Yes",1,'User Inputs'!$B$5="No",0)*DGET('Table '!$A$1:$J991,'Table '!$I$1,'Table '!$T$1:$X$2)</f>
        <v>0</v>
      </c>
      <c r="E12" s="8" t="s">
        <v>67</v>
      </c>
      <c r="F12" s="8" t="n">
        <f aca="false">F11*(1-$B$33-($B$36*1))</f>
        <v>8247.6</v>
      </c>
      <c r="G12" s="8" t="n">
        <f aca="false">G11*(1-$B$33-($B$36*2))</f>
        <v>8152.8</v>
      </c>
      <c r="H12" s="8" t="n">
        <f aca="false">H11*(1-$B$33-($B$36*3))</f>
        <v>8058</v>
      </c>
    </row>
    <row r="13" customFormat="false" ht="15" hidden="false" customHeight="false" outlineLevel="0" collapsed="false">
      <c r="A13" s="23" t="s">
        <v>68</v>
      </c>
      <c r="B13" s="23" t="n">
        <f aca="false">ifs('User Inputs'!$B$5="Yes",1,'User Inputs'!$B$5="No",0)*DGET('Table '!$A$1:$K991,'Table '!$K$1,'Table '!$T$1:$X$2)</f>
        <v>0.01</v>
      </c>
      <c r="E13" s="28" t="s">
        <v>57</v>
      </c>
      <c r="F13" s="28" t="n">
        <f aca="false">F11-F12</f>
        <v>1232.4</v>
      </c>
      <c r="G13" s="28" t="n">
        <f aca="false">G11-G12</f>
        <v>1327.2</v>
      </c>
      <c r="H13" s="28" t="n">
        <f aca="false">H11-H12</f>
        <v>1422</v>
      </c>
    </row>
    <row r="14" customFormat="false" ht="15" hidden="false" customHeight="false" outlineLevel="0" collapsed="false">
      <c r="A14" s="23" t="s">
        <v>69</v>
      </c>
      <c r="B14" s="23" t="n">
        <f aca="false">ifs('User Inputs'!$B$5="Yes",1,'User Inputs'!$B$5="No",0)*DGET('Table '!$A$1:$K991,'Table '!$K$1,'Table '!$T$1:$X$2)</f>
        <v>0.01</v>
      </c>
      <c r="E14" s="8"/>
      <c r="F14" s="8"/>
      <c r="G14" s="8"/>
      <c r="H14" s="8"/>
    </row>
    <row r="15" customFormat="false" ht="15" hidden="false" customHeight="false" outlineLevel="0" collapsed="false">
      <c r="A15" s="23" t="s">
        <v>70</v>
      </c>
      <c r="B15" s="23" t="n">
        <f aca="false">ifs('User Inputs'!$B$5="Yes",1,'User Inputs'!$B$5="No",0)*DGET('Table '!$A$1:$L991,'Table '!$L$1,'Table '!$T$1:$X$2)</f>
        <v>4</v>
      </c>
      <c r="E15" s="8"/>
      <c r="F15" s="8"/>
      <c r="G15" s="8"/>
      <c r="H15" s="8"/>
    </row>
    <row r="16" customFormat="false" ht="15" hidden="false" customHeight="false" outlineLevel="0" collapsed="false">
      <c r="E16" s="29" t="s">
        <v>71</v>
      </c>
      <c r="F16" s="29"/>
      <c r="G16" s="29"/>
      <c r="H16" s="29"/>
    </row>
    <row r="17" customFormat="false" ht="15" hidden="false" customHeight="false" outlineLevel="0" collapsed="false">
      <c r="A17" s="22" t="s">
        <v>34</v>
      </c>
      <c r="B17" s="22"/>
      <c r="E17" s="8"/>
      <c r="F17" s="8" t="s">
        <v>51</v>
      </c>
      <c r="G17" s="8" t="s">
        <v>52</v>
      </c>
      <c r="H17" s="8" t="s">
        <v>53</v>
      </c>
    </row>
    <row r="18" customFormat="false" ht="30.55" hidden="false" customHeight="true" outlineLevel="0" collapsed="false">
      <c r="A18" s="23" t="s">
        <v>72</v>
      </c>
      <c r="B18" s="23" t="n">
        <f aca="false">'User Inputs'!B14</f>
        <v>10</v>
      </c>
      <c r="E18" s="27" t="s">
        <v>73</v>
      </c>
      <c r="F18" s="8" t="n">
        <f aca="false">($B$3*$B$4*$B$5)</f>
        <v>225000</v>
      </c>
      <c r="G18" s="8" t="n">
        <f aca="false">($B$3*$B$4*$B$5)</f>
        <v>225000</v>
      </c>
      <c r="H18" s="8" t="n">
        <f aca="false">($B$3*$B$4*$B$5)</f>
        <v>225000</v>
      </c>
    </row>
    <row r="19" customFormat="false" ht="29.85" hidden="false" customHeight="true" outlineLevel="0" collapsed="false">
      <c r="A19" s="23" t="s">
        <v>61</v>
      </c>
      <c r="B19" s="23" t="n">
        <f aca="false">'User Inputs'!B15</f>
        <v>78</v>
      </c>
      <c r="E19" s="27" t="s">
        <v>74</v>
      </c>
      <c r="F19" s="8" t="n">
        <f aca="false">F18*$B$13</f>
        <v>2250</v>
      </c>
      <c r="G19" s="8" t="n">
        <f aca="false">G18*$B$13</f>
        <v>2250</v>
      </c>
      <c r="H19" s="8" t="n">
        <f aca="false">H18*$B$13</f>
        <v>2250</v>
      </c>
    </row>
    <row r="20" customFormat="false" ht="44.75" hidden="false" customHeight="true" outlineLevel="0" collapsed="false">
      <c r="A20" s="23" t="s">
        <v>40</v>
      </c>
      <c r="B20" s="23" t="n">
        <f aca="false">'User Inputs'!B16</f>
        <v>1</v>
      </c>
      <c r="E20" s="27" t="s">
        <v>75</v>
      </c>
      <c r="F20" s="8" t="n">
        <f aca="false">F18*$B$24</f>
        <v>6750</v>
      </c>
      <c r="G20" s="8" t="n">
        <f aca="false">G18*$B$24</f>
        <v>6750</v>
      </c>
      <c r="H20" s="8" t="n">
        <f aca="false">H18*$B$24</f>
        <v>6750</v>
      </c>
      <c r="I20" s="30"/>
    </row>
    <row r="21" customFormat="false" ht="30.55" hidden="false" customHeight="true" outlineLevel="0" collapsed="false">
      <c r="A21" s="23" t="s">
        <v>63</v>
      </c>
      <c r="B21" s="23" t="n">
        <f aca="false">IFERROR(DGET('Table '!$A$1:$G1002,'Table '!$G$1,'Table '!$Y$1:$AB$2),"0")</f>
        <v>0.001</v>
      </c>
      <c r="E21" s="27" t="s">
        <v>76</v>
      </c>
      <c r="F21" s="8" t="n">
        <f aca="false">F18*$B$35</f>
        <v>6750</v>
      </c>
      <c r="G21" s="8" t="n">
        <f aca="false">G18*$B$35</f>
        <v>6750</v>
      </c>
      <c r="H21" s="8" t="n">
        <f aca="false">H18*$B$35</f>
        <v>6750</v>
      </c>
    </row>
    <row r="22" customFormat="false" ht="21.6" hidden="false" customHeight="true" outlineLevel="0" collapsed="false">
      <c r="A22" s="23" t="s">
        <v>64</v>
      </c>
      <c r="B22" s="23" t="n">
        <f aca="false">IFERROR(DGET('Table '!$A$1:$H1002,'Table '!$H$1,'Table '!$Y$1:$AB$2),"0")</f>
        <v>0.16</v>
      </c>
      <c r="E22" s="28" t="s">
        <v>77</v>
      </c>
      <c r="F22" s="28" t="n">
        <f aca="false">SUM(F19:F21)</f>
        <v>15750</v>
      </c>
      <c r="G22" s="28" t="n">
        <f aca="false">SUM(G19:G21)</f>
        <v>15750</v>
      </c>
      <c r="H22" s="28" t="n">
        <f aca="false">SUM(H19:H21)</f>
        <v>15750</v>
      </c>
    </row>
    <row r="23" customFormat="false" ht="15" hidden="false" customHeight="false" outlineLevel="0" collapsed="false">
      <c r="A23" s="23" t="s">
        <v>66</v>
      </c>
      <c r="B23" s="23" t="n">
        <f aca="false">IFERROR(DGET('Table '!$A$1:$J1002,'Table '!$I$1,'Table '!$Y$1:$AB$2),"0")</f>
        <v>0.05</v>
      </c>
      <c r="E23" s="28" t="s">
        <v>78</v>
      </c>
      <c r="F23" s="28" t="n">
        <f aca="false">F18+F22</f>
        <v>240750</v>
      </c>
      <c r="G23" s="28" t="n">
        <f aca="false">G18+G22</f>
        <v>240750</v>
      </c>
      <c r="H23" s="28" t="n">
        <f aca="false">H18+H22</f>
        <v>240750</v>
      </c>
    </row>
    <row r="24" customFormat="false" ht="15" hidden="false" customHeight="false" outlineLevel="0" collapsed="false">
      <c r="A24" s="23" t="s">
        <v>68</v>
      </c>
      <c r="B24" s="23" t="n">
        <f aca="false">IFERROR(DGET('Table '!$A$1:$K1002,'Table '!$J$1,'Table '!$Y$1:$AB$2),"0")</f>
        <v>0.03</v>
      </c>
      <c r="E24" s="31"/>
      <c r="F24" s="31"/>
      <c r="G24" s="31"/>
      <c r="H24" s="31"/>
    </row>
    <row r="25" customFormat="false" ht="15" hidden="false" customHeight="true" outlineLevel="0" collapsed="false">
      <c r="A25" s="23" t="s">
        <v>69</v>
      </c>
      <c r="B25" s="23" t="n">
        <f aca="false">IFERROR(DGET('Table '!$A$1:$K1002,'Table '!$K$1,'Table '!$Y$1:$AB$2),"0")</f>
        <v>0.01</v>
      </c>
      <c r="E25" s="32" t="s">
        <v>79</v>
      </c>
      <c r="F25" s="32"/>
      <c r="G25" s="32"/>
      <c r="H25" s="32"/>
    </row>
    <row r="26" customFormat="false" ht="29.85" hidden="false" customHeight="true" outlineLevel="0" collapsed="false">
      <c r="A26" s="23" t="s">
        <v>70</v>
      </c>
      <c r="B26" s="23" t="n">
        <f aca="false">IFERROR(DGET('Table '!$A$1:$L1002,'Table '!$L$1,'Table '!$Y$1:$AB$2),"0")</f>
        <v>1.5</v>
      </c>
      <c r="E26" s="33" t="s">
        <v>80</v>
      </c>
      <c r="F26" s="31" t="n">
        <f aca="false">($B$3*$B$6)</f>
        <v>3750</v>
      </c>
      <c r="G26" s="31" t="n">
        <f aca="false">($B$3*$B$6)</f>
        <v>3750</v>
      </c>
      <c r="H26" s="31" t="n">
        <f aca="false">($B$3*$B$6)</f>
        <v>3750</v>
      </c>
    </row>
    <row r="27" customFormat="false" ht="29.85" hidden="false" customHeight="true" outlineLevel="0" collapsed="false">
      <c r="E27" s="33" t="s">
        <v>81</v>
      </c>
      <c r="F27" s="31" t="n">
        <f aca="false">F26-(F26*$B$12)-(F26*$B$23)-(F26*$B$34)</f>
        <v>3375</v>
      </c>
      <c r="G27" s="31" t="n">
        <f aca="false">G26-(G26*$B$12)-(G26*$B$23)-(G26*$B$34)</f>
        <v>3375</v>
      </c>
      <c r="H27" s="31" t="n">
        <f aca="false">H26-(H26*$B$12)-(H26*$B$23)-(H26*$B$34)</f>
        <v>3375</v>
      </c>
    </row>
    <row r="28" customFormat="false" ht="15" hidden="false" customHeight="false" outlineLevel="0" collapsed="false">
      <c r="A28" s="22" t="s">
        <v>36</v>
      </c>
      <c r="B28" s="22"/>
      <c r="E28" s="28" t="s">
        <v>57</v>
      </c>
      <c r="F28" s="28" t="n">
        <f aca="false">F26-F27</f>
        <v>375</v>
      </c>
      <c r="G28" s="28" t="n">
        <f aca="false">G26-G27</f>
        <v>375</v>
      </c>
      <c r="H28" s="28" t="n">
        <f aca="false">H26-H27</f>
        <v>375</v>
      </c>
    </row>
    <row r="29" customFormat="false" ht="15" hidden="false" customHeight="false" outlineLevel="0" collapsed="false">
      <c r="A29" s="23" t="s">
        <v>59</v>
      </c>
      <c r="B29" s="23" t="n">
        <f aca="false">'User Inputs'!B18</f>
        <v>79</v>
      </c>
    </row>
    <row r="30" customFormat="false" ht="15" hidden="false" customHeight="true" outlineLevel="0" collapsed="false">
      <c r="A30" s="23" t="s">
        <v>61</v>
      </c>
      <c r="B30" s="23" t="n">
        <f aca="false">'User Inputs'!B19</f>
        <v>80</v>
      </c>
      <c r="E30" s="12" t="s">
        <v>28</v>
      </c>
      <c r="F30" s="12"/>
      <c r="G30" s="12"/>
      <c r="H30" s="12"/>
    </row>
    <row r="31" customFormat="false" ht="15" hidden="false" customHeight="false" outlineLevel="0" collapsed="false">
      <c r="A31" s="23" t="s">
        <v>40</v>
      </c>
      <c r="B31" s="23" t="n">
        <f aca="false">'User Inputs'!B20</f>
        <v>2</v>
      </c>
      <c r="E31" s="6" t="s">
        <v>30</v>
      </c>
      <c r="F31" s="8" t="n">
        <f aca="false">'Table '!B95</f>
        <v>12000</v>
      </c>
      <c r="G31" s="6" t="n">
        <v>0</v>
      </c>
      <c r="H31" s="6" t="n">
        <v>0</v>
      </c>
    </row>
    <row r="32" customFormat="false" ht="15" hidden="false" customHeight="false" outlineLevel="0" collapsed="false">
      <c r="A32" s="23" t="s">
        <v>63</v>
      </c>
      <c r="B32" s="23" t="n">
        <f aca="false">IFERROR(DGET('Table '!$A$1:$G1013,'Table '!$G$1,'Table '!$AD$1:$AG$2),"0")</f>
        <v>0.001</v>
      </c>
      <c r="E32" s="6" t="s">
        <v>32</v>
      </c>
      <c r="F32" s="6" t="n">
        <f aca="false">$B$3*$B$15</f>
        <v>3000</v>
      </c>
      <c r="G32" s="6" t="n">
        <f aca="false">$B$3*$B$15</f>
        <v>3000</v>
      </c>
      <c r="H32" s="6" t="n">
        <f aca="false">$B$3*$B$15</f>
        <v>3000</v>
      </c>
    </row>
    <row r="33" customFormat="false" ht="15" hidden="false" customHeight="false" outlineLevel="0" collapsed="false">
      <c r="A33" s="23" t="s">
        <v>64</v>
      </c>
      <c r="B33" s="23" t="n">
        <f aca="false">IFERROR(DGET('Table '!$A$1:$H1013,'Table '!$H$1,'Table '!$AD$1:$AG$2),"0")</f>
        <v>0.12</v>
      </c>
      <c r="E33" s="6" t="s">
        <v>34</v>
      </c>
      <c r="F33" s="6" t="n">
        <f aca="false">$B$3*$B$26</f>
        <v>1125</v>
      </c>
      <c r="G33" s="6" t="n">
        <f aca="false">$B$3*$B$26</f>
        <v>1125</v>
      </c>
      <c r="H33" s="6" t="n">
        <f aca="false">$B$3*$B$26</f>
        <v>1125</v>
      </c>
    </row>
    <row r="34" customFormat="false" ht="15" hidden="false" customHeight="false" outlineLevel="0" collapsed="false">
      <c r="A34" s="23" t="s">
        <v>66</v>
      </c>
      <c r="B34" s="23" t="n">
        <f aca="false">IFERROR(DGET('Table '!$A$1:$J1013,'Table '!$I$1,'Table '!$AD$1:$AG$2),"0")</f>
        <v>0.05</v>
      </c>
      <c r="E34" s="6" t="s">
        <v>36</v>
      </c>
      <c r="F34" s="6" t="n">
        <f aca="false">$B$3*$B$37</f>
        <v>1125</v>
      </c>
      <c r="G34" s="6" t="n">
        <f aca="false">$B$3*$B$37</f>
        <v>1125</v>
      </c>
      <c r="H34" s="6" t="n">
        <f aca="false">$B$3*$B$37</f>
        <v>1125</v>
      </c>
    </row>
    <row r="35" customFormat="false" ht="15" hidden="false" customHeight="false" outlineLevel="0" collapsed="false">
      <c r="A35" s="23" t="s">
        <v>68</v>
      </c>
      <c r="B35" s="23" t="n">
        <f aca="false">IFERROR(DGET('Table '!$A$1:$K1013,'Table '!$J$1,'Table '!$AD$1:$AG$2),"0")</f>
        <v>0.03</v>
      </c>
      <c r="E35" s="14" t="s">
        <v>38</v>
      </c>
      <c r="F35" s="28" t="n">
        <f aca="false">SUM(F31:F34)</f>
        <v>17250</v>
      </c>
      <c r="G35" s="14" t="n">
        <f aca="false">SUM(G31:G34)</f>
        <v>5250</v>
      </c>
      <c r="H35" s="14" t="n">
        <f aca="false">SUM(H31:H34)</f>
        <v>5250</v>
      </c>
    </row>
    <row r="36" customFormat="false" ht="15" hidden="false" customHeight="false" outlineLevel="0" collapsed="false">
      <c r="A36" s="23" t="s">
        <v>69</v>
      </c>
      <c r="B36" s="23" t="n">
        <f aca="false">IFERROR(DGET('Table '!$A$1:$K1013,'Table '!$K$1,'Table '!$AD$1:$AG$2),"0")</f>
        <v>0.01</v>
      </c>
    </row>
    <row r="37" customFormat="false" ht="15" hidden="false" customHeight="false" outlineLevel="0" collapsed="false">
      <c r="A37" s="23" t="s">
        <v>70</v>
      </c>
      <c r="B37" s="23" t="n">
        <f aca="false">IFERROR(DGET('Table '!$A$1:$L1013,'Table '!$L$1,'Table '!$AD$1:$AG$2),"0")</f>
        <v>1.5</v>
      </c>
      <c r="E37" s="6" t="s">
        <v>41</v>
      </c>
      <c r="F37" s="8" t="n">
        <f aca="false">F18-F3-F26-F7-F11</f>
        <v>121185</v>
      </c>
      <c r="G37" s="8" t="n">
        <f aca="false">G18-G3-G26-G7-G11</f>
        <v>121185</v>
      </c>
      <c r="H37" s="8" t="n">
        <f aca="false">H18-H3-H26-H7-H11</f>
        <v>121185</v>
      </c>
    </row>
    <row r="38" customFormat="false" ht="15" hidden="false" customHeight="false" outlineLevel="0" collapsed="false">
      <c r="E38" s="6" t="s">
        <v>82</v>
      </c>
      <c r="F38" s="8" t="n">
        <f aca="false">F23-F4-F8-F12-F27-F35</f>
        <v>129654.3</v>
      </c>
      <c r="G38" s="8" t="n">
        <f aca="false">G23-G4-G8-G12-G27-G35</f>
        <v>142643.25</v>
      </c>
      <c r="H38" s="8" t="n">
        <f aca="false">H23-H4-H8-H12-H27-H35</f>
        <v>143649.75</v>
      </c>
    </row>
    <row r="39" customFormat="false" ht="15" hidden="false" customHeight="false" outlineLevel="0" collapsed="false">
      <c r="E39" s="6" t="s">
        <v>44</v>
      </c>
      <c r="F39" s="8" t="n">
        <f aca="false">F38-F37</f>
        <v>8469.29999999999</v>
      </c>
      <c r="G39" s="8" t="n">
        <f aca="false">G38-G37</f>
        <v>21458.25</v>
      </c>
      <c r="H39" s="8" t="n">
        <f aca="false">H38-H37</f>
        <v>22464.75</v>
      </c>
    </row>
  </sheetData>
  <mergeCells count="7">
    <mergeCell ref="E1:H1"/>
    <mergeCell ref="A2:B2"/>
    <mergeCell ref="E16:H16"/>
    <mergeCell ref="A17:B17"/>
    <mergeCell ref="E25:H25"/>
    <mergeCell ref="A28:B28"/>
    <mergeCell ref="E30:H3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59.29"/>
    <col collapsed="false" customWidth="true" hidden="false" outlineLevel="0" max="5" min="4" style="0" width="27.43"/>
  </cols>
  <sheetData>
    <row r="1" customFormat="false" ht="15" hidden="false" customHeight="false" outlineLevel="0" collapsed="false">
      <c r="A1" s="6" t="s">
        <v>83</v>
      </c>
      <c r="E1" s="26" t="s">
        <v>50</v>
      </c>
      <c r="F1" s="26"/>
      <c r="G1" s="26"/>
      <c r="H1" s="26"/>
      <c r="I1" s="7"/>
    </row>
    <row r="2" customFormat="false" ht="15" hidden="false" customHeight="false" outlineLevel="0" collapsed="false">
      <c r="A2" s="22" t="s">
        <v>32</v>
      </c>
      <c r="B2" s="22"/>
      <c r="F2" s="6" t="s">
        <v>51</v>
      </c>
      <c r="G2" s="6" t="s">
        <v>52</v>
      </c>
      <c r="H2" s="6" t="s">
        <v>53</v>
      </c>
    </row>
    <row r="3" customFormat="false" ht="15" hidden="false" customHeight="false" outlineLevel="0" collapsed="false">
      <c r="A3" s="23" t="s">
        <v>15</v>
      </c>
      <c r="B3" s="23" t="n">
        <f aca="false">'User Inputs'!B28</f>
        <v>0</v>
      </c>
      <c r="D3" s="7"/>
      <c r="E3" s="27" t="s">
        <v>84</v>
      </c>
      <c r="F3" s="8" t="n">
        <f aca="false">($B$3*$B$7*$B$8*$B$9*$B$10)</f>
        <v>0</v>
      </c>
      <c r="G3" s="8" t="n">
        <f aca="false">($B$3*$B$7*$B$8*$B$9*$B$10)</f>
        <v>0</v>
      </c>
      <c r="H3" s="8" t="n">
        <f aca="false">($B$3*$B$7*$B$8*$B$9*$B$10)</f>
        <v>0</v>
      </c>
    </row>
    <row r="4" customFormat="false" ht="15" hidden="false" customHeight="false" outlineLevel="0" collapsed="false">
      <c r="A4" s="23" t="s">
        <v>16</v>
      </c>
      <c r="B4" s="23" t="n">
        <f aca="false">'User Inputs'!B29</f>
        <v>0</v>
      </c>
      <c r="E4" s="27" t="s">
        <v>85</v>
      </c>
      <c r="F4" s="8" t="n">
        <f aca="false">$F$3*(1-$B$11-($B$14*1))</f>
        <v>0</v>
      </c>
      <c r="G4" s="8" t="n">
        <f aca="false">$F$3*(1-$B$11-($B$14*2))</f>
        <v>0</v>
      </c>
      <c r="H4" s="8" t="n">
        <f aca="false">$F$3*(1-$B$11-($B$14*3))</f>
        <v>0</v>
      </c>
    </row>
    <row r="5" customFormat="false" ht="15" hidden="false" customHeight="false" outlineLevel="0" collapsed="false">
      <c r="A5" s="23" t="s">
        <v>56</v>
      </c>
      <c r="B5" s="23" t="n">
        <f aca="false">'User Inputs'!B30</f>
        <v>0</v>
      </c>
      <c r="E5" s="28" t="s">
        <v>57</v>
      </c>
      <c r="F5" s="28" t="n">
        <f aca="false">F3-F4</f>
        <v>0</v>
      </c>
      <c r="G5" s="28" t="n">
        <f aca="false">G3-G4</f>
        <v>0</v>
      </c>
      <c r="H5" s="28" t="n">
        <f aca="false">H3-H4</f>
        <v>0</v>
      </c>
    </row>
    <row r="6" customFormat="false" ht="15" hidden="false" customHeight="false" outlineLevel="0" collapsed="false">
      <c r="A6" s="23" t="s">
        <v>58</v>
      </c>
      <c r="B6" s="23" t="n">
        <f aca="false">'User Inputs'!B31</f>
        <v>0</v>
      </c>
      <c r="E6" s="8"/>
      <c r="F6" s="8"/>
      <c r="G6" s="8"/>
      <c r="H6" s="8"/>
    </row>
    <row r="7" customFormat="false" ht="15" hidden="false" customHeight="false" outlineLevel="0" collapsed="false">
      <c r="A7" s="23" t="s">
        <v>59</v>
      </c>
      <c r="B7" s="23" t="n">
        <f aca="false">ifs('User Inputs'!$B$27="Yes",1,'User Inputs'!$B$27="No",0)*'User Inputs'!B32</f>
        <v>0</v>
      </c>
      <c r="E7" s="8" t="s">
        <v>86</v>
      </c>
      <c r="F7" s="8" t="n">
        <f aca="false">ifs('User Inputs'!$B$13="No",0,'User Inputs'!$B$13="Yes",($B$3*$B$18*$B$19*$B$20*$B$21))</f>
        <v>0</v>
      </c>
      <c r="G7" s="8" t="n">
        <f aca="false">ifs('User Inputs'!$B$13="No",0,'User Inputs'!$B$13="Yes",($B$3*$B$18*$B$19*$B$20*$B$21))</f>
        <v>0</v>
      </c>
      <c r="H7" s="8" t="n">
        <f aca="false">ifs('User Inputs'!$B$13="No",0,'User Inputs'!$B$13="Yes",($B$3*$B$18*$B$19*$B$20*$B$21))</f>
        <v>0</v>
      </c>
    </row>
    <row r="8" customFormat="false" ht="15" hidden="false" customHeight="false" outlineLevel="0" collapsed="false">
      <c r="A8" s="23" t="s">
        <v>61</v>
      </c>
      <c r="B8" s="23" t="n">
        <f aca="false">'User Inputs'!B33</f>
        <v>0</v>
      </c>
      <c r="E8" s="8" t="s">
        <v>87</v>
      </c>
      <c r="F8" s="8" t="n">
        <f aca="false">F7*(1-$B$33-($B$25*2))</f>
        <v>0</v>
      </c>
      <c r="G8" s="8" t="n">
        <f aca="false">G7*(1-$B$33-($B$25*1))</f>
        <v>0</v>
      </c>
      <c r="H8" s="8" t="n">
        <f aca="false">H7*(1-$B$33-($B$25*3))</f>
        <v>0</v>
      </c>
    </row>
    <row r="9" customFormat="false" ht="15" hidden="false" customHeight="false" outlineLevel="0" collapsed="false">
      <c r="A9" s="23" t="s">
        <v>40</v>
      </c>
      <c r="B9" s="23" t="n">
        <f aca="false">ifs('User Inputs'!$B$27="Yes",1,'User Inputs'!$B$27="No",0)*'User Inputs'!B34</f>
        <v>0</v>
      </c>
      <c r="E9" s="28" t="s">
        <v>57</v>
      </c>
      <c r="F9" s="28" t="n">
        <f aca="false">F7-F8</f>
        <v>0</v>
      </c>
      <c r="G9" s="28" t="n">
        <f aca="false">G7-G8</f>
        <v>0</v>
      </c>
      <c r="H9" s="28" t="n">
        <f aca="false">H7-H8</f>
        <v>0</v>
      </c>
    </row>
    <row r="10" customFormat="false" ht="15" hidden="false" customHeight="false" outlineLevel="0" collapsed="false">
      <c r="A10" s="23" t="s">
        <v>63</v>
      </c>
      <c r="B10" s="23" t="n">
        <f aca="false">(DGET('Table '!$A$1:$G991,'Table '!$G$1,'Table '!$T$6:$X$7))</f>
        <v>1</v>
      </c>
      <c r="E10" s="8"/>
      <c r="F10" s="8"/>
      <c r="G10" s="8"/>
      <c r="H10" s="8"/>
    </row>
    <row r="11" customFormat="false" ht="15" hidden="false" customHeight="false" outlineLevel="0" collapsed="false">
      <c r="A11" s="23" t="s">
        <v>64</v>
      </c>
      <c r="B11" s="23" t="n">
        <f aca="false">IFERROR(DGET('Table '!$A$1:$H991,'Table '!$H$1,'Table '!$T$6:$X$7),"Spreader not compatible with this operation")</f>
        <v>0.07</v>
      </c>
      <c r="E11" s="8" t="s">
        <v>88</v>
      </c>
      <c r="F11" s="8" t="n">
        <f aca="false">ifs('User Inputs'!$B$13="No",0,'User Inputs'!$B$13="Yes",($B$3*$B$29*$B$30*$B$31*$B$32))</f>
        <v>0</v>
      </c>
      <c r="G11" s="8" t="n">
        <f aca="false">ifs('User Inputs'!$B$13="No",0,'User Inputs'!$B$13="Yes",($B$3*$B$29*$B$30*$B$31*$B$32))</f>
        <v>0</v>
      </c>
      <c r="H11" s="8" t="n">
        <f aca="false">ifs('User Inputs'!$B$13="No",0,'User Inputs'!$B$13="Yes",($B$3*$B$29*$B$30*$B$31*$B$32))</f>
        <v>0</v>
      </c>
    </row>
    <row r="12" customFormat="false" ht="15" hidden="false" customHeight="false" outlineLevel="0" collapsed="false">
      <c r="A12" s="23" t="s">
        <v>66</v>
      </c>
      <c r="B12" s="23" t="n">
        <f aca="false">ifs('User Inputs'!$B$27="Yes",1,'User Inputs'!$B$27="No",0)*DGET('Table '!$A$1:$J991,'Table '!$I$1,'Table '!$T$6:$X$7)</f>
        <v>0</v>
      </c>
      <c r="E12" s="8" t="s">
        <v>89</v>
      </c>
      <c r="F12" s="8" t="n">
        <f aca="false">F11*(1-$B$33-($B$36*1))</f>
        <v>0</v>
      </c>
      <c r="G12" s="8" t="n">
        <f aca="false">G11*(1-$B$33-($B$36*2))</f>
        <v>0</v>
      </c>
      <c r="H12" s="8" t="n">
        <f aca="false">H11*(1-$B$33-($B$36*3))</f>
        <v>0</v>
      </c>
    </row>
    <row r="13" customFormat="false" ht="15" hidden="false" customHeight="false" outlineLevel="0" collapsed="false">
      <c r="A13" s="23" t="s">
        <v>68</v>
      </c>
      <c r="B13" s="23" t="n">
        <f aca="false">ifs('User Inputs'!$B$27="Yes",1,'User Inputs'!$B$27="No",0)*DGET('Table '!$A$1:$K991,'Table '!$K$1,'Table '!$T$6:$X$7)</f>
        <v>0.01</v>
      </c>
      <c r="E13" s="28" t="s">
        <v>57</v>
      </c>
      <c r="F13" s="28" t="n">
        <f aca="false">F11-F12</f>
        <v>0</v>
      </c>
      <c r="G13" s="28" t="n">
        <f aca="false">G11-G12</f>
        <v>0</v>
      </c>
      <c r="H13" s="28" t="n">
        <f aca="false">H11-H12</f>
        <v>0</v>
      </c>
    </row>
    <row r="14" customFormat="false" ht="15" hidden="false" customHeight="false" outlineLevel="0" collapsed="false">
      <c r="A14" s="23" t="s">
        <v>69</v>
      </c>
      <c r="B14" s="23" t="n">
        <f aca="false">ifs('User Inputs'!$B$27="Yes",1,'User Inputs'!$B$27="No",0)*DGET('Table '!$A$1:$K991,'Table '!$K$1,'Table '!$T$6:$X$7)</f>
        <v>0.01</v>
      </c>
      <c r="E14" s="8"/>
      <c r="F14" s="8"/>
      <c r="G14" s="8"/>
      <c r="H14" s="8"/>
    </row>
    <row r="15" customFormat="false" ht="15" hidden="false" customHeight="false" outlineLevel="0" collapsed="false">
      <c r="A15" s="23" t="s">
        <v>70</v>
      </c>
      <c r="B15" s="23" t="n">
        <f aca="false">ifs('User Inputs'!$B$27="Yes",1,'User Inputs'!$B$27="No",0)*DGET('Table '!$A$1:$L991,'Table '!$L$1,'Table '!$T$6:$X$7)</f>
        <v>4</v>
      </c>
      <c r="E15" s="8"/>
      <c r="F15" s="8"/>
      <c r="G15" s="8"/>
      <c r="H15" s="8"/>
    </row>
    <row r="16" customFormat="false" ht="15" hidden="false" customHeight="false" outlineLevel="0" collapsed="false">
      <c r="E16" s="29" t="s">
        <v>71</v>
      </c>
      <c r="F16" s="29"/>
      <c r="G16" s="29"/>
      <c r="H16" s="29"/>
    </row>
    <row r="17" customFormat="false" ht="15" hidden="false" customHeight="false" outlineLevel="0" collapsed="false">
      <c r="A17" s="22" t="s">
        <v>34</v>
      </c>
      <c r="B17" s="22"/>
      <c r="E17" s="8"/>
      <c r="F17" s="8" t="s">
        <v>51</v>
      </c>
      <c r="G17" s="8" t="s">
        <v>52</v>
      </c>
      <c r="H17" s="8" t="s">
        <v>53</v>
      </c>
    </row>
    <row r="18" customFormat="false" ht="15" hidden="false" customHeight="false" outlineLevel="0" collapsed="false">
      <c r="A18" s="23" t="s">
        <v>72</v>
      </c>
      <c r="B18" s="23" t="n">
        <f aca="false">'User Inputs'!B36</f>
        <v>0</v>
      </c>
      <c r="E18" s="27" t="s">
        <v>73</v>
      </c>
      <c r="F18" s="8" t="n">
        <f aca="false">($B$3*$B$4*$B$5)</f>
        <v>0</v>
      </c>
      <c r="G18" s="8" t="n">
        <f aca="false">($B$3*$B$4*$B$5)</f>
        <v>0</v>
      </c>
      <c r="H18" s="8" t="n">
        <f aca="false">($B$3*$B$4*$B$5)</f>
        <v>0</v>
      </c>
    </row>
    <row r="19" customFormat="false" ht="15" hidden="false" customHeight="false" outlineLevel="0" collapsed="false">
      <c r="A19" s="23" t="s">
        <v>61</v>
      </c>
      <c r="B19" s="23" t="n">
        <f aca="false">'User Inputs'!B37</f>
        <v>0</v>
      </c>
      <c r="E19" s="27" t="s">
        <v>90</v>
      </c>
      <c r="F19" s="8" t="n">
        <f aca="false">F18*$B$13</f>
        <v>0</v>
      </c>
      <c r="G19" s="8" t="n">
        <f aca="false">G18*$B$13</f>
        <v>0</v>
      </c>
      <c r="H19" s="8" t="n">
        <f aca="false">H18*$B$13</f>
        <v>0</v>
      </c>
    </row>
    <row r="20" customFormat="false" ht="15" hidden="false" customHeight="false" outlineLevel="0" collapsed="false">
      <c r="A20" s="23" t="s">
        <v>40</v>
      </c>
      <c r="B20" s="23" t="n">
        <f aca="false">'User Inputs'!B38</f>
        <v>0</v>
      </c>
      <c r="E20" s="27" t="s">
        <v>91</v>
      </c>
      <c r="F20" s="8" t="n">
        <f aca="false">F18*$B$24</f>
        <v>0</v>
      </c>
      <c r="G20" s="8" t="n">
        <f aca="false">G18*$B$24</f>
        <v>0</v>
      </c>
      <c r="H20" s="8" t="n">
        <f aca="false">H18*$B$24</f>
        <v>0</v>
      </c>
      <c r="I20" s="30"/>
    </row>
    <row r="21" customFormat="false" ht="15" hidden="false" customHeight="false" outlineLevel="0" collapsed="false">
      <c r="A21" s="23" t="s">
        <v>63</v>
      </c>
      <c r="B21" s="23" t="n">
        <f aca="false">IFERROR(DGET('Table '!$A$1:$G1002,'Table '!$G$1,'Table '!$Y$6:$AB$7),"0")</f>
        <v>0.001</v>
      </c>
      <c r="E21" s="27" t="s">
        <v>92</v>
      </c>
      <c r="F21" s="8" t="n">
        <f aca="false">F18*$B$35</f>
        <v>0</v>
      </c>
      <c r="G21" s="8" t="n">
        <f aca="false">G18*$B$35</f>
        <v>0</v>
      </c>
      <c r="H21" s="8" t="n">
        <f aca="false">H18*$B$35</f>
        <v>0</v>
      </c>
    </row>
    <row r="22" customFormat="false" ht="15" hidden="false" customHeight="false" outlineLevel="0" collapsed="false">
      <c r="A22" s="23" t="s">
        <v>64</v>
      </c>
      <c r="B22" s="23" t="n">
        <f aca="false">IFERROR(DGET('Table '!$A$1:$H1002,'Table '!$H$1,'Table '!$Y$6:$AB$7),"0")</f>
        <v>0</v>
      </c>
      <c r="E22" s="28" t="s">
        <v>77</v>
      </c>
      <c r="F22" s="28" t="n">
        <f aca="false">SUM(F19:F21)</f>
        <v>0</v>
      </c>
      <c r="G22" s="28" t="n">
        <f aca="false">SUM(G19:G21)</f>
        <v>0</v>
      </c>
      <c r="H22" s="28" t="n">
        <f aca="false">SUM(H19:H21)</f>
        <v>0</v>
      </c>
    </row>
    <row r="23" customFormat="false" ht="15" hidden="false" customHeight="false" outlineLevel="0" collapsed="false">
      <c r="A23" s="23" t="s">
        <v>66</v>
      </c>
      <c r="B23" s="23" t="n">
        <f aca="false">IFERROR(DGET('Table '!$A$1:$J1002,'Table '!$I$1,'Table '!$Y$6:$AB$7),"0")</f>
        <v>0</v>
      </c>
      <c r="E23" s="28" t="s">
        <v>78</v>
      </c>
      <c r="F23" s="28" t="n">
        <f aca="false">F18+F22</f>
        <v>0</v>
      </c>
      <c r="G23" s="28" t="n">
        <f aca="false">G18+G22</f>
        <v>0</v>
      </c>
      <c r="H23" s="28" t="n">
        <f aca="false">H18+H22</f>
        <v>0</v>
      </c>
    </row>
    <row r="24" customFormat="false" ht="15" hidden="false" customHeight="false" outlineLevel="0" collapsed="false">
      <c r="A24" s="23" t="s">
        <v>68</v>
      </c>
      <c r="B24" s="23" t="n">
        <f aca="false">IFERROR(DGET('Table '!$A$1:$K1002,'Table '!$J$1,'Table '!$Y$6:$AB$7),"0")</f>
        <v>0</v>
      </c>
      <c r="E24" s="31"/>
      <c r="F24" s="31"/>
      <c r="G24" s="31"/>
      <c r="H24" s="31"/>
    </row>
    <row r="25" customFormat="false" ht="15" hidden="false" customHeight="true" outlineLevel="0" collapsed="false">
      <c r="A25" s="23" t="s">
        <v>69</v>
      </c>
      <c r="B25" s="23" t="n">
        <f aca="false">IFERROR(DGET('Table '!$A$1:$K1002,'Table '!$K$1,'Table '!$Y$6:$AB$7),"0")</f>
        <v>0.01</v>
      </c>
      <c r="E25" s="32" t="s">
        <v>79</v>
      </c>
      <c r="F25" s="32"/>
      <c r="G25" s="32"/>
      <c r="H25" s="32"/>
    </row>
    <row r="26" customFormat="false" ht="15" hidden="false" customHeight="false" outlineLevel="0" collapsed="false">
      <c r="A26" s="23" t="s">
        <v>70</v>
      </c>
      <c r="B26" s="23" t="n">
        <f aca="false">IFERROR(DGET('Table '!$A$1:$L1002,'Table '!$L$1,'Table '!$Y$6:$AB$7),"0")</f>
        <v>1.5</v>
      </c>
      <c r="E26" s="33" t="s">
        <v>80</v>
      </c>
      <c r="F26" s="31" t="n">
        <f aca="false">($B$3*$B$6)</f>
        <v>0</v>
      </c>
      <c r="G26" s="31" t="n">
        <f aca="false">($B$3*$B$6)</f>
        <v>0</v>
      </c>
      <c r="H26" s="31" t="n">
        <f aca="false">($B$3*$B$6)</f>
        <v>0</v>
      </c>
    </row>
    <row r="27" customFormat="false" ht="15" hidden="false" customHeight="false" outlineLevel="0" collapsed="false">
      <c r="E27" s="33" t="s">
        <v>81</v>
      </c>
      <c r="F27" s="31" t="n">
        <f aca="false">F26-(F26*$B$12)-(F26*$B$23)-(F26*$B$34)</f>
        <v>0</v>
      </c>
      <c r="G27" s="31" t="n">
        <f aca="false">G26-(G26*$B$12)-(G26*$B$23)-(G26*$B$34)</f>
        <v>0</v>
      </c>
      <c r="H27" s="31" t="n">
        <f aca="false">H26-(H26*$B$12)-(H26*$B$23)-(H26*$B$34)</f>
        <v>0</v>
      </c>
    </row>
    <row r="28" customFormat="false" ht="15" hidden="false" customHeight="false" outlineLevel="0" collapsed="false">
      <c r="A28" s="22" t="s">
        <v>36</v>
      </c>
      <c r="B28" s="22"/>
      <c r="E28" s="28" t="s">
        <v>57</v>
      </c>
      <c r="F28" s="28" t="n">
        <f aca="false">F26-F27</f>
        <v>0</v>
      </c>
      <c r="G28" s="28" t="n">
        <f aca="false">G26-G27</f>
        <v>0</v>
      </c>
      <c r="H28" s="28" t="n">
        <f aca="false">H26-H27</f>
        <v>0</v>
      </c>
    </row>
    <row r="29" customFormat="false" ht="15" hidden="false" customHeight="false" outlineLevel="0" collapsed="false">
      <c r="A29" s="23" t="s">
        <v>59</v>
      </c>
      <c r="B29" s="23" t="n">
        <f aca="false">'User Inputs'!B40</f>
        <v>0</v>
      </c>
    </row>
    <row r="30" customFormat="false" ht="15" hidden="false" customHeight="true" outlineLevel="0" collapsed="false">
      <c r="A30" s="23" t="s">
        <v>61</v>
      </c>
      <c r="B30" s="23" t="n">
        <f aca="false">'User Inputs'!B41</f>
        <v>0</v>
      </c>
      <c r="E30" s="12" t="s">
        <v>28</v>
      </c>
      <c r="F30" s="12"/>
      <c r="G30" s="12"/>
      <c r="H30" s="12"/>
    </row>
    <row r="31" customFormat="false" ht="15" hidden="false" customHeight="false" outlineLevel="0" collapsed="false">
      <c r="A31" s="23" t="s">
        <v>40</v>
      </c>
      <c r="B31" s="23" t="n">
        <f aca="false">'User Inputs'!B42</f>
        <v>0</v>
      </c>
      <c r="E31" s="6" t="s">
        <v>30</v>
      </c>
      <c r="F31" s="6" t="n">
        <v>0</v>
      </c>
      <c r="G31" s="6" t="n">
        <v>0</v>
      </c>
      <c r="H31" s="6" t="n">
        <v>0</v>
      </c>
    </row>
    <row r="32" customFormat="false" ht="15" hidden="false" customHeight="false" outlineLevel="0" collapsed="false">
      <c r="A32" s="23" t="s">
        <v>63</v>
      </c>
      <c r="B32" s="23" t="n">
        <f aca="false">IFERROR(DGET('Table '!$A$1:$G1013,'Table '!$G$1,'Table '!$AD$6:$AG$7),"0")</f>
        <v>0.001</v>
      </c>
      <c r="E32" s="6" t="s">
        <v>32</v>
      </c>
      <c r="F32" s="6" t="n">
        <f aca="false">$B$3*$B$15</f>
        <v>0</v>
      </c>
      <c r="G32" s="6" t="n">
        <f aca="false">$B$3*$B$15</f>
        <v>0</v>
      </c>
      <c r="H32" s="6" t="n">
        <f aca="false">$B$3*$B$15</f>
        <v>0</v>
      </c>
    </row>
    <row r="33" customFormat="false" ht="15" hidden="false" customHeight="false" outlineLevel="0" collapsed="false">
      <c r="A33" s="23" t="s">
        <v>64</v>
      </c>
      <c r="B33" s="23" t="n">
        <f aca="false">IFERROR(DGET('Table '!$A$1:$H1013,'Table '!$H$1,'Table '!$AD$6:$AG$7),"0")</f>
        <v>0.07</v>
      </c>
      <c r="E33" s="6" t="s">
        <v>34</v>
      </c>
      <c r="F33" s="6" t="n">
        <f aca="false">$B$3*$B$26</f>
        <v>0</v>
      </c>
      <c r="G33" s="6" t="n">
        <f aca="false">$B$3*$B$26</f>
        <v>0</v>
      </c>
      <c r="H33" s="6" t="n">
        <f aca="false">$B$3*$B$26</f>
        <v>0</v>
      </c>
    </row>
    <row r="34" customFormat="false" ht="15" hidden="false" customHeight="false" outlineLevel="0" collapsed="false">
      <c r="A34" s="23" t="s">
        <v>66</v>
      </c>
      <c r="B34" s="23" t="n">
        <f aca="false">IFERROR(DGET('Table '!$A$1:$J1013,'Table '!$I$1,'Table '!$AD$6:$AG$7),"0")</f>
        <v>0.05</v>
      </c>
      <c r="E34" s="6" t="s">
        <v>36</v>
      </c>
      <c r="F34" s="6" t="n">
        <f aca="false">$B$3*$B$37</f>
        <v>0</v>
      </c>
      <c r="G34" s="6" t="n">
        <f aca="false">$B$3*$B$37</f>
        <v>0</v>
      </c>
      <c r="H34" s="6" t="n">
        <f aca="false">$B$3*$B$37</f>
        <v>0</v>
      </c>
    </row>
    <row r="35" customFormat="false" ht="15" hidden="false" customHeight="false" outlineLevel="0" collapsed="false">
      <c r="A35" s="23" t="s">
        <v>68</v>
      </c>
      <c r="B35" s="23" t="n">
        <f aca="false">IFERROR(DGET('Table '!$A$1:$K1013,'Table '!$J$1,'Table '!$AD$6:$AG$7),"0")</f>
        <v>0.01</v>
      </c>
      <c r="E35" s="14" t="s">
        <v>38</v>
      </c>
      <c r="F35" s="14" t="n">
        <f aca="false">SUM(F31:F33)</f>
        <v>0</v>
      </c>
      <c r="G35" s="14" t="n">
        <f aca="false">SUM(G31:G33)</f>
        <v>0</v>
      </c>
      <c r="H35" s="14" t="n">
        <f aca="false">SUM(H31:H33)</f>
        <v>0</v>
      </c>
    </row>
    <row r="36" customFormat="false" ht="15" hidden="false" customHeight="false" outlineLevel="0" collapsed="false">
      <c r="A36" s="23" t="s">
        <v>69</v>
      </c>
      <c r="B36" s="23" t="n">
        <f aca="false">IFERROR(DGET('Table '!$A$1:$K1013,'Table '!$K$1,'Table '!$AD$6:$AG$7),"0")</f>
        <v>0.01</v>
      </c>
    </row>
    <row r="37" customFormat="false" ht="15" hidden="false" customHeight="false" outlineLevel="0" collapsed="false">
      <c r="A37" s="23" t="s">
        <v>70</v>
      </c>
      <c r="B37" s="23" t="n">
        <f aca="false">IFERROR(DGET('Table '!$A$1:$L1013,'Table '!$L$1,'Table '!$AD$6:$AG$7),"0")</f>
        <v>1.5</v>
      </c>
      <c r="E37" s="6" t="s">
        <v>41</v>
      </c>
      <c r="F37" s="8" t="n">
        <f aca="false">F18-F3-F26-F7-F11</f>
        <v>0</v>
      </c>
      <c r="G37" s="8" t="n">
        <f aca="false">G18-G3-G26-G7-G11</f>
        <v>0</v>
      </c>
      <c r="H37" s="8" t="n">
        <f aca="false">H18-H3-H26-H7-H11</f>
        <v>0</v>
      </c>
    </row>
    <row r="38" customFormat="false" ht="15" hidden="false" customHeight="false" outlineLevel="0" collapsed="false">
      <c r="E38" s="6" t="s">
        <v>82</v>
      </c>
      <c r="F38" s="8" t="n">
        <f aca="false">F23-F4-F8-F12-F27-F35</f>
        <v>0</v>
      </c>
      <c r="G38" s="8" t="n">
        <f aca="false">G23-G4-G8-G12-G27-G35</f>
        <v>0</v>
      </c>
      <c r="H38" s="8" t="n">
        <f aca="false">H23-H4-H8-H12-H27-H35</f>
        <v>0</v>
      </c>
    </row>
    <row r="39" customFormat="false" ht="15" hidden="false" customHeight="false" outlineLevel="0" collapsed="false">
      <c r="E39" s="6" t="s">
        <v>44</v>
      </c>
      <c r="F39" s="8" t="n">
        <f aca="false">F38-F37</f>
        <v>0</v>
      </c>
      <c r="G39" s="8" t="n">
        <f aca="false">G38-G37</f>
        <v>0</v>
      </c>
      <c r="H39" s="8" t="n">
        <f aca="false">H38-H37</f>
        <v>0</v>
      </c>
    </row>
  </sheetData>
  <mergeCells count="7">
    <mergeCell ref="E1:H1"/>
    <mergeCell ref="A2:B2"/>
    <mergeCell ref="E16:H16"/>
    <mergeCell ref="A17:B17"/>
    <mergeCell ref="E25:H25"/>
    <mergeCell ref="A28:B28"/>
    <mergeCell ref="E30:H3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G10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D2" activeCellId="0" sqref="D2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30.29"/>
    <col collapsed="false" customWidth="true" hidden="false" outlineLevel="0" max="3" min="2" style="0" width="20.98"/>
    <col collapsed="false" customWidth="true" hidden="false" outlineLevel="0" max="4" min="4" style="0" width="24"/>
    <col collapsed="false" customWidth="true" hidden="false" outlineLevel="0" max="6" min="6" style="0" width="20.57"/>
  </cols>
  <sheetData>
    <row r="1" customFormat="false" ht="15.75" hidden="false" customHeight="true" outlineLevel="0" collapsed="false">
      <c r="A1" s="3" t="s">
        <v>1</v>
      </c>
      <c r="B1" s="3" t="s">
        <v>93</v>
      </c>
      <c r="C1" s="3" t="s">
        <v>94</v>
      </c>
      <c r="D1" s="3" t="s">
        <v>95</v>
      </c>
      <c r="E1" s="3" t="s">
        <v>96</v>
      </c>
      <c r="F1" s="3" t="s">
        <v>97</v>
      </c>
      <c r="G1" s="3" t="s">
        <v>98</v>
      </c>
      <c r="H1" s="3" t="s">
        <v>99</v>
      </c>
      <c r="I1" s="3" t="s">
        <v>66</v>
      </c>
      <c r="J1" s="3" t="s">
        <v>100</v>
      </c>
      <c r="K1" s="3" t="s">
        <v>69</v>
      </c>
      <c r="L1" s="3" t="s">
        <v>101</v>
      </c>
      <c r="N1" s="34" t="s">
        <v>1</v>
      </c>
      <c r="O1" s="35" t="s">
        <v>93</v>
      </c>
      <c r="P1" s="35" t="s">
        <v>95</v>
      </c>
      <c r="Q1" s="35" t="s">
        <v>94</v>
      </c>
      <c r="R1" s="35"/>
      <c r="T1" s="34" t="s">
        <v>1</v>
      </c>
      <c r="U1" s="35" t="s">
        <v>93</v>
      </c>
      <c r="V1" s="35" t="s">
        <v>95</v>
      </c>
      <c r="W1" s="35" t="s">
        <v>94</v>
      </c>
      <c r="X1" s="35"/>
      <c r="Y1" s="34" t="s">
        <v>1</v>
      </c>
      <c r="Z1" s="35" t="s">
        <v>93</v>
      </c>
      <c r="AA1" s="35" t="s">
        <v>95</v>
      </c>
      <c r="AB1" s="35" t="s">
        <v>94</v>
      </c>
      <c r="AC1" s="34"/>
      <c r="AD1" s="34" t="s">
        <v>1</v>
      </c>
      <c r="AE1" s="35" t="s">
        <v>93</v>
      </c>
      <c r="AF1" s="35" t="s">
        <v>95</v>
      </c>
      <c r="AG1" s="35" t="s">
        <v>94</v>
      </c>
    </row>
    <row r="2" customFormat="false" ht="15.75" hidden="true" customHeight="true" outlineLevel="0" collapsed="false">
      <c r="A2" s="9" t="s">
        <v>102</v>
      </c>
      <c r="B2" s="9" t="s">
        <v>103</v>
      </c>
      <c r="C2" s="6" t="s">
        <v>104</v>
      </c>
      <c r="D2" s="9" t="s">
        <v>105</v>
      </c>
      <c r="E2" s="36" t="s">
        <v>106</v>
      </c>
      <c r="F2" s="36" t="s">
        <v>107</v>
      </c>
      <c r="G2" s="36" t="n">
        <f aca="false">1/1000</f>
        <v>0.001</v>
      </c>
      <c r="H2" s="37" t="n">
        <v>0.086</v>
      </c>
      <c r="I2" s="37" t="n">
        <v>0</v>
      </c>
      <c r="J2" s="37" t="n">
        <v>0.02</v>
      </c>
      <c r="K2" s="36" t="n">
        <v>0.01</v>
      </c>
      <c r="L2" s="36" t="n">
        <v>4</v>
      </c>
      <c r="N2" s="6" t="str">
        <f aca="false">VRA!B1</f>
        <v>Imperial (ac,bu/ac, units/ac lbs of lint etc)</v>
      </c>
      <c r="O2" s="6" t="str">
        <f aca="false">VRA!B3</f>
        <v>N VRA</v>
      </c>
      <c r="P2" s="6" t="str">
        <f aca="false">VRA!B4</f>
        <v>Sprayer</v>
      </c>
      <c r="Q2" s="6" t="str">
        <f aca="false">VRA!B2</f>
        <v>Cotton</v>
      </c>
      <c r="T2" s="6" t="str">
        <f aca="false">'User Inputs'!B2</f>
        <v>Metric (ha,Kg/ha metric tones/ha)</v>
      </c>
      <c r="U2" s="6" t="s">
        <v>103</v>
      </c>
      <c r="V2" s="6" t="str">
        <f aca="false">'User Inputs'!B4</f>
        <v>Sprayer</v>
      </c>
      <c r="W2" s="38" t="str">
        <f aca="false">'User Inputs'!B3</f>
        <v>Cotton</v>
      </c>
      <c r="Y2" s="6" t="str">
        <f aca="false">T2</f>
        <v>Metric (ha,Kg/ha metric tones/ha)</v>
      </c>
      <c r="Z2" s="6" t="e">
        <f aca="false">ifs('User Inputs'!B13="yes","PGR VRA")</f>
        <v>#NAME?</v>
      </c>
      <c r="AA2" s="6" t="str">
        <f aca="false">V2</f>
        <v>Sprayer</v>
      </c>
      <c r="AB2" s="38" t="str">
        <f aca="false">W2</f>
        <v>Cotton</v>
      </c>
      <c r="AC2" s="38"/>
      <c r="AD2" s="6" t="str">
        <f aca="false">Y2</f>
        <v>Metric (ha,Kg/ha metric tones/ha)</v>
      </c>
      <c r="AE2" s="6" t="e">
        <f aca="false">ifs('User Inputs'!B17="yes","HA VRA")</f>
        <v>#NAME?</v>
      </c>
      <c r="AF2" s="6" t="str">
        <f aca="false">AA2</f>
        <v>Sprayer</v>
      </c>
      <c r="AG2" s="38" t="str">
        <f aca="false">AB2</f>
        <v>Cotton</v>
      </c>
    </row>
    <row r="3" customFormat="false" ht="15.75" hidden="true" customHeight="true" outlineLevel="0" collapsed="false">
      <c r="A3" s="23" t="s">
        <v>102</v>
      </c>
      <c r="B3" s="23" t="s">
        <v>103</v>
      </c>
      <c r="C3" s="6" t="s">
        <v>104</v>
      </c>
      <c r="D3" s="23" t="s">
        <v>10</v>
      </c>
      <c r="E3" s="36" t="s">
        <v>106</v>
      </c>
      <c r="F3" s="36" t="s">
        <v>107</v>
      </c>
      <c r="G3" s="37" t="n">
        <v>1</v>
      </c>
      <c r="H3" s="37" t="n">
        <v>0.086</v>
      </c>
      <c r="I3" s="37" t="n">
        <v>0</v>
      </c>
      <c r="J3" s="37" t="n">
        <v>0.02</v>
      </c>
      <c r="K3" s="36" t="n">
        <v>0.01</v>
      </c>
      <c r="L3" s="36" t="n">
        <v>4</v>
      </c>
      <c r="T3" s="6"/>
      <c r="U3" s="6"/>
      <c r="V3" s="6"/>
      <c r="W3" s="6"/>
    </row>
    <row r="4" customFormat="false" ht="15.75" hidden="false" customHeight="true" outlineLevel="0" collapsed="false">
      <c r="A4" s="23" t="s">
        <v>102</v>
      </c>
      <c r="B4" s="23" t="s">
        <v>34</v>
      </c>
      <c r="C4" s="6" t="s">
        <v>104</v>
      </c>
      <c r="D4" s="23" t="s">
        <v>10</v>
      </c>
      <c r="E4" s="37" t="s">
        <v>108</v>
      </c>
      <c r="F4" s="37" t="s">
        <v>109</v>
      </c>
      <c r="G4" s="37" t="n">
        <f aca="false">1/1000</f>
        <v>0.001</v>
      </c>
      <c r="H4" s="37" t="n">
        <v>0.13</v>
      </c>
      <c r="I4" s="37" t="n">
        <v>0.05</v>
      </c>
      <c r="J4" s="37" t="n">
        <v>0.01</v>
      </c>
      <c r="K4" s="36" t="n">
        <v>0.01</v>
      </c>
      <c r="L4" s="37" t="n">
        <v>1.5</v>
      </c>
      <c r="N4" s="34" t="s">
        <v>1</v>
      </c>
      <c r="O4" s="35" t="s">
        <v>93</v>
      </c>
      <c r="P4" s="35" t="s">
        <v>95</v>
      </c>
      <c r="Q4" s="35" t="s">
        <v>94</v>
      </c>
      <c r="T4" s="34" t="s">
        <v>1</v>
      </c>
      <c r="U4" s="35" t="s">
        <v>93</v>
      </c>
      <c r="V4" s="35" t="s">
        <v>95</v>
      </c>
      <c r="W4" s="35" t="s">
        <v>94</v>
      </c>
    </row>
    <row r="5" customFormat="false" ht="15.75" hidden="false" customHeight="true" outlineLevel="0" collapsed="false">
      <c r="A5" s="23" t="s">
        <v>102</v>
      </c>
      <c r="B5" s="23" t="s">
        <v>36</v>
      </c>
      <c r="C5" s="6" t="s">
        <v>104</v>
      </c>
      <c r="D5" s="23" t="s">
        <v>10</v>
      </c>
      <c r="E5" s="37" t="s">
        <v>108</v>
      </c>
      <c r="F5" s="37" t="s">
        <v>109</v>
      </c>
      <c r="G5" s="37" t="n">
        <f aca="false">1/1000</f>
        <v>0.001</v>
      </c>
      <c r="H5" s="37" t="n">
        <v>0.1</v>
      </c>
      <c r="I5" s="37" t="n">
        <v>0.05</v>
      </c>
      <c r="J5" s="37" t="n">
        <v>0.01</v>
      </c>
      <c r="K5" s="36" t="n">
        <v>0.01</v>
      </c>
      <c r="L5" s="37" t="n">
        <v>1.5</v>
      </c>
      <c r="N5" s="6" t="str">
        <f aca="false">VRA!B27</f>
        <v>Imperial (ac,bu/ac, units/ac lbs of lint etc)</v>
      </c>
      <c r="O5" s="6" t="str">
        <f aca="false">VRA!B29</f>
        <v>PGR VRA</v>
      </c>
      <c r="P5" s="6" t="str">
        <f aca="false">VRA!B30</f>
        <v>Sprayer</v>
      </c>
      <c r="Q5" s="6" t="str">
        <f aca="false">VRA!B28</f>
        <v>Soybeans</v>
      </c>
      <c r="T5" s="8" t="n">
        <f aca="false">VRA!H27</f>
        <v>0</v>
      </c>
      <c r="U5" s="6" t="n">
        <f aca="false">VRA!H29</f>
        <v>0</v>
      </c>
      <c r="V5" s="6" t="n">
        <f aca="false">VRA!H30</f>
        <v>0</v>
      </c>
      <c r="W5" s="6" t="n">
        <f aca="false">VRA!H28</f>
        <v>0</v>
      </c>
    </row>
    <row r="6" customFormat="false" ht="15.75" hidden="true" customHeight="true" outlineLevel="0" collapsed="false">
      <c r="A6" s="23" t="s">
        <v>110</v>
      </c>
      <c r="B6" s="23" t="s">
        <v>103</v>
      </c>
      <c r="C6" s="6" t="s">
        <v>104</v>
      </c>
      <c r="D6" s="23" t="s">
        <v>105</v>
      </c>
      <c r="E6" s="37" t="s">
        <v>111</v>
      </c>
      <c r="F6" s="37" t="s">
        <v>112</v>
      </c>
      <c r="G6" s="37" t="n">
        <v>1</v>
      </c>
      <c r="H6" s="37" t="n">
        <v>0.086</v>
      </c>
      <c r="I6" s="37" t="n">
        <v>0</v>
      </c>
      <c r="J6" s="37" t="n">
        <v>0.02</v>
      </c>
      <c r="K6" s="36" t="n">
        <v>0.01</v>
      </c>
      <c r="L6" s="36" t="n">
        <v>1.5</v>
      </c>
      <c r="T6" s="34" t="s">
        <v>1</v>
      </c>
      <c r="U6" s="35" t="s">
        <v>93</v>
      </c>
      <c r="V6" s="35" t="s">
        <v>95</v>
      </c>
      <c r="W6" s="35" t="s">
        <v>94</v>
      </c>
      <c r="X6" s="35"/>
      <c r="Y6" s="34" t="s">
        <v>1</v>
      </c>
      <c r="Z6" s="35" t="s">
        <v>93</v>
      </c>
      <c r="AA6" s="35" t="s">
        <v>95</v>
      </c>
      <c r="AB6" s="35" t="s">
        <v>94</v>
      </c>
      <c r="AC6" s="34"/>
      <c r="AD6" s="34" t="s">
        <v>1</v>
      </c>
      <c r="AE6" s="35" t="s">
        <v>93</v>
      </c>
      <c r="AF6" s="35" t="s">
        <v>95</v>
      </c>
      <c r="AG6" s="35" t="s">
        <v>94</v>
      </c>
    </row>
    <row r="7" customFormat="false" ht="15.75" hidden="true" customHeight="true" outlineLevel="0" collapsed="false">
      <c r="A7" s="23" t="s">
        <v>110</v>
      </c>
      <c r="B7" s="23" t="s">
        <v>103</v>
      </c>
      <c r="C7" s="6" t="s">
        <v>104</v>
      </c>
      <c r="D7" s="23" t="s">
        <v>10</v>
      </c>
      <c r="E7" s="37" t="s">
        <v>111</v>
      </c>
      <c r="F7" s="37" t="s">
        <v>112</v>
      </c>
      <c r="G7" s="37" t="n">
        <v>1</v>
      </c>
      <c r="H7" s="37" t="n">
        <v>0.086</v>
      </c>
      <c r="I7" s="37" t="n">
        <v>0</v>
      </c>
      <c r="J7" s="37" t="n">
        <v>0.02</v>
      </c>
      <c r="K7" s="36" t="n">
        <v>0.01</v>
      </c>
      <c r="L7" s="36" t="n">
        <v>1.5</v>
      </c>
      <c r="N7" s="6"/>
      <c r="O7" s="6"/>
      <c r="P7" s="6"/>
      <c r="Q7" s="6"/>
      <c r="T7" s="6" t="str">
        <f aca="false">'User Inputs'!B24</f>
        <v>Metric (ha,Kg/ha metric tones/ha)</v>
      </c>
      <c r="U7" s="6" t="s">
        <v>103</v>
      </c>
      <c r="V7" s="6" t="str">
        <f aca="false">'User Inputs'!B26</f>
        <v>Sprayer</v>
      </c>
      <c r="W7" s="38" t="str">
        <f aca="false">'User Inputs'!B25</f>
        <v>Soybeans</v>
      </c>
      <c r="Y7" s="6" t="str">
        <f aca="false">T7</f>
        <v>Metric (ha,Kg/ha metric tones/ha)</v>
      </c>
      <c r="Z7" s="6" t="e">
        <f aca="false">ifs('User Inputs'!B35="yes","PGR VRA")</f>
        <v>#NAME?</v>
      </c>
      <c r="AA7" s="6" t="str">
        <f aca="false">V7</f>
        <v>Sprayer</v>
      </c>
      <c r="AB7" s="38" t="str">
        <f aca="false">W7</f>
        <v>Soybeans</v>
      </c>
      <c r="AC7" s="38"/>
      <c r="AD7" s="6" t="str">
        <f aca="false">Y7</f>
        <v>Metric (ha,Kg/ha metric tones/ha)</v>
      </c>
      <c r="AE7" s="6" t="e">
        <f aca="false">ifs('User Inputs'!B39="yes","HA VRA")</f>
        <v>#NAME?</v>
      </c>
      <c r="AF7" s="6" t="str">
        <f aca="false">AA7</f>
        <v>Sprayer</v>
      </c>
      <c r="AG7" s="38" t="str">
        <f aca="false">AB7</f>
        <v>Soybeans</v>
      </c>
    </row>
    <row r="8" customFormat="false" ht="15.75" hidden="false" customHeight="true" outlineLevel="0" collapsed="false">
      <c r="A8" s="23" t="s">
        <v>110</v>
      </c>
      <c r="B8" s="23" t="s">
        <v>34</v>
      </c>
      <c r="C8" s="6" t="s">
        <v>104</v>
      </c>
      <c r="D8" s="23" t="s">
        <v>10</v>
      </c>
      <c r="E8" s="37" t="s">
        <v>113</v>
      </c>
      <c r="F8" s="37" t="s">
        <v>114</v>
      </c>
      <c r="G8" s="37" t="n">
        <f aca="false">1/128</f>
        <v>0.0078125</v>
      </c>
      <c r="H8" s="37" t="n">
        <v>0.13</v>
      </c>
      <c r="I8" s="37" t="n">
        <v>0.05</v>
      </c>
      <c r="J8" s="37" t="n">
        <v>0.01</v>
      </c>
      <c r="K8" s="36" t="n">
        <v>0.01</v>
      </c>
      <c r="L8" s="37" t="n">
        <v>1.5</v>
      </c>
    </row>
    <row r="9" customFormat="false" ht="15.75" hidden="false" customHeight="true" outlineLevel="0" collapsed="false">
      <c r="A9" s="23" t="s">
        <v>110</v>
      </c>
      <c r="B9" s="23" t="s">
        <v>36</v>
      </c>
      <c r="C9" s="6" t="s">
        <v>104</v>
      </c>
      <c r="D9" s="23" t="s">
        <v>10</v>
      </c>
      <c r="E9" s="37" t="s">
        <v>113</v>
      </c>
      <c r="F9" s="37" t="s">
        <v>114</v>
      </c>
      <c r="G9" s="37" t="n">
        <f aca="false">1/128</f>
        <v>0.0078125</v>
      </c>
      <c r="H9" s="37" t="n">
        <v>0.1</v>
      </c>
      <c r="I9" s="37" t="n">
        <v>0.05</v>
      </c>
      <c r="J9" s="37" t="n">
        <v>0.01</v>
      </c>
      <c r="K9" s="36" t="n">
        <v>0.01</v>
      </c>
      <c r="L9" s="37" t="n">
        <v>1.5</v>
      </c>
    </row>
    <row r="10" customFormat="false" ht="15.75" hidden="true" customHeight="true" outlineLevel="0" collapsed="false">
      <c r="A10" s="9" t="s">
        <v>102</v>
      </c>
      <c r="B10" s="9" t="s">
        <v>103</v>
      </c>
      <c r="C10" s="6" t="s">
        <v>5</v>
      </c>
      <c r="D10" s="9" t="s">
        <v>105</v>
      </c>
      <c r="E10" s="36" t="s">
        <v>106</v>
      </c>
      <c r="F10" s="36" t="s">
        <v>107</v>
      </c>
      <c r="G10" s="36" t="n">
        <f aca="false">1/1000</f>
        <v>0.001</v>
      </c>
      <c r="H10" s="37" t="n">
        <v>0.097</v>
      </c>
      <c r="I10" s="37" t="n">
        <v>0</v>
      </c>
      <c r="J10" s="37" t="n">
        <v>0.03</v>
      </c>
      <c r="K10" s="36" t="n">
        <v>0.01</v>
      </c>
      <c r="L10" s="36" t="n">
        <v>4</v>
      </c>
    </row>
    <row r="11" customFormat="false" ht="15.75" hidden="true" customHeight="true" outlineLevel="0" collapsed="false">
      <c r="A11" s="23" t="s">
        <v>102</v>
      </c>
      <c r="B11" s="23" t="s">
        <v>103</v>
      </c>
      <c r="C11" s="6" t="s">
        <v>5</v>
      </c>
      <c r="D11" s="23" t="s">
        <v>10</v>
      </c>
      <c r="E11" s="36" t="s">
        <v>106</v>
      </c>
      <c r="F11" s="36" t="s">
        <v>107</v>
      </c>
      <c r="G11" s="37" t="n">
        <v>1</v>
      </c>
      <c r="H11" s="37" t="n">
        <v>0.082</v>
      </c>
      <c r="I11" s="37" t="n">
        <v>0</v>
      </c>
      <c r="J11" s="37" t="n">
        <v>0.03</v>
      </c>
      <c r="K11" s="36" t="n">
        <v>0.01</v>
      </c>
      <c r="L11" s="36" t="n">
        <v>4</v>
      </c>
    </row>
    <row r="12" customFormat="false" ht="15.75" hidden="false" customHeight="true" outlineLevel="0" collapsed="false">
      <c r="A12" s="23" t="s">
        <v>102</v>
      </c>
      <c r="B12" s="23" t="s">
        <v>34</v>
      </c>
      <c r="C12" s="6" t="s">
        <v>5</v>
      </c>
      <c r="D12" s="23" t="s">
        <v>10</v>
      </c>
      <c r="E12" s="37" t="s">
        <v>108</v>
      </c>
      <c r="F12" s="37" t="s">
        <v>109</v>
      </c>
      <c r="G12" s="37" t="n">
        <f aca="false">1/1000</f>
        <v>0.001</v>
      </c>
      <c r="H12" s="37" t="n">
        <v>0.16</v>
      </c>
      <c r="I12" s="37" t="n">
        <v>0.05</v>
      </c>
      <c r="J12" s="37" t="n">
        <v>0.03</v>
      </c>
      <c r="K12" s="36" t="n">
        <v>0.01</v>
      </c>
      <c r="L12" s="37" t="n">
        <v>1.5</v>
      </c>
    </row>
    <row r="13" customFormat="false" ht="15.75" hidden="false" customHeight="true" outlineLevel="0" collapsed="false">
      <c r="A13" s="23" t="s">
        <v>102</v>
      </c>
      <c r="B13" s="23" t="s">
        <v>36</v>
      </c>
      <c r="C13" s="6" t="s">
        <v>5</v>
      </c>
      <c r="D13" s="23" t="s">
        <v>10</v>
      </c>
      <c r="E13" s="37" t="s">
        <v>108</v>
      </c>
      <c r="F13" s="37" t="s">
        <v>109</v>
      </c>
      <c r="G13" s="37" t="n">
        <f aca="false">1/1000</f>
        <v>0.001</v>
      </c>
      <c r="H13" s="37" t="n">
        <v>0.12</v>
      </c>
      <c r="I13" s="37" t="n">
        <v>0.05</v>
      </c>
      <c r="J13" s="37" t="n">
        <v>0.03</v>
      </c>
      <c r="K13" s="36" t="n">
        <v>0.01</v>
      </c>
      <c r="L13" s="37" t="n">
        <v>1.5</v>
      </c>
    </row>
    <row r="14" customFormat="false" ht="15.75" hidden="true" customHeight="true" outlineLevel="0" collapsed="false">
      <c r="A14" s="23" t="s">
        <v>110</v>
      </c>
      <c r="B14" s="23" t="s">
        <v>103</v>
      </c>
      <c r="C14" s="6" t="s">
        <v>5</v>
      </c>
      <c r="D14" s="23" t="s">
        <v>105</v>
      </c>
      <c r="E14" s="37" t="s">
        <v>111</v>
      </c>
      <c r="F14" s="37" t="s">
        <v>115</v>
      </c>
      <c r="G14" s="37" t="n">
        <v>1</v>
      </c>
      <c r="H14" s="37" t="n">
        <v>0.097</v>
      </c>
      <c r="I14" s="37" t="n">
        <v>0</v>
      </c>
      <c r="J14" s="37" t="n">
        <v>0.03</v>
      </c>
      <c r="K14" s="36" t="n">
        <v>0.01</v>
      </c>
      <c r="L14" s="36" t="n">
        <v>1.5</v>
      </c>
    </row>
    <row r="15" customFormat="false" ht="15.75" hidden="true" customHeight="true" outlineLevel="0" collapsed="false">
      <c r="A15" s="23" t="s">
        <v>110</v>
      </c>
      <c r="B15" s="23" t="s">
        <v>103</v>
      </c>
      <c r="C15" s="6" t="s">
        <v>5</v>
      </c>
      <c r="D15" s="23" t="s">
        <v>10</v>
      </c>
      <c r="E15" s="37" t="s">
        <v>111</v>
      </c>
      <c r="F15" s="37" t="s">
        <v>115</v>
      </c>
      <c r="G15" s="37" t="n">
        <v>1</v>
      </c>
      <c r="H15" s="37" t="n">
        <v>0.082</v>
      </c>
      <c r="I15" s="37" t="n">
        <v>0</v>
      </c>
      <c r="J15" s="37" t="n">
        <v>0.03</v>
      </c>
      <c r="K15" s="36" t="n">
        <v>0.01</v>
      </c>
      <c r="L15" s="36" t="n">
        <v>1.5</v>
      </c>
    </row>
    <row r="16" customFormat="false" ht="15.75" hidden="false" customHeight="true" outlineLevel="0" collapsed="false">
      <c r="A16" s="23" t="s">
        <v>110</v>
      </c>
      <c r="B16" s="23" t="s">
        <v>34</v>
      </c>
      <c r="C16" s="6" t="s">
        <v>5</v>
      </c>
      <c r="D16" s="23" t="s">
        <v>10</v>
      </c>
      <c r="E16" s="37" t="s">
        <v>113</v>
      </c>
      <c r="F16" s="37" t="s">
        <v>114</v>
      </c>
      <c r="G16" s="37" t="n">
        <f aca="false">1/128</f>
        <v>0.0078125</v>
      </c>
      <c r="H16" s="37" t="n">
        <v>0.16</v>
      </c>
      <c r="I16" s="37" t="n">
        <v>0.05</v>
      </c>
      <c r="J16" s="37" t="n">
        <v>0.03</v>
      </c>
      <c r="K16" s="36" t="n">
        <v>0.01</v>
      </c>
      <c r="L16" s="37" t="n">
        <v>1.5</v>
      </c>
    </row>
    <row r="17" customFormat="false" ht="15.75" hidden="false" customHeight="true" outlineLevel="0" collapsed="false">
      <c r="A17" s="23" t="s">
        <v>110</v>
      </c>
      <c r="B17" s="23" t="s">
        <v>36</v>
      </c>
      <c r="C17" s="6" t="s">
        <v>5</v>
      </c>
      <c r="D17" s="23" t="s">
        <v>10</v>
      </c>
      <c r="E17" s="37" t="s">
        <v>113</v>
      </c>
      <c r="F17" s="37" t="s">
        <v>114</v>
      </c>
      <c r="G17" s="37" t="n">
        <f aca="false">1/128</f>
        <v>0.0078125</v>
      </c>
      <c r="H17" s="37" t="n">
        <v>0.12</v>
      </c>
      <c r="I17" s="37" t="n">
        <v>0.05</v>
      </c>
      <c r="J17" s="37" t="n">
        <v>0.03</v>
      </c>
      <c r="K17" s="36" t="n">
        <v>0.01</v>
      </c>
      <c r="L17" s="37" t="n">
        <v>1.5</v>
      </c>
    </row>
    <row r="18" customFormat="false" ht="15.75" hidden="true" customHeight="true" outlineLevel="0" collapsed="false">
      <c r="A18" s="9" t="s">
        <v>102</v>
      </c>
      <c r="B18" s="9" t="s">
        <v>103</v>
      </c>
      <c r="C18" s="6" t="s">
        <v>116</v>
      </c>
      <c r="D18" s="9" t="s">
        <v>105</v>
      </c>
      <c r="E18" s="36" t="s">
        <v>106</v>
      </c>
      <c r="F18" s="36" t="s">
        <v>107</v>
      </c>
      <c r="G18" s="36" t="n">
        <v>1</v>
      </c>
      <c r="H18" s="37" t="n">
        <v>0.084</v>
      </c>
      <c r="I18" s="37" t="n">
        <v>0</v>
      </c>
      <c r="J18" s="37" t="n">
        <v>0.03</v>
      </c>
      <c r="K18" s="36" t="n">
        <v>0.01</v>
      </c>
      <c r="L18" s="36" t="n">
        <v>4</v>
      </c>
    </row>
    <row r="19" customFormat="false" ht="15.75" hidden="true" customHeight="true" outlineLevel="0" collapsed="false">
      <c r="A19" s="23" t="s">
        <v>102</v>
      </c>
      <c r="B19" s="23" t="s">
        <v>103</v>
      </c>
      <c r="C19" s="6" t="s">
        <v>116</v>
      </c>
      <c r="D19" s="23" t="s">
        <v>10</v>
      </c>
      <c r="E19" s="36" t="s">
        <v>106</v>
      </c>
      <c r="F19" s="36" t="s">
        <v>107</v>
      </c>
      <c r="G19" s="36" t="n">
        <v>1</v>
      </c>
      <c r="H19" s="37" t="n">
        <v>0.084</v>
      </c>
      <c r="I19" s="37" t="n">
        <v>0</v>
      </c>
      <c r="J19" s="37" t="n">
        <v>0.03</v>
      </c>
      <c r="K19" s="36" t="n">
        <v>0.01</v>
      </c>
      <c r="L19" s="36" t="n">
        <v>4</v>
      </c>
    </row>
    <row r="20" customFormat="false" ht="15.75" hidden="false" customHeight="true" outlineLevel="0" collapsed="false">
      <c r="A20" s="23" t="s">
        <v>102</v>
      </c>
      <c r="B20" s="23" t="s">
        <v>34</v>
      </c>
      <c r="C20" s="6" t="s">
        <v>116</v>
      </c>
      <c r="D20" s="23" t="s">
        <v>10</v>
      </c>
      <c r="E20" s="37" t="s">
        <v>108</v>
      </c>
      <c r="F20" s="37" t="s">
        <v>109</v>
      </c>
      <c r="G20" s="37" t="n">
        <f aca="false">1/1000</f>
        <v>0.001</v>
      </c>
      <c r="H20" s="37" t="n">
        <v>0.15</v>
      </c>
      <c r="I20" s="37" t="n">
        <v>0.05</v>
      </c>
      <c r="J20" s="37" t="n">
        <v>0.01</v>
      </c>
      <c r="K20" s="36" t="n">
        <v>0.01</v>
      </c>
      <c r="L20" s="37" t="n">
        <v>1.5</v>
      </c>
    </row>
    <row r="21" customFormat="false" ht="15.75" hidden="false" customHeight="true" outlineLevel="0" collapsed="false">
      <c r="A21" s="23" t="s">
        <v>102</v>
      </c>
      <c r="B21" s="23" t="s">
        <v>36</v>
      </c>
      <c r="C21" s="6" t="s">
        <v>116</v>
      </c>
      <c r="D21" s="23" t="s">
        <v>10</v>
      </c>
      <c r="E21" s="37" t="s">
        <v>108</v>
      </c>
      <c r="F21" s="37" t="s">
        <v>109</v>
      </c>
      <c r="G21" s="37" t="n">
        <f aca="false">1/1000</f>
        <v>0.001</v>
      </c>
      <c r="H21" s="37" t="s">
        <v>117</v>
      </c>
      <c r="I21" s="37" t="n">
        <v>0</v>
      </c>
      <c r="J21" s="37" t="n">
        <v>0</v>
      </c>
      <c r="K21" s="36" t="n">
        <v>0.01</v>
      </c>
      <c r="L21" s="37" t="n">
        <v>1.5</v>
      </c>
    </row>
    <row r="22" customFormat="false" ht="15.75" hidden="true" customHeight="true" outlineLevel="0" collapsed="false">
      <c r="A22" s="23" t="s">
        <v>110</v>
      </c>
      <c r="B22" s="23" t="s">
        <v>103</v>
      </c>
      <c r="C22" s="6" t="s">
        <v>116</v>
      </c>
      <c r="D22" s="23" t="s">
        <v>105</v>
      </c>
      <c r="E22" s="37" t="s">
        <v>111</v>
      </c>
      <c r="F22" s="37" t="s">
        <v>115</v>
      </c>
      <c r="G22" s="37" t="n">
        <v>1</v>
      </c>
      <c r="H22" s="37" t="n">
        <v>0.084</v>
      </c>
      <c r="I22" s="37" t="n">
        <v>0</v>
      </c>
      <c r="J22" s="37" t="n">
        <v>0.03</v>
      </c>
      <c r="K22" s="36" t="n">
        <v>0.01</v>
      </c>
      <c r="L22" s="36" t="n">
        <v>1.5</v>
      </c>
    </row>
    <row r="23" customFormat="false" ht="15.75" hidden="true" customHeight="true" outlineLevel="0" collapsed="false">
      <c r="A23" s="23" t="s">
        <v>110</v>
      </c>
      <c r="B23" s="23" t="s">
        <v>103</v>
      </c>
      <c r="C23" s="6" t="s">
        <v>116</v>
      </c>
      <c r="D23" s="23" t="s">
        <v>10</v>
      </c>
      <c r="E23" s="37" t="s">
        <v>111</v>
      </c>
      <c r="F23" s="37" t="s">
        <v>115</v>
      </c>
      <c r="G23" s="37" t="n">
        <v>1</v>
      </c>
      <c r="H23" s="37" t="n">
        <v>0.084</v>
      </c>
      <c r="I23" s="37" t="n">
        <v>0</v>
      </c>
      <c r="J23" s="37" t="n">
        <v>0.03</v>
      </c>
      <c r="K23" s="36" t="n">
        <v>0.01</v>
      </c>
      <c r="L23" s="36" t="n">
        <v>1.5</v>
      </c>
    </row>
    <row r="24" customFormat="false" ht="15.75" hidden="false" customHeight="true" outlineLevel="0" collapsed="false">
      <c r="A24" s="23" t="s">
        <v>110</v>
      </c>
      <c r="B24" s="23" t="s">
        <v>34</v>
      </c>
      <c r="C24" s="6" t="s">
        <v>116</v>
      </c>
      <c r="D24" s="23" t="s">
        <v>10</v>
      </c>
      <c r="E24" s="37" t="s">
        <v>113</v>
      </c>
      <c r="F24" s="37" t="s">
        <v>114</v>
      </c>
      <c r="G24" s="37" t="n">
        <f aca="false">1/128</f>
        <v>0.0078125</v>
      </c>
      <c r="H24" s="37" t="n">
        <v>0.15</v>
      </c>
      <c r="I24" s="37" t="n">
        <v>0.05</v>
      </c>
      <c r="J24" s="37" t="n">
        <v>0.01</v>
      </c>
      <c r="K24" s="36" t="n">
        <v>0.01</v>
      </c>
      <c r="L24" s="37" t="n">
        <v>1.5</v>
      </c>
    </row>
    <row r="25" customFormat="false" ht="15.75" hidden="false" customHeight="true" outlineLevel="0" collapsed="false">
      <c r="A25" s="23" t="s">
        <v>110</v>
      </c>
      <c r="B25" s="23" t="s">
        <v>36</v>
      </c>
      <c r="C25" s="6" t="s">
        <v>116</v>
      </c>
      <c r="D25" s="23" t="s">
        <v>10</v>
      </c>
      <c r="E25" s="37" t="s">
        <v>113</v>
      </c>
      <c r="F25" s="37" t="s">
        <v>114</v>
      </c>
      <c r="G25" s="37" t="n">
        <f aca="false">1/128</f>
        <v>0.0078125</v>
      </c>
      <c r="H25" s="37" t="n">
        <v>0</v>
      </c>
      <c r="I25" s="37" t="n">
        <v>0</v>
      </c>
      <c r="J25" s="37" t="n">
        <v>0</v>
      </c>
      <c r="K25" s="36" t="n">
        <v>0.01</v>
      </c>
      <c r="L25" s="37" t="n">
        <v>1.5</v>
      </c>
    </row>
    <row r="26" customFormat="false" ht="15.75" hidden="true" customHeight="true" outlineLevel="0" collapsed="false">
      <c r="A26" s="9" t="s">
        <v>102</v>
      </c>
      <c r="B26" s="9" t="s">
        <v>103</v>
      </c>
      <c r="C26" s="6" t="s">
        <v>118</v>
      </c>
      <c r="D26" s="9" t="s">
        <v>105</v>
      </c>
      <c r="E26" s="36" t="s">
        <v>106</v>
      </c>
      <c r="F26" s="36" t="s">
        <v>107</v>
      </c>
      <c r="G26" s="36" t="n">
        <v>1</v>
      </c>
      <c r="H26" s="37" t="n">
        <v>0.071</v>
      </c>
      <c r="I26" s="37" t="n">
        <v>0</v>
      </c>
      <c r="J26" s="37" t="n">
        <v>0.02</v>
      </c>
      <c r="K26" s="36" t="n">
        <v>0.01</v>
      </c>
      <c r="L26" s="36" t="n">
        <v>4</v>
      </c>
    </row>
    <row r="27" customFormat="false" ht="15.75" hidden="true" customHeight="true" outlineLevel="0" collapsed="false">
      <c r="A27" s="23" t="s">
        <v>102</v>
      </c>
      <c r="B27" s="23" t="s">
        <v>103</v>
      </c>
      <c r="C27" s="6" t="s">
        <v>118</v>
      </c>
      <c r="D27" s="23" t="s">
        <v>10</v>
      </c>
      <c r="E27" s="36" t="s">
        <v>106</v>
      </c>
      <c r="F27" s="36" t="s">
        <v>107</v>
      </c>
      <c r="G27" s="36" t="n">
        <v>1</v>
      </c>
      <c r="H27" s="37" t="n">
        <v>0.071</v>
      </c>
      <c r="I27" s="37" t="n">
        <v>0</v>
      </c>
      <c r="J27" s="37" t="n">
        <v>0.02</v>
      </c>
      <c r="K27" s="36" t="n">
        <v>0.01</v>
      </c>
      <c r="L27" s="36" t="n">
        <v>4</v>
      </c>
    </row>
    <row r="28" customFormat="false" ht="15.75" hidden="false" customHeight="true" outlineLevel="0" collapsed="false">
      <c r="A28" s="23" t="s">
        <v>102</v>
      </c>
      <c r="B28" s="23" t="s">
        <v>34</v>
      </c>
      <c r="C28" s="6" t="s">
        <v>118</v>
      </c>
      <c r="D28" s="23" t="s">
        <v>10</v>
      </c>
      <c r="E28" s="37" t="s">
        <v>108</v>
      </c>
      <c r="F28" s="37" t="s">
        <v>109</v>
      </c>
      <c r="G28" s="37" t="n">
        <f aca="false">1/1000</f>
        <v>0.001</v>
      </c>
      <c r="H28" s="37" t="n">
        <v>0</v>
      </c>
      <c r="I28" s="37" t="n">
        <v>0</v>
      </c>
      <c r="J28" s="37" t="n">
        <v>0</v>
      </c>
      <c r="K28" s="36" t="n">
        <v>0.01</v>
      </c>
      <c r="L28" s="37" t="n">
        <v>1.5</v>
      </c>
    </row>
    <row r="29" customFormat="false" ht="15.75" hidden="false" customHeight="true" outlineLevel="0" collapsed="false">
      <c r="A29" s="23" t="s">
        <v>102</v>
      </c>
      <c r="B29" s="23" t="s">
        <v>36</v>
      </c>
      <c r="C29" s="6" t="s">
        <v>118</v>
      </c>
      <c r="D29" s="23" t="s">
        <v>10</v>
      </c>
      <c r="E29" s="37" t="s">
        <v>108</v>
      </c>
      <c r="F29" s="37" t="s">
        <v>109</v>
      </c>
      <c r="G29" s="37" t="n">
        <f aca="false">1/1000</f>
        <v>0.001</v>
      </c>
      <c r="H29" s="37" t="n">
        <v>0</v>
      </c>
      <c r="I29" s="37" t="n">
        <v>0</v>
      </c>
      <c r="J29" s="37" t="n">
        <v>0</v>
      </c>
      <c r="K29" s="36" t="n">
        <v>0.01</v>
      </c>
      <c r="L29" s="37" t="n">
        <v>1.5</v>
      </c>
    </row>
    <row r="30" customFormat="false" ht="15.75" hidden="true" customHeight="true" outlineLevel="0" collapsed="false">
      <c r="A30" s="23" t="s">
        <v>110</v>
      </c>
      <c r="B30" s="23" t="s">
        <v>103</v>
      </c>
      <c r="C30" s="6" t="s">
        <v>118</v>
      </c>
      <c r="D30" s="23" t="s">
        <v>105</v>
      </c>
      <c r="E30" s="37" t="s">
        <v>111</v>
      </c>
      <c r="F30" s="37" t="s">
        <v>115</v>
      </c>
      <c r="G30" s="37" t="n">
        <v>1</v>
      </c>
      <c r="H30" s="37" t="n">
        <v>0.071</v>
      </c>
      <c r="I30" s="37" t="n">
        <v>0</v>
      </c>
      <c r="J30" s="37" t="n">
        <v>0.02</v>
      </c>
      <c r="K30" s="36" t="n">
        <v>0.01</v>
      </c>
      <c r="L30" s="36" t="n">
        <v>1.5</v>
      </c>
    </row>
    <row r="31" customFormat="false" ht="15.75" hidden="true" customHeight="true" outlineLevel="0" collapsed="false">
      <c r="A31" s="23" t="s">
        <v>110</v>
      </c>
      <c r="B31" s="23" t="s">
        <v>103</v>
      </c>
      <c r="C31" s="6" t="s">
        <v>118</v>
      </c>
      <c r="D31" s="23" t="s">
        <v>10</v>
      </c>
      <c r="E31" s="37" t="s">
        <v>111</v>
      </c>
      <c r="F31" s="37" t="s">
        <v>115</v>
      </c>
      <c r="G31" s="37" t="n">
        <v>1</v>
      </c>
      <c r="H31" s="37" t="n">
        <v>0.071</v>
      </c>
      <c r="I31" s="37" t="n">
        <v>0</v>
      </c>
      <c r="J31" s="37" t="n">
        <v>0.02</v>
      </c>
      <c r="K31" s="36" t="n">
        <v>0.01</v>
      </c>
      <c r="L31" s="36" t="n">
        <v>1.5</v>
      </c>
    </row>
    <row r="32" customFormat="false" ht="15.75" hidden="false" customHeight="true" outlineLevel="0" collapsed="false">
      <c r="A32" s="23" t="s">
        <v>110</v>
      </c>
      <c r="B32" s="23" t="s">
        <v>34</v>
      </c>
      <c r="C32" s="6" t="s">
        <v>118</v>
      </c>
      <c r="D32" s="23" t="s">
        <v>10</v>
      </c>
      <c r="E32" s="37" t="s">
        <v>113</v>
      </c>
      <c r="F32" s="37" t="s">
        <v>114</v>
      </c>
      <c r="G32" s="37" t="n">
        <f aca="false">1/128</f>
        <v>0.0078125</v>
      </c>
      <c r="H32" s="37" t="n">
        <v>0</v>
      </c>
      <c r="I32" s="37" t="n">
        <v>0</v>
      </c>
      <c r="J32" s="37" t="n">
        <v>0</v>
      </c>
      <c r="K32" s="36" t="n">
        <v>0.01</v>
      </c>
      <c r="L32" s="37" t="n">
        <v>1.5</v>
      </c>
    </row>
    <row r="33" customFormat="false" ht="15.75" hidden="false" customHeight="true" outlineLevel="0" collapsed="false">
      <c r="A33" s="23" t="s">
        <v>110</v>
      </c>
      <c r="B33" s="23" t="s">
        <v>36</v>
      </c>
      <c r="C33" s="6" t="s">
        <v>118</v>
      </c>
      <c r="D33" s="23" t="s">
        <v>10</v>
      </c>
      <c r="E33" s="37" t="s">
        <v>113</v>
      </c>
      <c r="F33" s="37" t="s">
        <v>114</v>
      </c>
      <c r="G33" s="37" t="n">
        <f aca="false">1/128</f>
        <v>0.0078125</v>
      </c>
      <c r="H33" s="37" t="n">
        <v>0</v>
      </c>
      <c r="I33" s="37" t="n">
        <v>0</v>
      </c>
      <c r="J33" s="37" t="n">
        <v>0</v>
      </c>
      <c r="K33" s="36" t="n">
        <v>0.01</v>
      </c>
      <c r="L33" s="37" t="n">
        <v>1.5</v>
      </c>
    </row>
    <row r="34" customFormat="false" ht="15.75" hidden="true" customHeight="true" outlineLevel="0" collapsed="false">
      <c r="A34" s="9" t="s">
        <v>102</v>
      </c>
      <c r="B34" s="9" t="s">
        <v>103</v>
      </c>
      <c r="C34" s="6" t="s">
        <v>45</v>
      </c>
      <c r="D34" s="9" t="s">
        <v>105</v>
      </c>
      <c r="E34" s="36" t="s">
        <v>106</v>
      </c>
      <c r="F34" s="36" t="s">
        <v>107</v>
      </c>
      <c r="G34" s="36" t="n">
        <v>1</v>
      </c>
      <c r="H34" s="37" t="n">
        <v>0.07</v>
      </c>
      <c r="I34" s="37" t="n">
        <v>0</v>
      </c>
      <c r="J34" s="37" t="n">
        <v>0.02</v>
      </c>
      <c r="K34" s="36" t="n">
        <v>0.01</v>
      </c>
      <c r="L34" s="36" t="n">
        <v>4</v>
      </c>
    </row>
    <row r="35" customFormat="false" ht="15.75" hidden="true" customHeight="true" outlineLevel="0" collapsed="false">
      <c r="A35" s="23" t="s">
        <v>102</v>
      </c>
      <c r="B35" s="23" t="s">
        <v>103</v>
      </c>
      <c r="C35" s="6" t="s">
        <v>45</v>
      </c>
      <c r="D35" s="23" t="s">
        <v>10</v>
      </c>
      <c r="E35" s="36" t="s">
        <v>106</v>
      </c>
      <c r="F35" s="36" t="s">
        <v>107</v>
      </c>
      <c r="G35" s="36" t="n">
        <v>1</v>
      </c>
      <c r="H35" s="37" t="n">
        <v>0.07</v>
      </c>
      <c r="I35" s="37" t="n">
        <v>0</v>
      </c>
      <c r="J35" s="37" t="n">
        <v>0.02</v>
      </c>
      <c r="K35" s="36" t="n">
        <v>0.01</v>
      </c>
      <c r="L35" s="36" t="n">
        <v>4</v>
      </c>
    </row>
    <row r="36" customFormat="false" ht="15.75" hidden="false" customHeight="true" outlineLevel="0" collapsed="false">
      <c r="A36" s="23" t="s">
        <v>102</v>
      </c>
      <c r="B36" s="23" t="s">
        <v>34</v>
      </c>
      <c r="C36" s="6" t="s">
        <v>45</v>
      </c>
      <c r="D36" s="23" t="s">
        <v>10</v>
      </c>
      <c r="E36" s="37" t="s">
        <v>108</v>
      </c>
      <c r="F36" s="37" t="s">
        <v>109</v>
      </c>
      <c r="G36" s="37" t="n">
        <f aca="false">1/1000</f>
        <v>0.001</v>
      </c>
      <c r="H36" s="37" t="n">
        <v>0</v>
      </c>
      <c r="I36" s="37" t="n">
        <v>0</v>
      </c>
      <c r="J36" s="37" t="n">
        <v>0</v>
      </c>
      <c r="K36" s="36" t="n">
        <v>0.01</v>
      </c>
      <c r="L36" s="37" t="n">
        <v>1.5</v>
      </c>
    </row>
    <row r="37" customFormat="false" ht="15.75" hidden="false" customHeight="true" outlineLevel="0" collapsed="false">
      <c r="A37" s="23" t="s">
        <v>102</v>
      </c>
      <c r="B37" s="23" t="s">
        <v>36</v>
      </c>
      <c r="C37" s="6" t="s">
        <v>45</v>
      </c>
      <c r="D37" s="23" t="s">
        <v>10</v>
      </c>
      <c r="E37" s="37" t="s">
        <v>108</v>
      </c>
      <c r="F37" s="37" t="s">
        <v>109</v>
      </c>
      <c r="G37" s="37" t="n">
        <f aca="false">1/1000</f>
        <v>0.001</v>
      </c>
      <c r="H37" s="37" t="n">
        <v>0.07</v>
      </c>
      <c r="I37" s="37" t="n">
        <v>0.05</v>
      </c>
      <c r="J37" s="37" t="n">
        <v>0.01</v>
      </c>
      <c r="K37" s="36" t="n">
        <v>0.01</v>
      </c>
      <c r="L37" s="37" t="n">
        <v>1.5</v>
      </c>
    </row>
    <row r="38" customFormat="false" ht="15.75" hidden="true" customHeight="true" outlineLevel="0" collapsed="false">
      <c r="A38" s="23" t="s">
        <v>110</v>
      </c>
      <c r="B38" s="23" t="s">
        <v>103</v>
      </c>
      <c r="C38" s="6" t="s">
        <v>45</v>
      </c>
      <c r="D38" s="23" t="s">
        <v>105</v>
      </c>
      <c r="E38" s="37" t="s">
        <v>111</v>
      </c>
      <c r="F38" s="37" t="s">
        <v>115</v>
      </c>
      <c r="G38" s="37" t="n">
        <v>1</v>
      </c>
      <c r="H38" s="37" t="n">
        <v>0.07</v>
      </c>
      <c r="I38" s="37" t="n">
        <v>0</v>
      </c>
      <c r="J38" s="37" t="n">
        <v>0.02</v>
      </c>
      <c r="K38" s="36" t="n">
        <v>0.01</v>
      </c>
      <c r="L38" s="36" t="n">
        <v>1.5</v>
      </c>
    </row>
    <row r="39" customFormat="false" ht="15.75" hidden="true" customHeight="true" outlineLevel="0" collapsed="false">
      <c r="A39" s="23" t="s">
        <v>110</v>
      </c>
      <c r="B39" s="23" t="s">
        <v>103</v>
      </c>
      <c r="C39" s="6" t="s">
        <v>45</v>
      </c>
      <c r="D39" s="23" t="s">
        <v>10</v>
      </c>
      <c r="E39" s="37" t="s">
        <v>111</v>
      </c>
      <c r="F39" s="37" t="s">
        <v>115</v>
      </c>
      <c r="G39" s="37" t="n">
        <v>1</v>
      </c>
      <c r="H39" s="37" t="n">
        <v>0.07</v>
      </c>
      <c r="I39" s="37" t="n">
        <v>0</v>
      </c>
      <c r="J39" s="37" t="n">
        <v>0.02</v>
      </c>
      <c r="K39" s="36" t="n">
        <v>0.01</v>
      </c>
      <c r="L39" s="36" t="n">
        <v>1.5</v>
      </c>
    </row>
    <row r="40" customFormat="false" ht="15.75" hidden="false" customHeight="true" outlineLevel="0" collapsed="false">
      <c r="A40" s="23" t="s">
        <v>110</v>
      </c>
      <c r="B40" s="23" t="s">
        <v>34</v>
      </c>
      <c r="C40" s="6" t="s">
        <v>45</v>
      </c>
      <c r="D40" s="23" t="s">
        <v>10</v>
      </c>
      <c r="E40" s="37" t="s">
        <v>113</v>
      </c>
      <c r="F40" s="37" t="s">
        <v>114</v>
      </c>
      <c r="G40" s="37" t="n">
        <f aca="false">1/128</f>
        <v>0.0078125</v>
      </c>
      <c r="H40" s="37" t="n">
        <v>0</v>
      </c>
      <c r="I40" s="37" t="n">
        <v>0</v>
      </c>
      <c r="J40" s="37" t="n">
        <v>0</v>
      </c>
      <c r="K40" s="36" t="n">
        <v>0.01</v>
      </c>
      <c r="L40" s="37" t="n">
        <v>1.5</v>
      </c>
    </row>
    <row r="41" customFormat="false" ht="15.75" hidden="false" customHeight="true" outlineLevel="0" collapsed="false">
      <c r="A41" s="23" t="s">
        <v>110</v>
      </c>
      <c r="B41" s="23" t="s">
        <v>36</v>
      </c>
      <c r="C41" s="6" t="s">
        <v>45</v>
      </c>
      <c r="D41" s="23" t="s">
        <v>10</v>
      </c>
      <c r="E41" s="37" t="s">
        <v>113</v>
      </c>
      <c r="F41" s="37" t="s">
        <v>114</v>
      </c>
      <c r="G41" s="37" t="n">
        <f aca="false">1/128</f>
        <v>0.0078125</v>
      </c>
      <c r="H41" s="37" t="n">
        <v>0.07</v>
      </c>
      <c r="I41" s="37" t="n">
        <v>0.05</v>
      </c>
      <c r="J41" s="37" t="n">
        <v>0.01</v>
      </c>
      <c r="K41" s="36" t="n">
        <v>0.01</v>
      </c>
      <c r="L41" s="37" t="n">
        <v>1.5</v>
      </c>
    </row>
    <row r="42" customFormat="false" ht="15.75" hidden="true" customHeight="true" outlineLevel="0" collapsed="false">
      <c r="A42" s="9" t="s">
        <v>102</v>
      </c>
      <c r="B42" s="9" t="s">
        <v>103</v>
      </c>
      <c r="C42" s="6" t="s">
        <v>119</v>
      </c>
      <c r="D42" s="9" t="s">
        <v>105</v>
      </c>
      <c r="E42" s="36" t="s">
        <v>106</v>
      </c>
      <c r="F42" s="36" t="s">
        <v>107</v>
      </c>
      <c r="G42" s="36" t="n">
        <v>1</v>
      </c>
      <c r="H42" s="37" t="n">
        <v>0.069</v>
      </c>
      <c r="I42" s="37" t="n">
        <v>0</v>
      </c>
      <c r="J42" s="37" t="n">
        <v>0.03</v>
      </c>
      <c r="K42" s="36" t="n">
        <v>0.01</v>
      </c>
      <c r="L42" s="36" t="n">
        <v>4</v>
      </c>
    </row>
    <row r="43" customFormat="false" ht="15.75" hidden="true" customHeight="true" outlineLevel="0" collapsed="false">
      <c r="A43" s="23" t="s">
        <v>102</v>
      </c>
      <c r="B43" s="23" t="s">
        <v>103</v>
      </c>
      <c r="C43" s="6" t="s">
        <v>119</v>
      </c>
      <c r="D43" s="23" t="s">
        <v>10</v>
      </c>
      <c r="E43" s="36" t="s">
        <v>106</v>
      </c>
      <c r="F43" s="36" t="s">
        <v>107</v>
      </c>
      <c r="G43" s="36" t="n">
        <v>1</v>
      </c>
      <c r="H43" s="37" t="n">
        <v>0.1</v>
      </c>
      <c r="I43" s="37" t="n">
        <v>0</v>
      </c>
      <c r="J43" s="37" t="n">
        <v>0.03</v>
      </c>
      <c r="K43" s="36" t="n">
        <v>0.01</v>
      </c>
      <c r="L43" s="36" t="n">
        <v>4</v>
      </c>
    </row>
    <row r="44" customFormat="false" ht="15.75" hidden="false" customHeight="true" outlineLevel="0" collapsed="false">
      <c r="A44" s="23" t="s">
        <v>102</v>
      </c>
      <c r="B44" s="23" t="s">
        <v>34</v>
      </c>
      <c r="C44" s="6" t="s">
        <v>119</v>
      </c>
      <c r="D44" s="23" t="s">
        <v>10</v>
      </c>
      <c r="E44" s="37" t="s">
        <v>108</v>
      </c>
      <c r="F44" s="37" t="s">
        <v>109</v>
      </c>
      <c r="G44" s="37" t="n">
        <f aca="false">1/1000</f>
        <v>0.001</v>
      </c>
      <c r="H44" s="37" t="n">
        <v>0.13</v>
      </c>
      <c r="I44" s="37" t="n">
        <v>0.05</v>
      </c>
      <c r="J44" s="37" t="n">
        <v>0.02</v>
      </c>
      <c r="K44" s="36" t="n">
        <v>0.01</v>
      </c>
      <c r="L44" s="37" t="n">
        <v>1.5</v>
      </c>
    </row>
    <row r="45" customFormat="false" ht="15.75" hidden="false" customHeight="true" outlineLevel="0" collapsed="false">
      <c r="A45" s="23" t="s">
        <v>102</v>
      </c>
      <c r="B45" s="23" t="s">
        <v>36</v>
      </c>
      <c r="C45" s="6" t="s">
        <v>119</v>
      </c>
      <c r="D45" s="23" t="s">
        <v>10</v>
      </c>
      <c r="E45" s="37" t="s">
        <v>108</v>
      </c>
      <c r="F45" s="37" t="s">
        <v>109</v>
      </c>
      <c r="G45" s="37" t="n">
        <f aca="false">1/1000</f>
        <v>0.001</v>
      </c>
      <c r="H45" s="37" t="n">
        <v>0.1</v>
      </c>
      <c r="I45" s="37" t="n">
        <v>0.05</v>
      </c>
      <c r="J45" s="37" t="n">
        <v>0.02</v>
      </c>
      <c r="K45" s="36" t="n">
        <v>0.01</v>
      </c>
      <c r="L45" s="37" t="n">
        <v>1.5</v>
      </c>
    </row>
    <row r="46" customFormat="false" ht="15.75" hidden="true" customHeight="true" outlineLevel="0" collapsed="false">
      <c r="A46" s="23" t="s">
        <v>110</v>
      </c>
      <c r="B46" s="23" t="s">
        <v>103</v>
      </c>
      <c r="C46" s="6" t="s">
        <v>119</v>
      </c>
      <c r="D46" s="23" t="s">
        <v>105</v>
      </c>
      <c r="E46" s="37" t="s">
        <v>111</v>
      </c>
      <c r="F46" s="37" t="s">
        <v>115</v>
      </c>
      <c r="G46" s="37" t="n">
        <v>1</v>
      </c>
      <c r="H46" s="37" t="n">
        <v>0.069</v>
      </c>
      <c r="I46" s="37" t="n">
        <v>0</v>
      </c>
      <c r="J46" s="37" t="n">
        <v>0.03</v>
      </c>
      <c r="K46" s="36" t="n">
        <v>0.01</v>
      </c>
      <c r="L46" s="36" t="n">
        <v>1.5</v>
      </c>
    </row>
    <row r="47" customFormat="false" ht="15.75" hidden="true" customHeight="true" outlineLevel="0" collapsed="false">
      <c r="A47" s="23" t="s">
        <v>110</v>
      </c>
      <c r="B47" s="23" t="s">
        <v>103</v>
      </c>
      <c r="C47" s="6" t="s">
        <v>119</v>
      </c>
      <c r="D47" s="23" t="s">
        <v>10</v>
      </c>
      <c r="E47" s="37" t="s">
        <v>111</v>
      </c>
      <c r="F47" s="37" t="s">
        <v>115</v>
      </c>
      <c r="G47" s="37" t="n">
        <v>1</v>
      </c>
      <c r="H47" s="37" t="n">
        <v>0.1</v>
      </c>
      <c r="I47" s="37" t="n">
        <v>0</v>
      </c>
      <c r="J47" s="37" t="n">
        <v>0.03</v>
      </c>
      <c r="K47" s="36" t="n">
        <v>0.01</v>
      </c>
      <c r="L47" s="36" t="n">
        <v>1.5</v>
      </c>
    </row>
    <row r="48" customFormat="false" ht="15.75" hidden="false" customHeight="true" outlineLevel="0" collapsed="false">
      <c r="A48" s="23" t="s">
        <v>110</v>
      </c>
      <c r="B48" s="23" t="s">
        <v>34</v>
      </c>
      <c r="C48" s="6" t="s">
        <v>119</v>
      </c>
      <c r="D48" s="23" t="s">
        <v>10</v>
      </c>
      <c r="E48" s="37" t="s">
        <v>113</v>
      </c>
      <c r="F48" s="37" t="s">
        <v>114</v>
      </c>
      <c r="G48" s="37" t="n">
        <f aca="false">1/128</f>
        <v>0.0078125</v>
      </c>
      <c r="H48" s="37" t="n">
        <v>0.13</v>
      </c>
      <c r="I48" s="37" t="n">
        <v>0.05</v>
      </c>
      <c r="J48" s="37" t="n">
        <v>0.02</v>
      </c>
      <c r="K48" s="36" t="n">
        <v>0.01</v>
      </c>
      <c r="L48" s="37" t="n">
        <v>1.5</v>
      </c>
    </row>
    <row r="49" customFormat="false" ht="15.75" hidden="false" customHeight="true" outlineLevel="0" collapsed="false">
      <c r="A49" s="23" t="s">
        <v>110</v>
      </c>
      <c r="B49" s="23" t="s">
        <v>36</v>
      </c>
      <c r="C49" s="6" t="s">
        <v>119</v>
      </c>
      <c r="D49" s="23" t="s">
        <v>10</v>
      </c>
      <c r="E49" s="37" t="s">
        <v>113</v>
      </c>
      <c r="F49" s="37" t="s">
        <v>114</v>
      </c>
      <c r="G49" s="37" t="n">
        <f aca="false">1/128</f>
        <v>0.0078125</v>
      </c>
      <c r="H49" s="37" t="n">
        <v>0.1</v>
      </c>
      <c r="I49" s="37" t="n">
        <v>0.05</v>
      </c>
      <c r="J49" s="37" t="n">
        <v>0.02</v>
      </c>
      <c r="K49" s="37" t="n">
        <v>0.01</v>
      </c>
      <c r="L49" s="37" t="n">
        <v>1.5</v>
      </c>
    </row>
    <row r="50" customFormat="false" ht="15.75" hidden="true" customHeight="true" outlineLevel="0" collapsed="false">
      <c r="A50" s="9" t="s">
        <v>102</v>
      </c>
      <c r="B50" s="9" t="s">
        <v>103</v>
      </c>
      <c r="C50" s="6" t="s">
        <v>120</v>
      </c>
      <c r="D50" s="9" t="s">
        <v>105</v>
      </c>
      <c r="E50" s="36" t="s">
        <v>106</v>
      </c>
      <c r="F50" s="36" t="s">
        <v>107</v>
      </c>
      <c r="G50" s="36" t="n">
        <v>1</v>
      </c>
      <c r="H50" s="39" t="n">
        <v>0.073</v>
      </c>
      <c r="I50" s="37" t="n">
        <v>0</v>
      </c>
      <c r="J50" s="39" t="n">
        <v>0.02</v>
      </c>
      <c r="K50" s="36" t="n">
        <v>0.01</v>
      </c>
      <c r="L50" s="36" t="n">
        <v>4</v>
      </c>
    </row>
    <row r="51" customFormat="false" ht="15.75" hidden="true" customHeight="true" outlineLevel="0" collapsed="false">
      <c r="A51" s="23" t="s">
        <v>102</v>
      </c>
      <c r="B51" s="23" t="s">
        <v>103</v>
      </c>
      <c r="C51" s="6" t="s">
        <v>120</v>
      </c>
      <c r="D51" s="23" t="s">
        <v>10</v>
      </c>
      <c r="E51" s="36" t="s">
        <v>106</v>
      </c>
      <c r="F51" s="36" t="s">
        <v>107</v>
      </c>
      <c r="G51" s="36" t="n">
        <v>1</v>
      </c>
      <c r="H51" s="36" t="n">
        <v>0.066</v>
      </c>
      <c r="I51" s="36" t="n">
        <v>0</v>
      </c>
      <c r="J51" s="36" t="n">
        <v>0.02</v>
      </c>
      <c r="K51" s="36" t="n">
        <v>0.01</v>
      </c>
      <c r="L51" s="36" t="n">
        <v>4</v>
      </c>
    </row>
    <row r="52" customFormat="false" ht="15.75" hidden="false" customHeight="true" outlineLevel="0" collapsed="false">
      <c r="A52" s="23" t="s">
        <v>102</v>
      </c>
      <c r="B52" s="23" t="s">
        <v>34</v>
      </c>
      <c r="C52" s="6" t="s">
        <v>120</v>
      </c>
      <c r="D52" s="23" t="s">
        <v>10</v>
      </c>
      <c r="E52" s="37" t="s">
        <v>108</v>
      </c>
      <c r="F52" s="37" t="s">
        <v>109</v>
      </c>
      <c r="G52" s="36" t="n">
        <f aca="false">1/1000</f>
        <v>0.001</v>
      </c>
      <c r="H52" s="36" t="n">
        <v>0</v>
      </c>
      <c r="I52" s="36" t="n">
        <v>0</v>
      </c>
      <c r="J52" s="36" t="n">
        <v>0</v>
      </c>
      <c r="K52" s="36" t="n">
        <v>0.01</v>
      </c>
      <c r="L52" s="37" t="n">
        <v>1.5</v>
      </c>
    </row>
    <row r="53" customFormat="false" ht="15.75" hidden="false" customHeight="true" outlineLevel="0" collapsed="false">
      <c r="A53" s="23" t="s">
        <v>102</v>
      </c>
      <c r="B53" s="23" t="s">
        <v>36</v>
      </c>
      <c r="C53" s="6" t="s">
        <v>120</v>
      </c>
      <c r="D53" s="23" t="s">
        <v>10</v>
      </c>
      <c r="E53" s="37" t="s">
        <v>108</v>
      </c>
      <c r="F53" s="37" t="s">
        <v>109</v>
      </c>
      <c r="G53" s="36" t="n">
        <f aca="false">1/1000</f>
        <v>0.001</v>
      </c>
      <c r="H53" s="36" t="n">
        <v>0</v>
      </c>
      <c r="I53" s="36" t="n">
        <v>0</v>
      </c>
      <c r="J53" s="36" t="n">
        <v>0</v>
      </c>
      <c r="K53" s="36" t="n">
        <v>0.01</v>
      </c>
      <c r="L53" s="37" t="n">
        <v>1.5</v>
      </c>
    </row>
    <row r="54" customFormat="false" ht="15.75" hidden="true" customHeight="true" outlineLevel="0" collapsed="false">
      <c r="A54" s="23" t="s">
        <v>110</v>
      </c>
      <c r="B54" s="23" t="s">
        <v>103</v>
      </c>
      <c r="C54" s="6" t="s">
        <v>120</v>
      </c>
      <c r="D54" s="23" t="s">
        <v>105</v>
      </c>
      <c r="E54" s="37" t="s">
        <v>111</v>
      </c>
      <c r="F54" s="37" t="s">
        <v>115</v>
      </c>
      <c r="G54" s="37" t="n">
        <v>1</v>
      </c>
      <c r="H54" s="36" t="n">
        <v>0.073</v>
      </c>
      <c r="I54" s="36" t="n">
        <v>0</v>
      </c>
      <c r="J54" s="36" t="n">
        <v>0.02</v>
      </c>
      <c r="K54" s="39" t="n">
        <v>0.01</v>
      </c>
      <c r="L54" s="36" t="n">
        <v>1.5</v>
      </c>
    </row>
    <row r="55" customFormat="false" ht="15.75" hidden="true" customHeight="true" outlineLevel="0" collapsed="false">
      <c r="A55" s="23" t="s">
        <v>110</v>
      </c>
      <c r="B55" s="23" t="s">
        <v>103</v>
      </c>
      <c r="C55" s="6" t="s">
        <v>120</v>
      </c>
      <c r="D55" s="23" t="s">
        <v>10</v>
      </c>
      <c r="E55" s="37" t="s">
        <v>111</v>
      </c>
      <c r="F55" s="37" t="s">
        <v>115</v>
      </c>
      <c r="G55" s="37" t="n">
        <v>1</v>
      </c>
      <c r="H55" s="36" t="n">
        <v>0.066</v>
      </c>
      <c r="I55" s="36" t="n">
        <v>0</v>
      </c>
      <c r="J55" s="36" t="n">
        <v>0.02</v>
      </c>
      <c r="K55" s="36" t="n">
        <v>0.01</v>
      </c>
      <c r="L55" s="36" t="n">
        <v>1.5</v>
      </c>
    </row>
    <row r="56" customFormat="false" ht="15.75" hidden="false" customHeight="true" outlineLevel="0" collapsed="false">
      <c r="A56" s="23" t="s">
        <v>110</v>
      </c>
      <c r="B56" s="23" t="s">
        <v>34</v>
      </c>
      <c r="C56" s="6" t="s">
        <v>120</v>
      </c>
      <c r="D56" s="23" t="s">
        <v>10</v>
      </c>
      <c r="E56" s="37" t="s">
        <v>113</v>
      </c>
      <c r="F56" s="37" t="s">
        <v>114</v>
      </c>
      <c r="G56" s="37" t="n">
        <f aca="false">1/128</f>
        <v>0.0078125</v>
      </c>
      <c r="H56" s="37" t="n">
        <v>0</v>
      </c>
      <c r="I56" s="37" t="n">
        <v>0</v>
      </c>
      <c r="J56" s="37" t="n">
        <v>0</v>
      </c>
      <c r="K56" s="37" t="n">
        <v>0.01</v>
      </c>
      <c r="L56" s="37" t="n">
        <v>1.5</v>
      </c>
    </row>
    <row r="57" customFormat="false" ht="15.75" hidden="false" customHeight="true" outlineLevel="0" collapsed="false">
      <c r="A57" s="23" t="s">
        <v>110</v>
      </c>
      <c r="B57" s="23" t="s">
        <v>36</v>
      </c>
      <c r="C57" s="6" t="s">
        <v>120</v>
      </c>
      <c r="D57" s="23" t="s">
        <v>10</v>
      </c>
      <c r="E57" s="37" t="s">
        <v>113</v>
      </c>
      <c r="F57" s="37" t="s">
        <v>114</v>
      </c>
      <c r="G57" s="37" t="n">
        <f aca="false">1/128</f>
        <v>0.0078125</v>
      </c>
      <c r="H57" s="37" t="n">
        <v>0</v>
      </c>
      <c r="I57" s="37" t="n">
        <v>0</v>
      </c>
      <c r="J57" s="37" t="n">
        <v>0</v>
      </c>
      <c r="K57" s="37" t="n">
        <v>0.01</v>
      </c>
      <c r="L57" s="37" t="n">
        <v>1.5</v>
      </c>
    </row>
    <row r="58" customFormat="false" ht="15.75" hidden="true" customHeight="true" outlineLevel="0" collapsed="false">
      <c r="A58" s="9" t="s">
        <v>102</v>
      </c>
      <c r="B58" s="9" t="s">
        <v>103</v>
      </c>
      <c r="C58" s="6" t="s">
        <v>121</v>
      </c>
      <c r="D58" s="9" t="s">
        <v>105</v>
      </c>
      <c r="E58" s="36" t="s">
        <v>106</v>
      </c>
      <c r="F58" s="36" t="s">
        <v>107</v>
      </c>
      <c r="G58" s="36" t="n">
        <v>1</v>
      </c>
      <c r="H58" s="36" t="n">
        <v>0.089</v>
      </c>
      <c r="I58" s="36" t="n">
        <v>0</v>
      </c>
      <c r="J58" s="36" t="n">
        <v>0.02</v>
      </c>
      <c r="K58" s="36" t="n">
        <v>0.01</v>
      </c>
      <c r="L58" s="36" t="n">
        <v>4</v>
      </c>
    </row>
    <row r="59" customFormat="false" ht="15.75" hidden="true" customHeight="true" outlineLevel="0" collapsed="false">
      <c r="A59" s="23" t="s">
        <v>102</v>
      </c>
      <c r="B59" s="23" t="s">
        <v>103</v>
      </c>
      <c r="C59" s="6" t="s">
        <v>121</v>
      </c>
      <c r="D59" s="23" t="s">
        <v>10</v>
      </c>
      <c r="E59" s="36" t="s">
        <v>106</v>
      </c>
      <c r="F59" s="36" t="s">
        <v>107</v>
      </c>
      <c r="G59" s="36" t="n">
        <v>1</v>
      </c>
      <c r="H59" s="36" t="n">
        <v>0.07</v>
      </c>
      <c r="I59" s="36" t="n">
        <v>0</v>
      </c>
      <c r="J59" s="36" t="n">
        <v>0.02</v>
      </c>
      <c r="K59" s="36" t="n">
        <v>0.01</v>
      </c>
      <c r="L59" s="36" t="n">
        <v>4</v>
      </c>
    </row>
    <row r="60" customFormat="false" ht="15.75" hidden="false" customHeight="true" outlineLevel="0" collapsed="false">
      <c r="A60" s="23" t="s">
        <v>102</v>
      </c>
      <c r="B60" s="23" t="s">
        <v>34</v>
      </c>
      <c r="C60" s="6" t="s">
        <v>121</v>
      </c>
      <c r="D60" s="23" t="s">
        <v>10</v>
      </c>
      <c r="E60" s="36" t="s">
        <v>108</v>
      </c>
      <c r="F60" s="36" t="s">
        <v>109</v>
      </c>
      <c r="G60" s="36" t="n">
        <f aca="false">1/1000</f>
        <v>0.001</v>
      </c>
      <c r="H60" s="36" t="n">
        <v>0.13</v>
      </c>
      <c r="I60" s="36" t="n">
        <v>0.05</v>
      </c>
      <c r="J60" s="36" t="n">
        <v>0.02</v>
      </c>
      <c r="K60" s="36" t="n">
        <v>0.01</v>
      </c>
      <c r="L60" s="37" t="n">
        <v>1.5</v>
      </c>
    </row>
    <row r="61" customFormat="false" ht="15.75" hidden="false" customHeight="true" outlineLevel="0" collapsed="false">
      <c r="A61" s="23" t="s">
        <v>102</v>
      </c>
      <c r="B61" s="23" t="s">
        <v>36</v>
      </c>
      <c r="C61" s="6" t="s">
        <v>121</v>
      </c>
      <c r="D61" s="23" t="s">
        <v>10</v>
      </c>
      <c r="E61" s="36" t="s">
        <v>108</v>
      </c>
      <c r="F61" s="36" t="s">
        <v>109</v>
      </c>
      <c r="G61" s="36" t="n">
        <f aca="false">1/1000</f>
        <v>0.001</v>
      </c>
      <c r="H61" s="36" t="n">
        <v>0.1</v>
      </c>
      <c r="I61" s="36" t="n">
        <v>0.05</v>
      </c>
      <c r="J61" s="36" t="n">
        <v>0.01</v>
      </c>
      <c r="K61" s="36" t="n">
        <v>0.01</v>
      </c>
      <c r="L61" s="37" t="n">
        <v>1.5</v>
      </c>
    </row>
    <row r="62" customFormat="false" ht="15.75" hidden="true" customHeight="true" outlineLevel="0" collapsed="false">
      <c r="A62" s="23" t="s">
        <v>110</v>
      </c>
      <c r="B62" s="23" t="s">
        <v>103</v>
      </c>
      <c r="C62" s="6" t="s">
        <v>121</v>
      </c>
      <c r="D62" s="23" t="s">
        <v>105</v>
      </c>
      <c r="E62" s="37" t="s">
        <v>111</v>
      </c>
      <c r="F62" s="37" t="s">
        <v>115</v>
      </c>
      <c r="G62" s="37" t="n">
        <v>1</v>
      </c>
      <c r="H62" s="36" t="n">
        <v>0.089</v>
      </c>
      <c r="I62" s="36" t="n">
        <v>0</v>
      </c>
      <c r="J62" s="36" t="n">
        <v>0.02</v>
      </c>
      <c r="K62" s="36" t="n">
        <v>0.01</v>
      </c>
      <c r="L62" s="36" t="n">
        <v>1.5</v>
      </c>
    </row>
    <row r="63" customFormat="false" ht="15.75" hidden="true" customHeight="true" outlineLevel="0" collapsed="false">
      <c r="A63" s="23" t="s">
        <v>110</v>
      </c>
      <c r="B63" s="23" t="s">
        <v>103</v>
      </c>
      <c r="C63" s="6" t="s">
        <v>121</v>
      </c>
      <c r="D63" s="23" t="s">
        <v>10</v>
      </c>
      <c r="E63" s="37" t="s">
        <v>111</v>
      </c>
      <c r="F63" s="37" t="s">
        <v>115</v>
      </c>
      <c r="G63" s="37" t="n">
        <v>1</v>
      </c>
      <c r="H63" s="36" t="n">
        <v>0.07</v>
      </c>
      <c r="I63" s="36" t="n">
        <v>0</v>
      </c>
      <c r="J63" s="36" t="n">
        <v>0.02</v>
      </c>
      <c r="K63" s="36" t="n">
        <v>0.01</v>
      </c>
      <c r="L63" s="36" t="n">
        <v>1.5</v>
      </c>
    </row>
    <row r="64" customFormat="false" ht="15.75" hidden="false" customHeight="true" outlineLevel="0" collapsed="false">
      <c r="A64" s="23" t="s">
        <v>110</v>
      </c>
      <c r="B64" s="23" t="s">
        <v>34</v>
      </c>
      <c r="C64" s="6" t="s">
        <v>121</v>
      </c>
      <c r="D64" s="23" t="s">
        <v>10</v>
      </c>
      <c r="E64" s="36" t="s">
        <v>113</v>
      </c>
      <c r="F64" s="36" t="s">
        <v>114</v>
      </c>
      <c r="G64" s="36" t="n">
        <f aca="false">1/128</f>
        <v>0.0078125</v>
      </c>
      <c r="H64" s="36" t="n">
        <v>0.13</v>
      </c>
      <c r="I64" s="36" t="n">
        <v>0.05</v>
      </c>
      <c r="J64" s="36" t="n">
        <v>0.02</v>
      </c>
      <c r="K64" s="36" t="n">
        <v>0.01</v>
      </c>
      <c r="L64" s="37" t="n">
        <v>1.5</v>
      </c>
    </row>
    <row r="65" customFormat="false" ht="15.75" hidden="false" customHeight="true" outlineLevel="0" collapsed="false">
      <c r="A65" s="23" t="s">
        <v>110</v>
      </c>
      <c r="B65" s="23" t="s">
        <v>36</v>
      </c>
      <c r="C65" s="6" t="s">
        <v>121</v>
      </c>
      <c r="D65" s="23" t="s">
        <v>10</v>
      </c>
      <c r="E65" s="36" t="s">
        <v>113</v>
      </c>
      <c r="F65" s="36" t="s">
        <v>114</v>
      </c>
      <c r="G65" s="36" t="n">
        <f aca="false">1/128</f>
        <v>0.0078125</v>
      </c>
      <c r="H65" s="36" t="n">
        <v>0.1</v>
      </c>
      <c r="I65" s="36" t="n">
        <v>0.05</v>
      </c>
      <c r="J65" s="36" t="n">
        <v>0.01</v>
      </c>
      <c r="K65" s="36" t="n">
        <v>0.01</v>
      </c>
      <c r="L65" s="37" t="n">
        <v>1.5</v>
      </c>
    </row>
    <row r="66" customFormat="false" ht="15.75" hidden="true" customHeight="true" outlineLevel="0" collapsed="false">
      <c r="A66" s="9" t="s">
        <v>102</v>
      </c>
      <c r="B66" s="9" t="s">
        <v>103</v>
      </c>
      <c r="C66" s="6" t="s">
        <v>122</v>
      </c>
      <c r="D66" s="9" t="s">
        <v>105</v>
      </c>
      <c r="E66" s="36" t="s">
        <v>106</v>
      </c>
      <c r="F66" s="36" t="s">
        <v>107</v>
      </c>
      <c r="G66" s="36" t="n">
        <v>1</v>
      </c>
      <c r="H66" s="36" t="n">
        <v>0.054</v>
      </c>
      <c r="I66" s="36" t="n">
        <v>0</v>
      </c>
      <c r="J66" s="36" t="n">
        <v>0.02</v>
      </c>
      <c r="K66" s="36" t="n">
        <v>0.01</v>
      </c>
      <c r="L66" s="36" t="n">
        <v>4</v>
      </c>
    </row>
    <row r="67" customFormat="false" ht="15.75" hidden="true" customHeight="true" outlineLevel="0" collapsed="false">
      <c r="A67" s="23" t="s">
        <v>102</v>
      </c>
      <c r="B67" s="23" t="s">
        <v>103</v>
      </c>
      <c r="C67" s="6" t="s">
        <v>122</v>
      </c>
      <c r="D67" s="23" t="s">
        <v>10</v>
      </c>
      <c r="E67" s="36" t="s">
        <v>106</v>
      </c>
      <c r="F67" s="36" t="s">
        <v>107</v>
      </c>
      <c r="G67" s="36" t="n">
        <v>1</v>
      </c>
      <c r="H67" s="36" t="n">
        <v>0.079</v>
      </c>
      <c r="I67" s="36" t="n">
        <v>0</v>
      </c>
      <c r="J67" s="36" t="n">
        <v>0.02</v>
      </c>
      <c r="K67" s="36" t="n">
        <v>0.01</v>
      </c>
      <c r="L67" s="36" t="n">
        <v>4</v>
      </c>
    </row>
    <row r="68" customFormat="false" ht="15.75" hidden="false" customHeight="true" outlineLevel="0" collapsed="false">
      <c r="A68" s="23" t="s">
        <v>102</v>
      </c>
      <c r="B68" s="23" t="s">
        <v>34</v>
      </c>
      <c r="C68" s="6" t="s">
        <v>122</v>
      </c>
      <c r="D68" s="23" t="s">
        <v>10</v>
      </c>
      <c r="E68" s="36" t="s">
        <v>108</v>
      </c>
      <c r="F68" s="36" t="s">
        <v>109</v>
      </c>
      <c r="G68" s="36" t="n">
        <f aca="false">1/1000</f>
        <v>0.001</v>
      </c>
      <c r="H68" s="36" t="n">
        <v>0.1</v>
      </c>
      <c r="I68" s="36" t="n">
        <v>0.1</v>
      </c>
      <c r="J68" s="36" t="n">
        <v>0.02</v>
      </c>
      <c r="K68" s="36" t="n">
        <v>0.01</v>
      </c>
      <c r="L68" s="37" t="n">
        <v>1.5</v>
      </c>
    </row>
    <row r="69" customFormat="false" ht="15.75" hidden="false" customHeight="true" outlineLevel="0" collapsed="false">
      <c r="A69" s="23" t="s">
        <v>102</v>
      </c>
      <c r="B69" s="23" t="s">
        <v>36</v>
      </c>
      <c r="C69" s="6" t="s">
        <v>122</v>
      </c>
      <c r="D69" s="23" t="s">
        <v>10</v>
      </c>
      <c r="E69" s="36" t="s">
        <v>108</v>
      </c>
      <c r="F69" s="36" t="s">
        <v>109</v>
      </c>
      <c r="G69" s="36" t="n">
        <f aca="false">1/1000</f>
        <v>0.001</v>
      </c>
      <c r="H69" s="36" t="n">
        <v>0.1</v>
      </c>
      <c r="I69" s="36" t="n">
        <v>0.05</v>
      </c>
      <c r="J69" s="36" t="n">
        <v>0.01</v>
      </c>
      <c r="K69" s="36" t="n">
        <v>0.01</v>
      </c>
      <c r="L69" s="37" t="n">
        <v>1.5</v>
      </c>
    </row>
    <row r="70" customFormat="false" ht="15.75" hidden="true" customHeight="true" outlineLevel="0" collapsed="false">
      <c r="A70" s="23" t="s">
        <v>110</v>
      </c>
      <c r="B70" s="23" t="s">
        <v>103</v>
      </c>
      <c r="C70" s="6" t="s">
        <v>122</v>
      </c>
      <c r="D70" s="23" t="s">
        <v>105</v>
      </c>
      <c r="E70" s="37" t="s">
        <v>111</v>
      </c>
      <c r="F70" s="37" t="s">
        <v>115</v>
      </c>
      <c r="G70" s="37" t="n">
        <v>1</v>
      </c>
      <c r="H70" s="36" t="n">
        <v>0.054</v>
      </c>
      <c r="I70" s="36" t="n">
        <v>0</v>
      </c>
      <c r="J70" s="36" t="n">
        <v>0.02</v>
      </c>
      <c r="K70" s="36" t="n">
        <v>0.01</v>
      </c>
      <c r="L70" s="36" t="n">
        <v>1.5</v>
      </c>
    </row>
    <row r="71" customFormat="false" ht="15.75" hidden="true" customHeight="true" outlineLevel="0" collapsed="false">
      <c r="A71" s="23" t="s">
        <v>110</v>
      </c>
      <c r="B71" s="23" t="s">
        <v>103</v>
      </c>
      <c r="C71" s="6" t="s">
        <v>122</v>
      </c>
      <c r="D71" s="23" t="s">
        <v>10</v>
      </c>
      <c r="E71" s="37" t="s">
        <v>111</v>
      </c>
      <c r="F71" s="37" t="s">
        <v>115</v>
      </c>
      <c r="G71" s="37" t="n">
        <v>1</v>
      </c>
      <c r="H71" s="36" t="n">
        <v>0.079</v>
      </c>
      <c r="I71" s="36" t="n">
        <v>0</v>
      </c>
      <c r="J71" s="36" t="n">
        <v>0.02</v>
      </c>
      <c r="K71" s="36" t="n">
        <v>0.01</v>
      </c>
      <c r="L71" s="36" t="n">
        <v>1.5</v>
      </c>
    </row>
    <row r="72" customFormat="false" ht="15.75" hidden="false" customHeight="true" outlineLevel="0" collapsed="false">
      <c r="A72" s="23" t="s">
        <v>110</v>
      </c>
      <c r="B72" s="23" t="s">
        <v>34</v>
      </c>
      <c r="C72" s="6" t="s">
        <v>122</v>
      </c>
      <c r="D72" s="23" t="s">
        <v>10</v>
      </c>
      <c r="E72" s="36" t="s">
        <v>113</v>
      </c>
      <c r="F72" s="36" t="s">
        <v>114</v>
      </c>
      <c r="G72" s="36" t="n">
        <f aca="false">1/128</f>
        <v>0.0078125</v>
      </c>
      <c r="H72" s="36" t="n">
        <v>0.1</v>
      </c>
      <c r="I72" s="36" t="n">
        <v>0.1</v>
      </c>
      <c r="J72" s="36" t="n">
        <v>0.02</v>
      </c>
      <c r="K72" s="36" t="n">
        <v>0.01</v>
      </c>
      <c r="L72" s="37" t="n">
        <v>1.5</v>
      </c>
    </row>
    <row r="73" customFormat="false" ht="15.75" hidden="false" customHeight="true" outlineLevel="0" collapsed="false">
      <c r="A73" s="23" t="s">
        <v>110</v>
      </c>
      <c r="B73" s="23" t="s">
        <v>36</v>
      </c>
      <c r="C73" s="6" t="s">
        <v>122</v>
      </c>
      <c r="D73" s="23" t="s">
        <v>10</v>
      </c>
      <c r="E73" s="36" t="s">
        <v>113</v>
      </c>
      <c r="F73" s="36" t="s">
        <v>114</v>
      </c>
      <c r="G73" s="36" t="n">
        <f aca="false">1/128</f>
        <v>0.0078125</v>
      </c>
      <c r="H73" s="36" t="n">
        <v>0.1</v>
      </c>
      <c r="I73" s="36" t="n">
        <v>0.05</v>
      </c>
      <c r="J73" s="36" t="n">
        <v>0.01</v>
      </c>
      <c r="K73" s="36" t="n">
        <v>0.01</v>
      </c>
      <c r="L73" s="37" t="n">
        <v>1.5</v>
      </c>
    </row>
    <row r="74" customFormat="false" ht="15.75" hidden="true" customHeight="true" outlineLevel="0" collapsed="false">
      <c r="A74" s="9" t="s">
        <v>102</v>
      </c>
      <c r="B74" s="9" t="s">
        <v>103</v>
      </c>
      <c r="C74" s="6" t="s">
        <v>123</v>
      </c>
      <c r="D74" s="9" t="s">
        <v>105</v>
      </c>
      <c r="E74" s="36" t="s">
        <v>106</v>
      </c>
      <c r="F74" s="36" t="s">
        <v>107</v>
      </c>
      <c r="G74" s="36" t="n">
        <v>1</v>
      </c>
      <c r="H74" s="36" t="n">
        <v>0.076</v>
      </c>
      <c r="I74" s="36" t="n">
        <v>0</v>
      </c>
      <c r="J74" s="36" t="n">
        <v>0.02</v>
      </c>
      <c r="K74" s="36" t="n">
        <v>0.01</v>
      </c>
      <c r="L74" s="36" t="n">
        <v>4</v>
      </c>
    </row>
    <row r="75" customFormat="false" ht="15.75" hidden="true" customHeight="true" outlineLevel="0" collapsed="false">
      <c r="A75" s="23" t="s">
        <v>102</v>
      </c>
      <c r="B75" s="23" t="s">
        <v>103</v>
      </c>
      <c r="C75" s="6" t="s">
        <v>123</v>
      </c>
      <c r="D75" s="23" t="s">
        <v>10</v>
      </c>
      <c r="E75" s="36" t="s">
        <v>106</v>
      </c>
      <c r="F75" s="36" t="s">
        <v>107</v>
      </c>
      <c r="G75" s="36" t="n">
        <v>1</v>
      </c>
      <c r="H75" s="36" t="n">
        <v>0.076</v>
      </c>
      <c r="I75" s="36" t="n">
        <v>0</v>
      </c>
      <c r="J75" s="36" t="n">
        <v>0.02</v>
      </c>
      <c r="K75" s="36" t="n">
        <v>0.01</v>
      </c>
      <c r="L75" s="36" t="n">
        <v>4</v>
      </c>
    </row>
    <row r="76" customFormat="false" ht="15.75" hidden="false" customHeight="true" outlineLevel="0" collapsed="false">
      <c r="A76" s="23" t="s">
        <v>102</v>
      </c>
      <c r="B76" s="23" t="s">
        <v>34</v>
      </c>
      <c r="C76" s="6" t="s">
        <v>123</v>
      </c>
      <c r="D76" s="23" t="s">
        <v>10</v>
      </c>
      <c r="E76" s="36" t="s">
        <v>108</v>
      </c>
      <c r="F76" s="36" t="s">
        <v>109</v>
      </c>
      <c r="G76" s="36" t="n">
        <f aca="false">1/1000</f>
        <v>0.001</v>
      </c>
      <c r="H76" s="36" t="n">
        <v>0.1</v>
      </c>
      <c r="I76" s="36" t="n">
        <v>0.1</v>
      </c>
      <c r="J76" s="36" t="n">
        <v>0.02</v>
      </c>
      <c r="K76" s="36" t="n">
        <v>0.01</v>
      </c>
      <c r="L76" s="37" t="n">
        <v>1.5</v>
      </c>
    </row>
    <row r="77" customFormat="false" ht="15.75" hidden="false" customHeight="true" outlineLevel="0" collapsed="false">
      <c r="A77" s="23" t="s">
        <v>102</v>
      </c>
      <c r="B77" s="23" t="s">
        <v>36</v>
      </c>
      <c r="C77" s="6" t="s">
        <v>123</v>
      </c>
      <c r="D77" s="23" t="s">
        <v>10</v>
      </c>
      <c r="E77" s="36" t="s">
        <v>108</v>
      </c>
      <c r="F77" s="36" t="s">
        <v>109</v>
      </c>
      <c r="G77" s="36" t="n">
        <f aca="false">1/1000</f>
        <v>0.001</v>
      </c>
      <c r="H77" s="36" t="n">
        <v>0.1</v>
      </c>
      <c r="I77" s="36" t="n">
        <v>0.05</v>
      </c>
      <c r="J77" s="36" t="n">
        <v>0.01</v>
      </c>
      <c r="K77" s="36" t="n">
        <v>0.01</v>
      </c>
      <c r="L77" s="37" t="n">
        <v>1.5</v>
      </c>
    </row>
    <row r="78" customFormat="false" ht="15.75" hidden="true" customHeight="true" outlineLevel="0" collapsed="false">
      <c r="A78" s="23" t="s">
        <v>110</v>
      </c>
      <c r="B78" s="23" t="s">
        <v>103</v>
      </c>
      <c r="C78" s="6" t="s">
        <v>123</v>
      </c>
      <c r="D78" s="23" t="s">
        <v>105</v>
      </c>
      <c r="E78" s="37" t="s">
        <v>111</v>
      </c>
      <c r="F78" s="37" t="s">
        <v>115</v>
      </c>
      <c r="G78" s="37" t="n">
        <v>1</v>
      </c>
      <c r="H78" s="36" t="n">
        <v>0.076</v>
      </c>
      <c r="I78" s="36" t="n">
        <v>0</v>
      </c>
      <c r="J78" s="36" t="n">
        <v>0.02</v>
      </c>
      <c r="K78" s="36" t="n">
        <v>0.01</v>
      </c>
      <c r="L78" s="36" t="n">
        <v>1.5</v>
      </c>
    </row>
    <row r="79" customFormat="false" ht="15.75" hidden="true" customHeight="true" outlineLevel="0" collapsed="false">
      <c r="A79" s="23" t="s">
        <v>110</v>
      </c>
      <c r="B79" s="23" t="s">
        <v>103</v>
      </c>
      <c r="C79" s="6" t="s">
        <v>123</v>
      </c>
      <c r="D79" s="23" t="s">
        <v>10</v>
      </c>
      <c r="E79" s="37" t="s">
        <v>111</v>
      </c>
      <c r="F79" s="37" t="s">
        <v>115</v>
      </c>
      <c r="G79" s="37" t="n">
        <v>1</v>
      </c>
      <c r="H79" s="36" t="n">
        <v>0.076</v>
      </c>
      <c r="I79" s="36" t="n">
        <v>0</v>
      </c>
      <c r="J79" s="36" t="n">
        <v>0.02</v>
      </c>
      <c r="K79" s="36" t="n">
        <v>0.01</v>
      </c>
      <c r="L79" s="36" t="n">
        <v>1.5</v>
      </c>
    </row>
    <row r="80" customFormat="false" ht="15.75" hidden="false" customHeight="true" outlineLevel="0" collapsed="false">
      <c r="A80" s="23" t="s">
        <v>110</v>
      </c>
      <c r="B80" s="23" t="s">
        <v>34</v>
      </c>
      <c r="C80" s="6" t="s">
        <v>123</v>
      </c>
      <c r="D80" s="23" t="s">
        <v>10</v>
      </c>
      <c r="E80" s="36" t="s">
        <v>113</v>
      </c>
      <c r="F80" s="36" t="s">
        <v>114</v>
      </c>
      <c r="G80" s="36" t="n">
        <f aca="false">1/128</f>
        <v>0.0078125</v>
      </c>
      <c r="H80" s="36" t="n">
        <v>0.1</v>
      </c>
      <c r="I80" s="36" t="n">
        <v>0.1</v>
      </c>
      <c r="J80" s="36" t="n">
        <v>0.02</v>
      </c>
      <c r="K80" s="36" t="n">
        <v>0.01</v>
      </c>
      <c r="L80" s="37" t="n">
        <v>1.5</v>
      </c>
    </row>
    <row r="81" customFormat="false" ht="15.75" hidden="false" customHeight="true" outlineLevel="0" collapsed="false">
      <c r="A81" s="23" t="s">
        <v>110</v>
      </c>
      <c r="B81" s="23" t="s">
        <v>36</v>
      </c>
      <c r="C81" s="6" t="s">
        <v>123</v>
      </c>
      <c r="D81" s="23" t="s">
        <v>10</v>
      </c>
      <c r="E81" s="36" t="s">
        <v>113</v>
      </c>
      <c r="F81" s="36" t="s">
        <v>114</v>
      </c>
      <c r="G81" s="36" t="n">
        <f aca="false">1/128</f>
        <v>0.0078125</v>
      </c>
      <c r="H81" s="36" t="n">
        <v>0.1</v>
      </c>
      <c r="I81" s="36" t="n">
        <v>0.05</v>
      </c>
      <c r="J81" s="36" t="n">
        <v>0.01</v>
      </c>
      <c r="K81" s="36" t="n">
        <v>0.01</v>
      </c>
      <c r="L81" s="37" t="n">
        <v>1.5</v>
      </c>
    </row>
    <row r="82" customFormat="false" ht="15.75" hidden="true" customHeight="true" outlineLevel="0" collapsed="false">
      <c r="A82" s="9" t="s">
        <v>102</v>
      </c>
      <c r="B82" s="9" t="s">
        <v>103</v>
      </c>
      <c r="C82" s="6" t="s">
        <v>124</v>
      </c>
      <c r="D82" s="9" t="s">
        <v>105</v>
      </c>
      <c r="E82" s="36" t="s">
        <v>106</v>
      </c>
      <c r="F82" s="36" t="s">
        <v>107</v>
      </c>
      <c r="G82" s="36" t="n">
        <v>1</v>
      </c>
      <c r="H82" s="36" t="n">
        <v>0.086</v>
      </c>
      <c r="I82" s="36" t="n">
        <v>0</v>
      </c>
      <c r="J82" s="36" t="n">
        <v>0.02</v>
      </c>
      <c r="K82" s="36" t="n">
        <v>0.01</v>
      </c>
      <c r="L82" s="36" t="n">
        <v>4</v>
      </c>
    </row>
    <row r="83" customFormat="false" ht="15.75" hidden="true" customHeight="true" outlineLevel="0" collapsed="false">
      <c r="A83" s="23" t="s">
        <v>102</v>
      </c>
      <c r="B83" s="23" t="s">
        <v>103</v>
      </c>
      <c r="C83" s="6" t="s">
        <v>124</v>
      </c>
      <c r="D83" s="23" t="s">
        <v>10</v>
      </c>
      <c r="E83" s="36" t="s">
        <v>106</v>
      </c>
      <c r="F83" s="36" t="s">
        <v>107</v>
      </c>
      <c r="G83" s="36" t="n">
        <v>1</v>
      </c>
      <c r="H83" s="36" t="n">
        <v>0.086</v>
      </c>
      <c r="I83" s="36" t="n">
        <v>0</v>
      </c>
      <c r="J83" s="36" t="n">
        <v>0.02</v>
      </c>
      <c r="K83" s="36" t="n">
        <v>0.01</v>
      </c>
      <c r="L83" s="36" t="n">
        <v>4</v>
      </c>
    </row>
    <row r="84" customFormat="false" ht="15.75" hidden="false" customHeight="true" outlineLevel="0" collapsed="false">
      <c r="A84" s="23" t="s">
        <v>102</v>
      </c>
      <c r="B84" s="23" t="s">
        <v>34</v>
      </c>
      <c r="C84" s="6" t="s">
        <v>124</v>
      </c>
      <c r="D84" s="23" t="s">
        <v>10</v>
      </c>
      <c r="E84" s="36" t="s">
        <v>108</v>
      </c>
      <c r="F84" s="36" t="s">
        <v>109</v>
      </c>
      <c r="G84" s="36" t="n">
        <f aca="false">1/1000</f>
        <v>0.001</v>
      </c>
      <c r="H84" s="36" t="n">
        <v>0.13</v>
      </c>
      <c r="I84" s="36" t="n">
        <v>0.05</v>
      </c>
      <c r="J84" s="36" t="n">
        <v>0.01</v>
      </c>
      <c r="K84" s="36" t="n">
        <v>0.01</v>
      </c>
      <c r="L84" s="37" t="n">
        <v>1.5</v>
      </c>
    </row>
    <row r="85" customFormat="false" ht="15.75" hidden="false" customHeight="true" outlineLevel="0" collapsed="false">
      <c r="A85" s="23" t="s">
        <v>102</v>
      </c>
      <c r="B85" s="23" t="s">
        <v>36</v>
      </c>
      <c r="C85" s="6" t="s">
        <v>124</v>
      </c>
      <c r="D85" s="23" t="s">
        <v>10</v>
      </c>
      <c r="E85" s="36" t="s">
        <v>108</v>
      </c>
      <c r="F85" s="36" t="s">
        <v>109</v>
      </c>
      <c r="G85" s="36" t="n">
        <f aca="false">1/1000</f>
        <v>0.001</v>
      </c>
      <c r="H85" s="36" t="n">
        <v>0.1</v>
      </c>
      <c r="I85" s="36" t="n">
        <v>0.05</v>
      </c>
      <c r="J85" s="36" t="n">
        <v>0.01</v>
      </c>
      <c r="K85" s="36" t="n">
        <v>0.01</v>
      </c>
      <c r="L85" s="37" t="n">
        <v>1.5</v>
      </c>
    </row>
    <row r="86" customFormat="false" ht="15.75" hidden="true" customHeight="true" outlineLevel="0" collapsed="false">
      <c r="A86" s="23" t="s">
        <v>110</v>
      </c>
      <c r="B86" s="23" t="s">
        <v>103</v>
      </c>
      <c r="C86" s="6" t="s">
        <v>124</v>
      </c>
      <c r="D86" s="23" t="s">
        <v>105</v>
      </c>
      <c r="E86" s="37" t="s">
        <v>111</v>
      </c>
      <c r="F86" s="37" t="s">
        <v>115</v>
      </c>
      <c r="G86" s="37" t="n">
        <v>1</v>
      </c>
      <c r="H86" s="36" t="n">
        <v>0.086</v>
      </c>
      <c r="I86" s="36" t="n">
        <v>0</v>
      </c>
      <c r="J86" s="36" t="n">
        <v>0.02</v>
      </c>
      <c r="K86" s="36" t="n">
        <v>0.01</v>
      </c>
      <c r="L86" s="36" t="n">
        <v>1.5</v>
      </c>
    </row>
    <row r="87" customFormat="false" ht="15.75" hidden="true" customHeight="true" outlineLevel="0" collapsed="false">
      <c r="A87" s="23" t="s">
        <v>110</v>
      </c>
      <c r="B87" s="23" t="s">
        <v>103</v>
      </c>
      <c r="C87" s="6" t="s">
        <v>124</v>
      </c>
      <c r="D87" s="23" t="s">
        <v>10</v>
      </c>
      <c r="E87" s="37" t="s">
        <v>111</v>
      </c>
      <c r="F87" s="37" t="s">
        <v>115</v>
      </c>
      <c r="G87" s="37" t="n">
        <v>1</v>
      </c>
      <c r="H87" s="36" t="n">
        <v>0.086</v>
      </c>
      <c r="I87" s="36" t="n">
        <v>0</v>
      </c>
      <c r="J87" s="36" t="n">
        <v>0.02</v>
      </c>
      <c r="K87" s="36" t="n">
        <v>0.01</v>
      </c>
      <c r="L87" s="36" t="n">
        <v>1.5</v>
      </c>
    </row>
    <row r="88" customFormat="false" ht="15.75" hidden="false" customHeight="true" outlineLevel="0" collapsed="false">
      <c r="A88" s="23" t="s">
        <v>110</v>
      </c>
      <c r="B88" s="23" t="s">
        <v>34</v>
      </c>
      <c r="C88" s="6" t="s">
        <v>124</v>
      </c>
      <c r="D88" s="23" t="s">
        <v>10</v>
      </c>
      <c r="E88" s="36" t="s">
        <v>113</v>
      </c>
      <c r="F88" s="36" t="s">
        <v>114</v>
      </c>
      <c r="G88" s="36" t="n">
        <f aca="false">1/128</f>
        <v>0.0078125</v>
      </c>
      <c r="H88" s="36" t="n">
        <v>0.13</v>
      </c>
      <c r="I88" s="36" t="n">
        <v>0.05</v>
      </c>
      <c r="J88" s="36" t="n">
        <v>0.01</v>
      </c>
      <c r="K88" s="36" t="n">
        <v>0.01</v>
      </c>
      <c r="L88" s="37" t="n">
        <v>1.5</v>
      </c>
    </row>
    <row r="89" customFormat="false" ht="15.75" hidden="false" customHeight="true" outlineLevel="0" collapsed="false">
      <c r="A89" s="23" t="s">
        <v>110</v>
      </c>
      <c r="B89" s="23" t="s">
        <v>36</v>
      </c>
      <c r="C89" s="6" t="s">
        <v>124</v>
      </c>
      <c r="D89" s="23" t="s">
        <v>10</v>
      </c>
      <c r="E89" s="36" t="s">
        <v>113</v>
      </c>
      <c r="F89" s="36" t="s">
        <v>114</v>
      </c>
      <c r="G89" s="36" t="n">
        <f aca="false">1/128</f>
        <v>0.0078125</v>
      </c>
      <c r="H89" s="36" t="n">
        <v>0.1</v>
      </c>
      <c r="I89" s="36" t="n">
        <v>0.05</v>
      </c>
      <c r="J89" s="36" t="n">
        <v>0.01</v>
      </c>
      <c r="K89" s="36" t="n">
        <v>0.01</v>
      </c>
      <c r="L89" s="37" t="n">
        <v>1.5</v>
      </c>
    </row>
    <row r="94" customFormat="false" ht="15.75" hidden="false" customHeight="true" outlineLevel="0" collapsed="false">
      <c r="A94" s="6" t="s">
        <v>125</v>
      </c>
    </row>
    <row r="95" customFormat="false" ht="15.75" hidden="false" customHeight="true" outlineLevel="0" collapsed="false">
      <c r="A95" s="40" t="s">
        <v>126</v>
      </c>
      <c r="B95" s="41" t="n">
        <v>12000</v>
      </c>
    </row>
    <row r="96" customFormat="false" ht="15.75" hidden="false" customHeight="true" outlineLevel="0" collapsed="false">
      <c r="A96" s="40" t="s">
        <v>127</v>
      </c>
      <c r="B96" s="41" t="n">
        <v>1</v>
      </c>
    </row>
    <row r="97" customFormat="false" ht="15.75" hidden="false" customHeight="true" outlineLevel="0" collapsed="false">
      <c r="A97" s="40" t="s">
        <v>128</v>
      </c>
      <c r="B97" s="41" t="n">
        <v>100</v>
      </c>
    </row>
    <row r="98" customFormat="false" ht="15.75" hidden="false" customHeight="true" outlineLevel="0" collapsed="false">
      <c r="A98" s="40" t="s">
        <v>129</v>
      </c>
      <c r="B98" s="41" t="n">
        <v>0.5</v>
      </c>
    </row>
    <row r="99" customFormat="false" ht="15.75" hidden="false" customHeight="true" outlineLevel="0" collapsed="false">
      <c r="A99" s="40" t="s">
        <v>130</v>
      </c>
      <c r="B99" s="41" t="n">
        <v>5</v>
      </c>
    </row>
    <row r="100" customFormat="false" ht="15.75" hidden="false" customHeight="true" outlineLevel="0" collapsed="false">
      <c r="A100" s="40" t="s">
        <v>131</v>
      </c>
      <c r="B100" s="41" t="n">
        <v>3</v>
      </c>
    </row>
    <row r="101" customFormat="false" ht="15.75" hidden="false" customHeight="true" outlineLevel="0" collapsed="false">
      <c r="A101" s="42" t="s">
        <v>132</v>
      </c>
      <c r="B101" s="43" t="n">
        <v>0.5</v>
      </c>
    </row>
    <row r="102" customFormat="false" ht="15.75" hidden="false" customHeight="true" outlineLevel="0" collapsed="false">
      <c r="A102" s="42" t="s">
        <v>133</v>
      </c>
      <c r="B102" s="43" t="n">
        <v>0.01</v>
      </c>
    </row>
    <row r="103" customFormat="false" ht="15.75" hidden="false" customHeight="true" outlineLevel="0" collapsed="false">
      <c r="A103" s="42" t="s">
        <v>134</v>
      </c>
      <c r="B103" s="43" t="n">
        <v>0.01</v>
      </c>
    </row>
    <row r="104" customFormat="false" ht="15.75" hidden="false" customHeight="true" outlineLevel="0" collapsed="false">
      <c r="A104" s="6" t="s">
        <v>135</v>
      </c>
    </row>
    <row r="105" customFormat="false" ht="15.75" hidden="false" customHeight="true" outlineLevel="0" collapsed="false">
      <c r="A105" s="6" t="s">
        <v>136</v>
      </c>
    </row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  <row r="1016" customFormat="false" ht="15.75" hidden="false" customHeight="true" outlineLevel="0" collapsed="false"/>
    <row r="1017" customFormat="false" ht="15.75" hidden="false" customHeight="true" outlineLevel="0" collapsed="false"/>
    <row r="1018" customFormat="false" ht="15.75" hidden="false" customHeight="true" outlineLevel="0" collapsed="false"/>
    <row r="1019" customFormat="false" ht="15.75" hidden="false" customHeight="true" outlineLevel="0" collapsed="false"/>
    <row r="1020" customFormat="false" ht="15.75" hidden="false" customHeight="true" outlineLevel="0" collapsed="false"/>
    <row r="1021" customFormat="false" ht="15.75" hidden="false" customHeight="true" outlineLevel="0" collapsed="false"/>
    <row r="1022" customFormat="false" ht="15.75" hidden="false" customHeight="true" outlineLevel="0" collapsed="false"/>
    <row r="1023" customFormat="false" ht="15.75" hidden="false" customHeight="true" outlineLevel="0" collapsed="false"/>
    <row r="1024" customFormat="false" ht="15.75" hidden="false" customHeight="true" outlineLevel="0" collapsed="false"/>
    <row r="1025" customFormat="false" ht="15.75" hidden="false" customHeight="true" outlineLevel="0" collapsed="false"/>
    <row r="1026" customFormat="false" ht="15.75" hidden="false" customHeight="true" outlineLevel="0" collapsed="false"/>
    <row r="1027" customFormat="false" ht="15.75" hidden="false" customHeight="true" outlineLevel="0" collapsed="false"/>
    <row r="1028" customFormat="false" ht="15.75" hidden="false" customHeight="true" outlineLevel="0" collapsed="false"/>
    <row r="1029" customFormat="false" ht="15.75" hidden="false" customHeight="true" outlineLevel="0" collapsed="false"/>
    <row r="1030" customFormat="false" ht="15.75" hidden="false" customHeight="true" outlineLevel="0" collapsed="false"/>
    <row r="1031" customFormat="false" ht="15.75" hidden="false" customHeight="true" outlineLevel="0" collapsed="false"/>
    <row r="1032" customFormat="false" ht="15.75" hidden="false" customHeight="true" outlineLevel="0" collapsed="false"/>
    <row r="1033" customFormat="false" ht="15.75" hidden="false" customHeight="true" outlineLevel="0" collapsed="false"/>
    <row r="1034" customFormat="false" ht="15.75" hidden="false" customHeight="true" outlineLevel="0" collapsed="false"/>
    <row r="1035" customFormat="false" ht="15.75" hidden="false" customHeight="true" outlineLevel="0" collapsed="false"/>
    <row r="1036" customFormat="false" ht="15.75" hidden="false" customHeight="true" outlineLevel="0" collapsed="false"/>
    <row r="1037" customFormat="false" ht="15.75" hidden="false" customHeight="true" outlineLevel="0" collapsed="false"/>
    <row r="1038" customFormat="false" ht="15.75" hidden="false" customHeight="true" outlineLevel="0" collapsed="false"/>
    <row r="1039" customFormat="false" ht="15.75" hidden="false" customHeight="true" outlineLevel="0" collapsed="false"/>
    <row r="1040" customFormat="false" ht="15.75" hidden="false" customHeight="true" outlineLevel="0" collapsed="false"/>
    <row r="1041" customFormat="false" ht="15.75" hidden="false" customHeight="true" outlineLevel="0" collapsed="false"/>
    <row r="1042" customFormat="false" ht="15.75" hidden="false" customHeight="true" outlineLevel="0" collapsed="false"/>
    <row r="1043" customFormat="false" ht="15.75" hidden="false" customHeight="true" outlineLevel="0" collapsed="false"/>
    <row r="1044" customFormat="false" ht="15.75" hidden="false" customHeight="true" outlineLevel="0" collapsed="false"/>
    <row r="1045" customFormat="false" ht="15.75" hidden="false" customHeight="true" outlineLevel="0" collapsed="false"/>
    <row r="1046" customFormat="false" ht="15.75" hidden="false" customHeight="true" outlineLevel="0" collapsed="false"/>
    <row r="1047" customFormat="false" ht="15.75" hidden="false" customHeight="true" outlineLevel="0" collapsed="false"/>
    <row r="1048" customFormat="false" ht="15.75" hidden="false" customHeight="true" outlineLevel="0" collapsed="false"/>
    <row r="1049" customFormat="false" ht="15.75" hidden="false" customHeight="true" outlineLevel="0" collapsed="false"/>
    <row r="1050" customFormat="false" ht="15.75" hidden="false" customHeight="true" outlineLevel="0" collapsed="false"/>
    <row r="1051" customFormat="false" ht="15.75" hidden="false" customHeight="true" outlineLevel="0" collapsed="false"/>
    <row r="1052" customFormat="false" ht="15.75" hidden="false" customHeight="true" outlineLevel="0" collapsed="false"/>
    <row r="1053" customFormat="false" ht="15.75" hidden="false" customHeight="true" outlineLevel="0" collapsed="false"/>
    <row r="1054" customFormat="false" ht="15.75" hidden="false" customHeight="true" outlineLevel="0" collapsed="false"/>
    <row r="1055" customFormat="false" ht="15.75" hidden="false" customHeight="true" outlineLevel="0" collapsed="false"/>
    <row r="1056" customFormat="false" ht="15.75" hidden="false" customHeight="true" outlineLevel="0" collapsed="false"/>
    <row r="1057" customFormat="false" ht="15.75" hidden="false" customHeight="true" outlineLevel="0" collapsed="false"/>
    <row r="1058" customFormat="false" ht="15.75" hidden="false" customHeight="true" outlineLevel="0" collapsed="false"/>
    <row r="1059" customFormat="false" ht="15.75" hidden="false" customHeight="true" outlineLevel="0" collapsed="false"/>
    <row r="1060" customFormat="false" ht="15.75" hidden="false" customHeight="true" outlineLevel="0" collapsed="false"/>
    <row r="1061" customFormat="false" ht="15.75" hidden="false" customHeight="true" outlineLevel="0" collapsed="false"/>
    <row r="1062" customFormat="false" ht="15.75" hidden="false" customHeight="true" outlineLevel="0" collapsed="false"/>
    <row r="1063" customFormat="false" ht="15.75" hidden="false" customHeight="true" outlineLevel="0" collapsed="false"/>
    <row r="1064" customFormat="false" ht="15.75" hidden="false" customHeight="true" outlineLevel="0" collapsed="false"/>
    <row r="1065" customFormat="false" ht="15.75" hidden="false" customHeight="true" outlineLevel="0" collapsed="false"/>
    <row r="1066" customFormat="false" ht="15.75" hidden="false" customHeight="true" outlineLevel="0" collapsed="false"/>
    <row r="1067" customFormat="false" ht="15.75" hidden="false" customHeight="true" outlineLevel="0" collapsed="false"/>
    <row r="1068" customFormat="false" ht="15.75" hidden="false" customHeight="true" outlineLevel="0" collapsed="false"/>
    <row r="1069" customFormat="false" ht="15.75" hidden="false" customHeight="true" outlineLevel="0" collapsed="false"/>
    <row r="1070" customFormat="false" ht="15.75" hidden="false" customHeight="true" outlineLevel="0" collapsed="false"/>
    <row r="1071" customFormat="false" ht="15.75" hidden="false" customHeight="true" outlineLevel="0" collapsed="false"/>
    <row r="1072" customFormat="false" ht="15.75" hidden="false" customHeight="true" outlineLevel="0" collapsed="false"/>
    <row r="1073" customFormat="false" ht="15.75" hidden="false" customHeight="true" outlineLevel="0" collapsed="false"/>
    <row r="1074" customFormat="false" ht="15.75" hidden="false" customHeight="true" outlineLevel="0" collapsed="false"/>
    <row r="1075" customFormat="false" ht="15.75" hidden="false" customHeight="true" outlineLevel="0" collapsed="false"/>
    <row r="1076" customFormat="false" ht="15.75" hidden="false" customHeight="true" outlineLevel="0" collapsed="false"/>
    <row r="1077" customFormat="false" ht="15.75" hidden="false" customHeight="true" outlineLevel="0" collapsed="false"/>
    <row r="1078" customFormat="false" ht="15.75" hidden="false" customHeight="true" outlineLevel="0" collapsed="false"/>
    <row r="1079" customFormat="false" ht="15.75" hidden="false" customHeight="true" outlineLevel="0" collapsed="false"/>
    <row r="1080" customFormat="false" ht="15.75" hidden="false" customHeight="true" outlineLevel="0" collapsed="false"/>
    <row r="1081" customFormat="false" ht="15.75" hidden="false" customHeight="true" outlineLevel="0" collapsed="false"/>
    <row r="1082" customFormat="false" ht="15.75" hidden="false" customHeight="true" outlineLevel="0" collapsed="false"/>
    <row r="1083" customFormat="false" ht="15.75" hidden="false" customHeight="true" outlineLevel="0" collapsed="false"/>
  </sheetData>
  <autoFilter ref="A1:L89">
    <filterColumn colId="1">
      <filters>
        <filter val="PGR VRA"/>
        <filter val="HA VRA"/>
      </filters>
    </filterColumn>
  </autoFilter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61.86"/>
    <col collapsed="false" customWidth="true" hidden="false" outlineLevel="0" max="2" min="2" style="0" width="21.71"/>
    <col collapsed="false" customWidth="true" hidden="false" outlineLevel="0" max="3" min="3" style="0" width="18.12"/>
    <col collapsed="false" customWidth="true" hidden="false" outlineLevel="0" max="13" min="13" style="0" width="38.43"/>
  </cols>
  <sheetData>
    <row r="1" customFormat="false" ht="15.75" hidden="false" customHeight="true" outlineLevel="0" collapsed="false">
      <c r="A1" s="6" t="s">
        <v>137</v>
      </c>
      <c r="B1" s="6" t="s">
        <v>138</v>
      </c>
      <c r="I1" s="34"/>
    </row>
    <row r="2" customFormat="false" ht="15.75" hidden="false" customHeight="true" outlineLevel="0" collapsed="false">
      <c r="A2" s="6" t="s">
        <v>139</v>
      </c>
      <c r="B2" s="18" t="n">
        <f aca="false">VRA!B10+VRA!B36</f>
        <v>190</v>
      </c>
      <c r="F2" s="6"/>
      <c r="G2" s="6"/>
      <c r="I2" s="6"/>
    </row>
    <row r="3" customFormat="false" ht="15.75" hidden="false" customHeight="true" outlineLevel="0" collapsed="false">
      <c r="A3" s="6" t="s">
        <v>127</v>
      </c>
      <c r="B3" s="31" t="n">
        <f aca="false">'Table '!B96</f>
        <v>1</v>
      </c>
      <c r="C3" s="6" t="s">
        <v>140</v>
      </c>
      <c r="E3" s="6"/>
      <c r="F3" s="6"/>
      <c r="G3" s="6"/>
    </row>
    <row r="4" customFormat="false" ht="15.75" hidden="false" customHeight="true" outlineLevel="0" collapsed="false">
      <c r="A4" s="15" t="s">
        <v>25</v>
      </c>
      <c r="B4" s="44" t="n">
        <f aca="false">VRA!B48+VRA!B22</f>
        <v>1</v>
      </c>
      <c r="F4" s="6"/>
      <c r="G4" s="6"/>
    </row>
    <row r="5" customFormat="false" ht="15.75" hidden="false" customHeight="true" outlineLevel="0" collapsed="false">
      <c r="A5" s="23" t="s">
        <v>141</v>
      </c>
      <c r="F5" s="6"/>
      <c r="G5" s="6"/>
    </row>
    <row r="6" customFormat="false" ht="15.75" hidden="false" customHeight="true" outlineLevel="0" collapsed="false">
      <c r="A6" s="45" t="s">
        <v>142</v>
      </c>
      <c r="G6" s="6"/>
    </row>
    <row r="7" customFormat="false" ht="15.75" hidden="false" customHeight="true" outlineLevel="0" collapsed="false">
      <c r="A7" s="46" t="s">
        <v>143</v>
      </c>
      <c r="B7" s="46"/>
      <c r="C7" s="46"/>
    </row>
    <row r="9" customFormat="false" ht="15.75" hidden="false" customHeight="true" outlineLevel="0" collapsed="false">
      <c r="A9" s="15" t="s">
        <v>144</v>
      </c>
      <c r="B9" s="47" t="n">
        <f aca="false">(VRA!B23+VRA!B49)/2</f>
        <v>600</v>
      </c>
      <c r="C9" s="15"/>
    </row>
    <row r="10" customFormat="false" ht="15.75" hidden="false" customHeight="true" outlineLevel="0" collapsed="false">
      <c r="A10" s="15"/>
      <c r="B10" s="48"/>
      <c r="C10" s="15"/>
    </row>
    <row r="11" customFormat="false" ht="15.75" hidden="false" customHeight="true" outlineLevel="0" collapsed="false">
      <c r="A11" s="15" t="s">
        <v>145</v>
      </c>
      <c r="B11" s="44" t="n">
        <f aca="false">B2/B9</f>
        <v>0.3166666667</v>
      </c>
      <c r="C11" s="15"/>
    </row>
    <row r="12" customFormat="false" ht="15.75" hidden="false" customHeight="true" outlineLevel="0" collapsed="false">
      <c r="A12" s="15" t="s">
        <v>146</v>
      </c>
      <c r="B12" s="44" t="n">
        <f aca="false">B11/4</f>
        <v>0.07916666667</v>
      </c>
      <c r="C12" s="15"/>
    </row>
    <row r="13" customFormat="false" ht="15.75" hidden="false" customHeight="true" outlineLevel="0" collapsed="false">
      <c r="A13" s="15" t="s">
        <v>128</v>
      </c>
      <c r="B13" s="49" t="n">
        <f aca="false">'Table '!B97</f>
        <v>100</v>
      </c>
      <c r="C13" s="15"/>
    </row>
    <row r="15" customFormat="false" ht="15.75" hidden="false" customHeight="true" outlineLevel="0" collapsed="false">
      <c r="A15" s="50" t="s">
        <v>147</v>
      </c>
      <c r="B15" s="50"/>
      <c r="C15" s="50"/>
      <c r="D15" s="50"/>
      <c r="E15" s="50"/>
      <c r="F15" s="50"/>
      <c r="G15" s="50"/>
      <c r="H15" s="50"/>
      <c r="I15" s="50"/>
      <c r="J15" s="50"/>
      <c r="K15" s="50"/>
    </row>
    <row r="16" customFormat="false" ht="15.75" hidden="false" customHeight="true" outlineLevel="0" collapsed="false">
      <c r="A16" s="51" t="s">
        <v>148</v>
      </c>
      <c r="B16" s="52" t="s">
        <v>149</v>
      </c>
      <c r="C16" s="52"/>
      <c r="D16" s="52"/>
      <c r="E16" s="52"/>
      <c r="F16" s="52"/>
      <c r="G16" s="52"/>
      <c r="H16" s="52"/>
      <c r="I16" s="52"/>
      <c r="J16" s="52"/>
      <c r="K16" s="52"/>
      <c r="M16" s="53" t="s">
        <v>150</v>
      </c>
      <c r="N16" s="54"/>
      <c r="O16" s="54"/>
      <c r="P16" s="54"/>
    </row>
    <row r="17" customFormat="false" ht="15.75" hidden="false" customHeight="true" outlineLevel="0" collapsed="false">
      <c r="A17" s="15"/>
      <c r="B17" s="55" t="s">
        <v>151</v>
      </c>
      <c r="C17" s="55"/>
      <c r="D17" s="55"/>
      <c r="E17" s="55"/>
      <c r="F17" s="55"/>
      <c r="G17" s="15"/>
      <c r="H17" s="56" t="s">
        <v>152</v>
      </c>
      <c r="I17" s="56"/>
      <c r="J17" s="56"/>
      <c r="K17" s="56"/>
      <c r="M17" s="57" t="n">
        <f aca="false">K19-K27</f>
        <v>0.4211666667</v>
      </c>
      <c r="N17" s="54"/>
      <c r="O17" s="54"/>
      <c r="P17" s="54"/>
    </row>
    <row r="18" customFormat="false" ht="15.75" hidden="false" customHeight="true" outlineLevel="0" collapsed="false">
      <c r="A18" s="58" t="s">
        <v>129</v>
      </c>
      <c r="B18" s="59" t="s">
        <v>153</v>
      </c>
      <c r="C18" s="59" t="s">
        <v>154</v>
      </c>
      <c r="D18" s="59" t="s">
        <v>155</v>
      </c>
      <c r="E18" s="59" t="s">
        <v>156</v>
      </c>
      <c r="F18" s="59" t="s">
        <v>157</v>
      </c>
      <c r="G18" s="15"/>
      <c r="H18" s="59" t="s">
        <v>154</v>
      </c>
      <c r="I18" s="59" t="s">
        <v>155</v>
      </c>
      <c r="J18" s="59" t="s">
        <v>156</v>
      </c>
      <c r="K18" s="59" t="s">
        <v>157</v>
      </c>
      <c r="M18" s="57"/>
      <c r="N18" s="54"/>
      <c r="O18" s="54"/>
      <c r="P18" s="54"/>
    </row>
    <row r="19" customFormat="false" ht="15.75" hidden="false" customHeight="true" outlineLevel="0" collapsed="false">
      <c r="A19" s="60" t="n">
        <f aca="false">'Table '!B98</f>
        <v>0.5</v>
      </c>
      <c r="B19" s="49" t="n">
        <f aca="false">B2/'Table '!B99</f>
        <v>38</v>
      </c>
      <c r="C19" s="61" t="n">
        <f aca="false">7*B19*0.01</f>
        <v>2.66</v>
      </c>
      <c r="D19" s="61" t="n">
        <f aca="false">C19*$B$3</f>
        <v>2.66</v>
      </c>
      <c r="E19" s="61" t="n">
        <f aca="false">B11*B19</f>
        <v>12.03333333</v>
      </c>
      <c r="F19" s="62" t="n">
        <f aca="false">B11*D19</f>
        <v>0.8423333333</v>
      </c>
      <c r="G19" s="15"/>
      <c r="H19" s="61" t="n">
        <f aca="false">C19*B4*B11</f>
        <v>0.8423333333</v>
      </c>
      <c r="I19" s="61" t="n">
        <f aca="false">D19*B4*B11</f>
        <v>0.8423333333</v>
      </c>
      <c r="J19" s="61" t="n">
        <f aca="false">B19*B11*B4</f>
        <v>12.03333333</v>
      </c>
      <c r="K19" s="61" t="n">
        <f aca="false">D19*B11*B4</f>
        <v>0.8423333333</v>
      </c>
      <c r="M19" s="57"/>
      <c r="N19" s="54"/>
      <c r="O19" s="54"/>
      <c r="P19" s="54"/>
    </row>
    <row r="20" customFormat="false" ht="15.75" hidden="false" customHeight="true" outlineLevel="0" collapsed="false">
      <c r="A20" s="7"/>
      <c r="B20" s="58"/>
      <c r="C20" s="58"/>
      <c r="D20" s="58"/>
      <c r="E20" s="15"/>
      <c r="F20" s="15"/>
      <c r="G20" s="15"/>
      <c r="H20" s="15"/>
      <c r="I20" s="15"/>
      <c r="J20" s="15"/>
      <c r="K20" s="15"/>
      <c r="M20" s="57"/>
      <c r="N20" s="54"/>
      <c r="O20" s="54"/>
      <c r="P20" s="54"/>
    </row>
    <row r="21" customFormat="false" ht="15.75" hidden="false" customHeight="true" outlineLevel="0" collapsed="false">
      <c r="A21" s="15"/>
      <c r="B21" s="15" t="s">
        <v>131</v>
      </c>
      <c r="G21" s="15"/>
      <c r="H21" s="15" t="s">
        <v>131</v>
      </c>
      <c r="I21" s="15"/>
      <c r="J21" s="15"/>
      <c r="K21" s="15"/>
      <c r="M21" s="54"/>
      <c r="N21" s="54"/>
      <c r="O21" s="54"/>
      <c r="P21" s="54"/>
    </row>
    <row r="22" customFormat="false" ht="15.75" hidden="false" customHeight="true" outlineLevel="0" collapsed="false">
      <c r="A22" s="15"/>
      <c r="B22" s="49" t="n">
        <f aca="false">'Table '!B100</f>
        <v>3</v>
      </c>
      <c r="G22" s="15"/>
      <c r="H22" s="61" t="n">
        <f aca="false">B22*B4</f>
        <v>3</v>
      </c>
      <c r="I22" s="63"/>
      <c r="J22" s="63"/>
      <c r="K22" s="15"/>
      <c r="M22" s="54"/>
      <c r="N22" s="54"/>
      <c r="O22" s="54"/>
      <c r="P22" s="54"/>
    </row>
    <row r="23" customFormat="false" ht="15.75" hidden="false" customHeight="true" outlineLevel="0" collapsed="false">
      <c r="A23" s="15"/>
      <c r="C23" s="15"/>
      <c r="D23" s="15"/>
      <c r="E23" s="15"/>
      <c r="F23" s="15"/>
      <c r="G23" s="15"/>
      <c r="H23" s="58"/>
      <c r="I23" s="58"/>
      <c r="J23" s="58"/>
      <c r="K23" s="58"/>
      <c r="M23" s="54"/>
      <c r="N23" s="54"/>
      <c r="O23" s="54"/>
      <c r="P23" s="54"/>
    </row>
    <row r="24" customFormat="false" ht="15.75" hidden="false" customHeight="true" outlineLevel="0" collapsed="false">
      <c r="A24" s="15"/>
      <c r="B24" s="52" t="s">
        <v>158</v>
      </c>
      <c r="C24" s="52"/>
      <c r="D24" s="52"/>
      <c r="E24" s="52"/>
      <c r="F24" s="52"/>
      <c r="G24" s="52"/>
      <c r="H24" s="52"/>
      <c r="I24" s="52"/>
      <c r="J24" s="52"/>
      <c r="K24" s="52"/>
      <c r="M24" s="54"/>
      <c r="N24" s="54"/>
      <c r="O24" s="54"/>
      <c r="P24" s="54"/>
    </row>
    <row r="25" customFormat="false" ht="15.75" hidden="false" customHeight="true" outlineLevel="0" collapsed="false">
      <c r="A25" s="15"/>
      <c r="B25" s="55" t="s">
        <v>151</v>
      </c>
      <c r="C25" s="55"/>
      <c r="D25" s="55"/>
      <c r="E25" s="55"/>
      <c r="F25" s="55"/>
      <c r="G25" s="15"/>
      <c r="H25" s="56" t="s">
        <v>152</v>
      </c>
      <c r="I25" s="56"/>
      <c r="J25" s="56"/>
      <c r="K25" s="56"/>
      <c r="M25" s="64"/>
      <c r="N25" s="64"/>
      <c r="O25" s="64"/>
      <c r="P25" s="64"/>
    </row>
    <row r="26" customFormat="false" ht="15.75" hidden="false" customHeight="true" outlineLevel="0" collapsed="false">
      <c r="B26" s="59" t="s">
        <v>153</v>
      </c>
      <c r="C26" s="59" t="s">
        <v>154</v>
      </c>
      <c r="D26" s="59" t="s">
        <v>155</v>
      </c>
      <c r="E26" s="59" t="s">
        <v>156</v>
      </c>
      <c r="F26" s="59" t="s">
        <v>157</v>
      </c>
      <c r="G26" s="15"/>
      <c r="H26" s="59" t="s">
        <v>154</v>
      </c>
      <c r="I26" s="59" t="s">
        <v>155</v>
      </c>
      <c r="J26" s="59" t="s">
        <v>156</v>
      </c>
      <c r="K26" s="59" t="s">
        <v>157</v>
      </c>
      <c r="M26" s="15"/>
      <c r="N26" s="15"/>
      <c r="O26" s="15"/>
      <c r="P26" s="15"/>
    </row>
    <row r="27" customFormat="false" ht="15.75" hidden="false" customHeight="true" outlineLevel="0" collapsed="false">
      <c r="B27" s="8" t="n">
        <f aca="false">B19*A19</f>
        <v>19</v>
      </c>
      <c r="C27" s="8" t="n">
        <f aca="false">C19*A19</f>
        <v>1.33</v>
      </c>
      <c r="D27" s="8" t="n">
        <f aca="false">D19*A19</f>
        <v>1.33</v>
      </c>
      <c r="E27" s="8" t="n">
        <f aca="false">E19*A19</f>
        <v>6.016666667</v>
      </c>
      <c r="F27" s="65" t="n">
        <f aca="false">F19*A19</f>
        <v>0.4211666667</v>
      </c>
      <c r="G27" s="15"/>
      <c r="H27" s="8" t="n">
        <f aca="false">H19*A19</f>
        <v>0.4211666667</v>
      </c>
      <c r="I27" s="8" t="n">
        <f aca="false">I19*A19</f>
        <v>0.4211666667</v>
      </c>
      <c r="J27" s="8" t="n">
        <f aca="false">J19*A19</f>
        <v>6.016666667</v>
      </c>
      <c r="K27" s="8" t="n">
        <f aca="false">K19*A19</f>
        <v>0.4211666667</v>
      </c>
      <c r="M27" s="15"/>
      <c r="N27" s="15"/>
      <c r="O27" s="15"/>
      <c r="P27" s="15"/>
    </row>
    <row r="28" customFormat="false" ht="15.75" hidden="false" customHeight="true" outlineLevel="0" collapsed="false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</row>
    <row r="29" customFormat="false" ht="15.75" hidden="false" customHeight="true" outlineLevel="0" collapsed="false">
      <c r="A29" s="51" t="s">
        <v>159</v>
      </c>
      <c r="B29" s="52" t="s">
        <v>149</v>
      </c>
      <c r="C29" s="52"/>
      <c r="D29" s="52"/>
      <c r="E29" s="52"/>
      <c r="F29" s="52"/>
      <c r="G29" s="52"/>
      <c r="H29" s="52"/>
      <c r="I29" s="52"/>
      <c r="J29" s="52"/>
      <c r="K29" s="52"/>
      <c r="M29" s="66" t="s">
        <v>160</v>
      </c>
    </row>
    <row r="30" customFormat="false" ht="45" hidden="false" customHeight="true" outlineLevel="0" collapsed="false">
      <c r="B30" s="55" t="s">
        <v>151</v>
      </c>
      <c r="C30" s="55"/>
      <c r="D30" s="55"/>
      <c r="E30" s="55"/>
      <c r="F30" s="55"/>
      <c r="G30" s="15"/>
      <c r="H30" s="56" t="s">
        <v>152</v>
      </c>
      <c r="I30" s="56"/>
      <c r="J30" s="56"/>
      <c r="K30" s="56"/>
      <c r="M30" s="67" t="n">
        <f aca="false">H32-H37</f>
        <v>0.03958333333</v>
      </c>
    </row>
    <row r="31" customFormat="false" ht="15.75" hidden="false" customHeight="true" outlineLevel="0" collapsed="false">
      <c r="A31" s="54" t="s">
        <v>132</v>
      </c>
      <c r="B31" s="22" t="s">
        <v>161</v>
      </c>
      <c r="C31" s="22"/>
      <c r="D31" s="22"/>
      <c r="E31" s="22"/>
      <c r="F31" s="22"/>
      <c r="G31" s="15"/>
      <c r="H31" s="22" t="s">
        <v>162</v>
      </c>
      <c r="I31" s="22"/>
      <c r="J31" s="22"/>
      <c r="K31" s="22"/>
    </row>
    <row r="32" customFormat="false" ht="15.75" hidden="false" customHeight="true" outlineLevel="0" collapsed="false">
      <c r="A32" s="68" t="n">
        <f aca="false">'Table '!B101</f>
        <v>0.5</v>
      </c>
      <c r="B32" s="22" t="n">
        <f aca="false">B12</f>
        <v>0.07916666667</v>
      </c>
      <c r="C32" s="22"/>
      <c r="D32" s="22"/>
      <c r="E32" s="22"/>
      <c r="F32" s="22"/>
      <c r="G32" s="15"/>
      <c r="H32" s="22" t="n">
        <f aca="false">B32*B4</f>
        <v>0.07916666667</v>
      </c>
      <c r="I32" s="22"/>
      <c r="J32" s="22"/>
      <c r="K32" s="22"/>
    </row>
    <row r="33" customFormat="false" ht="15.75" hidden="false" customHeight="true" outlineLevel="0" collapsed="false">
      <c r="A33" s="69" t="s">
        <v>133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</row>
    <row r="34" customFormat="false" ht="15.75" hidden="false" customHeight="true" outlineLevel="0" collapsed="false">
      <c r="A34" s="60" t="n">
        <f aca="false">'Table '!B102</f>
        <v>0.01</v>
      </c>
      <c r="B34" s="52" t="s">
        <v>158</v>
      </c>
      <c r="C34" s="52"/>
      <c r="D34" s="52"/>
      <c r="E34" s="52"/>
      <c r="F34" s="52"/>
      <c r="G34" s="52"/>
      <c r="H34" s="52"/>
      <c r="I34" s="52"/>
      <c r="J34" s="52"/>
      <c r="K34" s="52"/>
      <c r="M34" s="66" t="s">
        <v>163</v>
      </c>
    </row>
    <row r="35" customFormat="false" ht="33" hidden="false" customHeight="true" outlineLevel="0" collapsed="false">
      <c r="A35" s="69" t="s">
        <v>134</v>
      </c>
      <c r="B35" s="55" t="s">
        <v>151</v>
      </c>
      <c r="C35" s="55"/>
      <c r="D35" s="55"/>
      <c r="E35" s="55"/>
      <c r="F35" s="55"/>
      <c r="G35" s="15"/>
      <c r="H35" s="56" t="s">
        <v>152</v>
      </c>
      <c r="I35" s="56"/>
      <c r="J35" s="56"/>
      <c r="K35" s="56"/>
      <c r="M35" s="70" t="n">
        <f aca="false">M30*B13</f>
        <v>3.958333333</v>
      </c>
    </row>
    <row r="36" customFormat="false" ht="15.75" hidden="false" customHeight="true" outlineLevel="0" collapsed="false">
      <c r="A36" s="60" t="n">
        <f aca="false">'Table '!B103</f>
        <v>0.01</v>
      </c>
      <c r="B36" s="22" t="s">
        <v>161</v>
      </c>
      <c r="C36" s="22"/>
      <c r="D36" s="22"/>
      <c r="E36" s="22"/>
      <c r="F36" s="22"/>
      <c r="G36" s="15"/>
      <c r="H36" s="22" t="s">
        <v>162</v>
      </c>
      <c r="I36" s="22"/>
      <c r="J36" s="22"/>
      <c r="K36" s="22"/>
    </row>
    <row r="37" customFormat="false" ht="15.75" hidden="false" customHeight="true" outlineLevel="0" collapsed="false">
      <c r="A37" s="15"/>
      <c r="B37" s="22" t="n">
        <f aca="false">B32*A32</f>
        <v>0.03958333333</v>
      </c>
      <c r="C37" s="22"/>
      <c r="D37" s="22"/>
      <c r="E37" s="22"/>
      <c r="F37" s="22"/>
      <c r="G37" s="15"/>
      <c r="H37" s="22" t="n">
        <f aca="false">B37*B4</f>
        <v>0.03958333333</v>
      </c>
      <c r="I37" s="22"/>
      <c r="J37" s="22"/>
      <c r="K37" s="22"/>
    </row>
    <row r="38" customFormat="false" ht="15.75" hidden="false" customHeight="true" outlineLevel="0" collapsed="false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</row>
    <row r="39" customFormat="false" ht="15.75" hidden="false" customHeight="true" outlineLevel="0" collapsed="false">
      <c r="A39" s="15"/>
      <c r="B39" s="15" t="s">
        <v>164</v>
      </c>
      <c r="C39" s="15" t="s">
        <v>165</v>
      </c>
      <c r="D39" s="15" t="s">
        <v>166</v>
      </c>
      <c r="E39" s="15"/>
      <c r="F39" s="15"/>
      <c r="G39" s="15"/>
      <c r="H39" s="15"/>
      <c r="I39" s="15"/>
      <c r="J39" s="15"/>
      <c r="K39" s="15"/>
    </row>
    <row r="40" customFormat="false" ht="15.75" hidden="false" customHeight="true" outlineLevel="0" collapsed="false">
      <c r="A40" s="51" t="s">
        <v>167</v>
      </c>
      <c r="B40" s="15" t="n">
        <f aca="false">VRA!B10*VRA!B13</f>
        <v>98850</v>
      </c>
      <c r="C40" s="15" t="n">
        <f aca="false">VRA!B36*VRA!B39</f>
        <v>23480</v>
      </c>
      <c r="D40" s="15"/>
      <c r="E40" s="15"/>
      <c r="F40" s="15"/>
      <c r="G40" s="15"/>
      <c r="H40" s="15"/>
      <c r="I40" s="15"/>
      <c r="J40" s="15"/>
      <c r="K40" s="15"/>
      <c r="M40" s="66" t="s">
        <v>168</v>
      </c>
    </row>
    <row r="41" customFormat="false" ht="15.75" hidden="false" customHeight="true" outlineLevel="0" collapsed="false">
      <c r="A41" s="15" t="s">
        <v>169</v>
      </c>
      <c r="B41" s="63" t="n">
        <f aca="false">B40-(B40*A36)</f>
        <v>97861.5</v>
      </c>
      <c r="C41" s="71" t="n">
        <f aca="false">C40-(C40*A36)</f>
        <v>23245.2</v>
      </c>
      <c r="D41" s="15"/>
      <c r="E41" s="15"/>
      <c r="F41" s="15"/>
      <c r="G41" s="15"/>
      <c r="H41" s="63"/>
      <c r="I41" s="15"/>
      <c r="J41" s="15"/>
      <c r="K41" s="15"/>
      <c r="M41" s="72" t="n">
        <f aca="false">(B46+B47+C46+C47)</f>
        <v>3123.77</v>
      </c>
    </row>
    <row r="42" customFormat="false" ht="15.75" hidden="false" customHeight="true" outlineLevel="0" collapsed="false">
      <c r="A42" s="15"/>
      <c r="E42" s="15"/>
      <c r="F42" s="15"/>
      <c r="G42" s="15"/>
      <c r="H42" s="15"/>
      <c r="I42" s="15"/>
      <c r="J42" s="15"/>
      <c r="K42" s="15"/>
    </row>
    <row r="43" customFormat="false" ht="15.75" hidden="false" customHeight="true" outlineLevel="0" collapsed="false">
      <c r="A43" s="51" t="s">
        <v>170</v>
      </c>
      <c r="B43" s="63" t="n">
        <f aca="false">VRA!B10*VRA!B11</f>
        <v>31500</v>
      </c>
      <c r="C43" s="15" t="n">
        <f aca="false">VRA!B36*VRA!B37</f>
        <v>2200</v>
      </c>
      <c r="D43" s="15"/>
      <c r="E43" s="15"/>
      <c r="F43" s="15"/>
      <c r="G43" s="15"/>
      <c r="H43" s="15"/>
      <c r="I43" s="15"/>
      <c r="J43" s="15"/>
      <c r="K43" s="15"/>
    </row>
    <row r="44" customFormat="false" ht="15.75" hidden="false" customHeight="true" outlineLevel="0" collapsed="false">
      <c r="A44" s="51" t="s">
        <v>171</v>
      </c>
      <c r="B44" s="73" t="n">
        <f aca="false">B43+(B43*A34)</f>
        <v>31815</v>
      </c>
      <c r="C44" s="15" t="n">
        <f aca="false">C43+(C43*A36)</f>
        <v>2222</v>
      </c>
      <c r="D44" s="15"/>
      <c r="E44" s="15"/>
      <c r="F44" s="15"/>
      <c r="G44" s="15"/>
      <c r="H44" s="15"/>
      <c r="I44" s="15"/>
      <c r="J44" s="15"/>
      <c r="K44" s="15"/>
    </row>
    <row r="46" customFormat="false" ht="15.75" hidden="false" customHeight="true" outlineLevel="0" collapsed="false">
      <c r="A46" s="6" t="s">
        <v>172</v>
      </c>
      <c r="B46" s="8" t="n">
        <f aca="false">(B44-B43)*VRA!B12</f>
        <v>1628.55</v>
      </c>
      <c r="C46" s="8" t="n">
        <f aca="false">(C44-C43)*VRA!B38</f>
        <v>271.92</v>
      </c>
    </row>
    <row r="47" customFormat="false" ht="15.75" hidden="false" customHeight="true" outlineLevel="0" collapsed="false">
      <c r="A47" s="6" t="s">
        <v>173</v>
      </c>
      <c r="B47" s="8" t="n">
        <f aca="false">B40-B41</f>
        <v>988.5</v>
      </c>
      <c r="C47" s="8" t="n">
        <f aca="false">C40-C41</f>
        <v>234.799999999999</v>
      </c>
    </row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23">
    <mergeCell ref="A15:K15"/>
    <mergeCell ref="B16:K16"/>
    <mergeCell ref="B17:F17"/>
    <mergeCell ref="H17:K17"/>
    <mergeCell ref="M17:M20"/>
    <mergeCell ref="B24:K24"/>
    <mergeCell ref="B25:F25"/>
    <mergeCell ref="H25:K25"/>
    <mergeCell ref="M25:P25"/>
    <mergeCell ref="B29:K29"/>
    <mergeCell ref="B30:F30"/>
    <mergeCell ref="H30:K30"/>
    <mergeCell ref="B31:F31"/>
    <mergeCell ref="H31:K31"/>
    <mergeCell ref="B32:F32"/>
    <mergeCell ref="H32:K32"/>
    <mergeCell ref="B34:K34"/>
    <mergeCell ref="B35:F35"/>
    <mergeCell ref="H35:K35"/>
    <mergeCell ref="B36:F36"/>
    <mergeCell ref="H36:K36"/>
    <mergeCell ref="B37:F37"/>
    <mergeCell ref="H37:K3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sheetData>
    <row r="1" customFormat="false" ht="15.75" hidden="false" customHeight="true" outlineLevel="0" collapsed="false">
      <c r="A1" s="6" t="s">
        <v>174</v>
      </c>
      <c r="B1" s="6" t="s">
        <v>175</v>
      </c>
      <c r="C1" s="6" t="s">
        <v>176</v>
      </c>
      <c r="D1" s="6" t="s">
        <v>177</v>
      </c>
      <c r="E1" s="6" t="s">
        <v>13</v>
      </c>
    </row>
    <row r="2" customFormat="false" ht="15.75" hidden="false" customHeight="true" outlineLevel="0" collapsed="false">
      <c r="A2" s="6" t="s">
        <v>2</v>
      </c>
      <c r="B2" s="6" t="s">
        <v>104</v>
      </c>
      <c r="C2" s="6" t="s">
        <v>103</v>
      </c>
      <c r="D2" s="6" t="s">
        <v>105</v>
      </c>
      <c r="E2" s="6" t="s">
        <v>178</v>
      </c>
    </row>
    <row r="3" customFormat="false" ht="15.75" hidden="false" customHeight="true" outlineLevel="0" collapsed="false">
      <c r="A3" s="6" t="s">
        <v>110</v>
      </c>
      <c r="B3" s="6" t="s">
        <v>5</v>
      </c>
      <c r="C3" s="6" t="s">
        <v>34</v>
      </c>
      <c r="D3" s="6" t="s">
        <v>10</v>
      </c>
    </row>
    <row r="4" customFormat="false" ht="15.75" hidden="false" customHeight="true" outlineLevel="0" collapsed="false">
      <c r="B4" s="6" t="s">
        <v>116</v>
      </c>
      <c r="C4" s="6" t="s">
        <v>36</v>
      </c>
    </row>
    <row r="5" customFormat="false" ht="15.75" hidden="false" customHeight="true" outlineLevel="0" collapsed="false">
      <c r="B5" s="6" t="s">
        <v>118</v>
      </c>
    </row>
    <row r="6" customFormat="false" ht="15.75" hidden="false" customHeight="true" outlineLevel="0" collapsed="false">
      <c r="B6" s="6" t="s">
        <v>45</v>
      </c>
    </row>
    <row r="7" customFormat="false" ht="15.75" hidden="false" customHeight="true" outlineLevel="0" collapsed="false">
      <c r="B7" s="6" t="s">
        <v>119</v>
      </c>
    </row>
    <row r="8" customFormat="false" ht="15.75" hidden="false" customHeight="true" outlineLevel="0" collapsed="false">
      <c r="B8" s="6" t="s">
        <v>120</v>
      </c>
    </row>
    <row r="9" customFormat="false" ht="15.75" hidden="false" customHeight="true" outlineLevel="0" collapsed="false">
      <c r="B9" s="6" t="s">
        <v>121</v>
      </c>
    </row>
    <row r="10" customFormat="false" ht="15.75" hidden="false" customHeight="true" outlineLevel="0" collapsed="false">
      <c r="B10" s="6" t="s">
        <v>122</v>
      </c>
    </row>
    <row r="11" customFormat="false" ht="15.75" hidden="false" customHeight="true" outlineLevel="0" collapsed="false">
      <c r="B11" s="6" t="s">
        <v>123</v>
      </c>
    </row>
    <row r="12" customFormat="false" ht="15.75" hidden="false" customHeight="true" outlineLevel="0" collapsed="false">
      <c r="B12" s="6" t="s">
        <v>124</v>
      </c>
    </row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B1:B1000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49.29"/>
    <col collapsed="false" customWidth="true" hidden="false" outlineLevel="0" max="3" min="3" style="0" width="21.43"/>
    <col collapsed="false" customWidth="true" hidden="false" outlineLevel="0" max="5" min="5" style="0" width="37.14"/>
    <col collapsed="false" customWidth="true" hidden="false" outlineLevel="0" max="6" min="6" style="0" width="19.43"/>
  </cols>
  <sheetData>
    <row r="1" customFormat="false" ht="15.75" hidden="false" customHeight="true" outlineLevel="0" collapsed="false">
      <c r="A1" s="34" t="s">
        <v>1</v>
      </c>
      <c r="B1" s="74" t="s">
        <v>110</v>
      </c>
      <c r="C1" s="74"/>
      <c r="E1" s="5" t="s">
        <v>3</v>
      </c>
      <c r="F1" s="5"/>
      <c r="G1" s="5"/>
      <c r="H1" s="5"/>
      <c r="I1" s="18"/>
      <c r="J1" s="18"/>
      <c r="K1" s="18"/>
      <c r="L1" s="18"/>
      <c r="M1" s="18"/>
    </row>
    <row r="2" customFormat="false" ht="15.75" hidden="false" customHeight="true" outlineLevel="0" collapsed="false">
      <c r="A2" s="35" t="s">
        <v>4</v>
      </c>
      <c r="B2" s="74" t="s">
        <v>5</v>
      </c>
      <c r="C2" s="74"/>
      <c r="F2" s="6" t="s">
        <v>6</v>
      </c>
      <c r="G2" s="6" t="s">
        <v>7</v>
      </c>
      <c r="H2" s="6" t="s">
        <v>8</v>
      </c>
      <c r="I2" s="18"/>
      <c r="J2" s="75"/>
      <c r="K2" s="75"/>
      <c r="L2" s="75"/>
      <c r="M2" s="75"/>
    </row>
    <row r="3" customFormat="false" ht="15.75" hidden="false" customHeight="true" outlineLevel="0" collapsed="false">
      <c r="A3" s="35" t="s">
        <v>93</v>
      </c>
      <c r="B3" s="74" t="s">
        <v>103</v>
      </c>
      <c r="C3" s="74"/>
      <c r="F3" s="8"/>
      <c r="I3" s="18"/>
      <c r="J3" s="48"/>
      <c r="K3" s="48"/>
      <c r="L3" s="48"/>
      <c r="M3" s="48"/>
    </row>
    <row r="4" customFormat="false" ht="15.75" hidden="false" customHeight="true" outlineLevel="0" collapsed="false">
      <c r="A4" s="35" t="s">
        <v>95</v>
      </c>
      <c r="B4" s="74" t="s">
        <v>10</v>
      </c>
      <c r="C4" s="74"/>
      <c r="I4" s="18"/>
      <c r="J4" s="76"/>
      <c r="K4" s="77"/>
      <c r="L4" s="77"/>
      <c r="M4" s="77"/>
    </row>
    <row r="5" customFormat="false" ht="15.75" hidden="false" customHeight="true" outlineLevel="0" collapsed="false">
      <c r="A5" s="78" t="s">
        <v>179</v>
      </c>
      <c r="B5" s="23" t="s">
        <v>180</v>
      </c>
      <c r="C5" s="79" t="s">
        <v>181</v>
      </c>
      <c r="E5" s="6" t="s">
        <v>11</v>
      </c>
      <c r="F5" s="11" t="n">
        <f aca="false">($B$10*$B$14*$B$15*$B$16*$B$22)+($B$36*$B$40*$B$41*$B$42*$B$48)</f>
        <v>2268000</v>
      </c>
      <c r="G5" s="11" t="n">
        <f aca="false">($B$10*$B$14*$B$15*$B$16*$B$22)+($B$36*$B$40*$B$41*$B$42*$B$48)</f>
        <v>2268000</v>
      </c>
      <c r="H5" s="11" t="n">
        <f aca="false">($B$10*$B$14*$B$15*$B$16*$B$22)+($B$36*$B$40*$B$41*$B$42*$B$48)</f>
        <v>2268000</v>
      </c>
      <c r="J5" s="80"/>
      <c r="K5" s="81"/>
      <c r="L5" s="81"/>
      <c r="M5" s="81"/>
    </row>
    <row r="6" customFormat="false" ht="15.75" hidden="false" customHeight="true" outlineLevel="0" collapsed="false">
      <c r="B6" s="9" t="s">
        <v>182</v>
      </c>
      <c r="C6" s="82"/>
      <c r="E6" s="6" t="s">
        <v>14</v>
      </c>
      <c r="F6" s="11" t="n">
        <f aca="false">($B$10*$B$14*$B$15*$B$16*$B$22*(1-$B$17)+($B$36*$B$40*$B$41*$B$42*$B$48*(1-$B$43)))</f>
        <v>2082024</v>
      </c>
      <c r="G6" s="11" t="n">
        <f aca="false">($B$10*$B$14*$B$15*$B$16*$B$22*(1-$B$17-(1*B20))+($B$36*$B$40*$B$41*$B$42*$B$48*(1-$B$43-(1*B46))))</f>
        <v>2059344</v>
      </c>
      <c r="H6" s="83" t="n">
        <f aca="false">($B$10*$B$14*$B$15*$B$16*$B$22*(1-$B$17-(2*B20))+($B$36*$B$40*$B$41*$B$42*$B$48*(1-$B$43-(2*B46))))</f>
        <v>2036664</v>
      </c>
      <c r="J6" s="84"/>
      <c r="K6" s="85"/>
      <c r="L6" s="85"/>
      <c r="M6" s="86"/>
    </row>
    <row r="7" customFormat="false" ht="15.75" hidden="false" customHeight="true" outlineLevel="0" collapsed="false">
      <c r="B7" s="9"/>
      <c r="C7" s="82"/>
      <c r="J7" s="75"/>
      <c r="K7" s="75"/>
      <c r="L7" s="75"/>
      <c r="M7" s="75"/>
    </row>
    <row r="8" customFormat="false" ht="15.75" hidden="false" customHeight="true" outlineLevel="0" collapsed="false">
      <c r="B8" s="9"/>
      <c r="C8" s="82"/>
      <c r="E8" s="6" t="s">
        <v>17</v>
      </c>
      <c r="F8" s="8" t="n">
        <f aca="false">$B$10*$B$11*$B$12+$B$36*$B$37*$B$38</f>
        <v>190047</v>
      </c>
      <c r="G8" s="8" t="n">
        <f aca="false">$B$10*$B$11*$B$12+$B$36*$B$37*$B$38</f>
        <v>190047</v>
      </c>
      <c r="H8" s="8" t="n">
        <f aca="false">$B$10*$B$11*$B$12+$B$36*$B$37*$B$38</f>
        <v>190047</v>
      </c>
      <c r="J8" s="76"/>
      <c r="K8" s="87"/>
      <c r="L8" s="87"/>
      <c r="M8" s="87"/>
    </row>
    <row r="9" customFormat="false" ht="15.75" hidden="false" customHeight="true" outlineLevel="0" collapsed="false">
      <c r="B9" s="9"/>
      <c r="C9" s="82"/>
      <c r="E9" s="6" t="s">
        <v>19</v>
      </c>
      <c r="F9" s="11" t="n">
        <f aca="false">$B$10*$B$11*$B$12*(1+$B$19)+$B$36*$B$37*$B$38*(1+$B$45)</f>
        <v>195204.57</v>
      </c>
      <c r="G9" s="11" t="n">
        <f aca="false">$B$10*$B$11*$B$12*(1+$B$19)+$B$36*$B$37*$B$38*(1+$B$45)</f>
        <v>195204.57</v>
      </c>
      <c r="H9" s="11" t="n">
        <f aca="false">$B$10*$B$11*$B$12*(1+$B$19)+$B$36*$B$37*$B$38*(1+$B$45)</f>
        <v>195204.57</v>
      </c>
      <c r="J9" s="76"/>
      <c r="K9" s="77"/>
      <c r="L9" s="77"/>
      <c r="M9" s="88"/>
    </row>
    <row r="10" customFormat="false" ht="15.75" hidden="false" customHeight="true" outlineLevel="0" collapsed="false">
      <c r="A10" s="23" t="s">
        <v>15</v>
      </c>
      <c r="B10" s="89" t="n">
        <v>150</v>
      </c>
      <c r="C10" s="23" t="e">
        <f aca="false">ifs($B$1=lists!$A$2,"Hectare",$B$1=lists!$A$3,"Acre")</f>
        <v>#NAME?</v>
      </c>
      <c r="J10" s="84"/>
      <c r="K10" s="85"/>
      <c r="L10" s="85"/>
      <c r="M10" s="90"/>
    </row>
    <row r="11" customFormat="false" ht="15.75" hidden="false" customHeight="true" outlineLevel="0" collapsed="false">
      <c r="A11" s="23" t="s">
        <v>16</v>
      </c>
      <c r="B11" s="89" t="n">
        <v>210</v>
      </c>
      <c r="C11" s="23" t="e">
        <f aca="false">ifs($B$1=lists!$A$2,"Metric Tones/ha",$B$1=lists!$A$3,"bu/ac")</f>
        <v>#NAME?</v>
      </c>
      <c r="E11" s="6" t="s">
        <v>22</v>
      </c>
      <c r="F11" s="8" t="n">
        <f aca="false">$B$10*$B$13+$B$36*$B$39</f>
        <v>122330</v>
      </c>
      <c r="G11" s="8" t="n">
        <f aca="false">$B$10*$B$13+$B$36*$B$39</f>
        <v>122330</v>
      </c>
      <c r="H11" s="8" t="n">
        <f aca="false">$B$10*$B$13+$B$36*$B$39</f>
        <v>122330</v>
      </c>
      <c r="J11" s="84"/>
      <c r="K11" s="85"/>
      <c r="L11" s="85"/>
      <c r="M11" s="90"/>
    </row>
    <row r="12" customFormat="false" ht="15.75" hidden="false" customHeight="true" outlineLevel="0" collapsed="false">
      <c r="A12" s="23" t="s">
        <v>56</v>
      </c>
      <c r="B12" s="89" t="n">
        <v>5.17</v>
      </c>
      <c r="C12" s="23" t="e">
        <f aca="false">ifs(B1=lists!$A$2,"Price/Metric tone",B1=lists!$A$3,"Price/ac")</f>
        <v>#NAME?</v>
      </c>
      <c r="E12" s="6" t="s">
        <v>24</v>
      </c>
      <c r="F12" s="8" t="n">
        <f aca="false">F11-'Side Services Master'!$M$41-(F11*$B$18)-(F11*$B$44)</f>
        <v>119206.23</v>
      </c>
      <c r="G12" s="8" t="n">
        <f aca="false">G11-'Side Services Master'!$M$41-(G11*$B$18)-(G11*$B$44)</f>
        <v>119206.23</v>
      </c>
      <c r="H12" s="8" t="n">
        <f aca="false">H11-'Side Services Master'!$M$41-(H11*$B$18)-(H11*$B$44)</f>
        <v>119206.23</v>
      </c>
      <c r="J12" s="84"/>
      <c r="K12" s="85"/>
      <c r="L12" s="85"/>
      <c r="M12" s="90"/>
    </row>
    <row r="13" customFormat="false" ht="15.75" hidden="false" customHeight="true" outlineLevel="0" collapsed="false">
      <c r="A13" s="23" t="s">
        <v>58</v>
      </c>
      <c r="B13" s="89" t="n">
        <v>659</v>
      </c>
      <c r="C13" s="23" t="e">
        <f aca="false">ifs(B1=lists!$A$2,"Price/Metric tone",B1=lists!$A$3,"Price/ac")</f>
        <v>#NAME?</v>
      </c>
      <c r="J13" s="84"/>
      <c r="K13" s="85"/>
      <c r="L13" s="85"/>
      <c r="M13" s="90"/>
    </row>
    <row r="14" customFormat="false" ht="15.75" hidden="false" customHeight="true" outlineLevel="0" collapsed="false">
      <c r="A14" s="23" t="s">
        <v>59</v>
      </c>
      <c r="B14" s="89" t="n">
        <v>60</v>
      </c>
      <c r="C14" s="13" t="str">
        <f aca="false">IFERROR(DGET('Table '!$A$1:$G1024,'Table '!$E$1,'Table '!$N$1:$R$2),"Spreader not compatible with this operation")</f>
        <v>Spreader not compatible with this operation</v>
      </c>
      <c r="E14" s="6" t="s">
        <v>183</v>
      </c>
      <c r="F14" s="11" t="n">
        <f aca="false">(F9-F8)+(F5-F6)+(F11-F12)</f>
        <v>194257.34</v>
      </c>
      <c r="G14" s="11" t="n">
        <f aca="false">(G9-G8)+(G5-G6)+(G11-G12)</f>
        <v>216937.34</v>
      </c>
      <c r="H14" s="11" t="n">
        <f aca="false">(H9-H8)+(H5-H6)+(H11-H12)</f>
        <v>239617.34</v>
      </c>
      <c r="J14" s="84"/>
      <c r="K14" s="85"/>
      <c r="L14" s="85"/>
      <c r="M14" s="90"/>
    </row>
    <row r="15" customFormat="false" ht="15.75" hidden="false" customHeight="true" outlineLevel="0" collapsed="false">
      <c r="A15" s="23" t="s">
        <v>61</v>
      </c>
      <c r="B15" s="89" t="n">
        <v>252</v>
      </c>
      <c r="C15" s="13" t="str">
        <f aca="false">IFERROR(DGET('Table '!$A$1:$G1024,'Table '!$F$1,'Table '!$N$1:$R$2),"Spreader not compatible with this operation")</f>
        <v>Spreader not compatible with this operation</v>
      </c>
      <c r="E15" s="91" t="s">
        <v>184</v>
      </c>
      <c r="F15" s="92" t="n">
        <f aca="false">'Table '!$B$95+($B$10*$B$21*$B$22)+($B$36*$B$21*$B$48)</f>
        <v>12225</v>
      </c>
      <c r="G15" s="92" t="n">
        <f aca="false">($B$10*$B$21*$B$22)+($B$36*$B$21*$B$48)</f>
        <v>225</v>
      </c>
      <c r="H15" s="92" t="n">
        <f aca="false">($B$10*$B$21*$B$22)+($B$36*$B$21*$B$48)</f>
        <v>225</v>
      </c>
      <c r="J15" s="84"/>
      <c r="K15" s="85"/>
      <c r="L15" s="85"/>
      <c r="M15" s="90"/>
    </row>
    <row r="16" customFormat="false" ht="15.75" hidden="false" customHeight="true" outlineLevel="0" collapsed="false">
      <c r="A16" s="23" t="s">
        <v>63</v>
      </c>
      <c r="B16" s="30" t="n">
        <f aca="false">IFERROR(DGET('Table '!$A$1:$G1024,'Table '!$G$1,'Table '!$N$1:$R$2),"Spreader not compatible with this operation")</f>
        <v>1</v>
      </c>
      <c r="C16" s="13" t="str">
        <f aca="false">IFERROR(DGET('Table '!$A$1:$G1024,'Table '!$F$1,'Table '!$N$1:$R$2),"Spreader not compatible with this operation")</f>
        <v>Spreader not compatible with this operation</v>
      </c>
      <c r="E16" s="91"/>
      <c r="F16" s="93"/>
      <c r="G16" s="93"/>
      <c r="H16" s="93"/>
      <c r="J16" s="84"/>
      <c r="K16" s="85"/>
      <c r="L16" s="85"/>
      <c r="M16" s="15"/>
    </row>
    <row r="17" customFormat="false" ht="15.75" hidden="false" customHeight="true" outlineLevel="0" collapsed="false">
      <c r="A17" s="23" t="s">
        <v>64</v>
      </c>
      <c r="B17" s="30" t="n">
        <f aca="false">IFERROR(DGET('Table '!$A$1:$H1024,'Table '!$H$1,'Table '!$N$1:$R$2),"Spreader not compatible with this operation")</f>
        <v>0.082</v>
      </c>
      <c r="C17" s="13"/>
      <c r="E17" s="91"/>
      <c r="F17" s="93"/>
      <c r="G17" s="93"/>
      <c r="H17" s="93"/>
      <c r="J17" s="15"/>
      <c r="K17" s="15"/>
      <c r="L17" s="15"/>
      <c r="M17" s="15"/>
    </row>
    <row r="18" customFormat="false" ht="15.75" hidden="false" customHeight="true" outlineLevel="0" collapsed="false">
      <c r="A18" s="23" t="s">
        <v>66</v>
      </c>
      <c r="B18" s="30" t="n">
        <f aca="false">IFERROR(DGET('Table '!$A$1:$J1024,'Table '!$I$1,'Table '!$N$1:$R$2),"Spreader not compatible with this operation")</f>
        <v>0</v>
      </c>
      <c r="C18" s="23"/>
      <c r="E18" s="91"/>
      <c r="F18" s="93"/>
      <c r="G18" s="93"/>
      <c r="H18" s="93"/>
      <c r="J18" s="15"/>
      <c r="K18" s="15"/>
      <c r="L18" s="15"/>
      <c r="M18" s="15"/>
    </row>
    <row r="19" customFormat="false" ht="15.75" hidden="false" customHeight="true" outlineLevel="0" collapsed="false">
      <c r="A19" s="23" t="s">
        <v>68</v>
      </c>
      <c r="B19" s="30" t="n">
        <f aca="false">IFERROR(DGET('Table '!$A$1:$J1024,'Table '!$J$1,'Table '!$N$1:$R$2),"Spreader not compatible with this operation")</f>
        <v>0.03</v>
      </c>
      <c r="C19" s="23"/>
      <c r="E19" s="91"/>
      <c r="F19" s="93"/>
      <c r="G19" s="93"/>
      <c r="H19" s="93"/>
      <c r="J19" s="15"/>
      <c r="K19" s="15"/>
      <c r="L19" s="15"/>
      <c r="M19" s="15"/>
    </row>
    <row r="20" customFormat="false" ht="15.75" hidden="false" customHeight="true" outlineLevel="0" collapsed="false">
      <c r="A20" s="23" t="s">
        <v>69</v>
      </c>
      <c r="B20" s="30" t="n">
        <f aca="false">IFERROR(DGET('Table '!$A$1:$K1024,'Table '!$K$1,'Table '!$N$1:$R$2),"Spreader not compatible with this operation")</f>
        <v>0.01</v>
      </c>
      <c r="C20" s="23"/>
      <c r="E20" s="91"/>
      <c r="F20" s="93"/>
      <c r="G20" s="93"/>
      <c r="H20" s="93"/>
      <c r="J20" s="15"/>
      <c r="K20" s="15"/>
      <c r="L20" s="15"/>
      <c r="M20" s="15"/>
    </row>
    <row r="21" customFormat="false" ht="15.75" hidden="false" customHeight="true" outlineLevel="0" collapsed="false">
      <c r="A21" s="23" t="s">
        <v>70</v>
      </c>
      <c r="B21" s="30" t="n">
        <f aca="false">IFERROR(DGET('Table '!$A$1:$L1024,'Table '!$L$1,'Table '!$N$1:$R$2),"Spreader not compatible with this operation")</f>
        <v>1.5</v>
      </c>
      <c r="C21" s="23"/>
      <c r="E21" s="91"/>
      <c r="F21" s="93"/>
      <c r="G21" s="93"/>
      <c r="H21" s="93"/>
      <c r="J21" s="15"/>
      <c r="K21" s="15"/>
      <c r="L21" s="15"/>
      <c r="M21" s="15"/>
    </row>
    <row r="22" customFormat="false" ht="15.75" hidden="false" customHeight="true" outlineLevel="0" collapsed="false">
      <c r="A22" s="23" t="s">
        <v>40</v>
      </c>
      <c r="B22" s="89" t="n">
        <v>1</v>
      </c>
      <c r="C22" s="23" t="s">
        <v>33</v>
      </c>
      <c r="E22" s="91" t="s">
        <v>185</v>
      </c>
      <c r="F22" s="93" t="n">
        <f aca="false">F14-F15</f>
        <v>182032.34</v>
      </c>
      <c r="G22" s="93" t="n">
        <f aca="false">G14-G15</f>
        <v>216712.34</v>
      </c>
      <c r="H22" s="93" t="n">
        <f aca="false">H14-H15</f>
        <v>239392.34</v>
      </c>
      <c r="J22" s="15"/>
      <c r="K22" s="15"/>
      <c r="L22" s="15"/>
      <c r="M22" s="15"/>
    </row>
    <row r="23" customFormat="false" ht="15.75" hidden="false" customHeight="true" outlineLevel="0" collapsed="false">
      <c r="A23" s="23" t="s">
        <v>141</v>
      </c>
      <c r="B23" s="89" t="n">
        <v>600</v>
      </c>
      <c r="C23" s="23" t="e">
        <f aca="false">ifs($B$1=lists!$A$2,"ha/day",$B$1=lists!$A$3,"ac/day")</f>
        <v>#NAME?</v>
      </c>
      <c r="E23" s="6" t="e">
        <f aca="false">ifs($B$1=lists!$A$2,"Per hectare profit",$B$1=lists!$A$3,"Per acre profit")</f>
        <v>#NAME?</v>
      </c>
      <c r="F23" s="11" t="n">
        <f aca="false">F22/($B$10+$B$36)</f>
        <v>958.064947368421</v>
      </c>
      <c r="G23" s="11" t="n">
        <f aca="false">G22/($B$10+$B$36)</f>
        <v>1140.5912631579</v>
      </c>
      <c r="H23" s="11" t="n">
        <f aca="false">H22/($B$10+$B$36)</f>
        <v>1259.95968421053</v>
      </c>
      <c r="J23" s="80"/>
      <c r="K23" s="81"/>
      <c r="L23" s="81"/>
      <c r="M23" s="90"/>
    </row>
    <row r="24" customFormat="false" ht="15.75" hidden="false" customHeight="true" outlineLevel="0" collapsed="false">
      <c r="A24" s="23"/>
      <c r="E24" s="6"/>
      <c r="F24" s="94"/>
      <c r="G24" s="95"/>
      <c r="H24" s="95"/>
    </row>
    <row r="25" customFormat="false" ht="15.75" hidden="false" customHeight="true" outlineLevel="0" collapsed="false">
      <c r="E25" s="6"/>
      <c r="F25" s="94"/>
      <c r="G25" s="95"/>
      <c r="H25" s="95"/>
    </row>
    <row r="26" customFormat="false" ht="15.75" hidden="false" customHeight="true" outlineLevel="0" collapsed="false">
      <c r="E26" s="6" t="s">
        <v>186</v>
      </c>
      <c r="F26" s="94" t="n">
        <f aca="false">SUM(F22:H22)</f>
        <v>638137.02</v>
      </c>
      <c r="G26" s="95"/>
      <c r="H26" s="95"/>
    </row>
    <row r="27" customFormat="false" ht="15.75" hidden="false" customHeight="true" outlineLevel="0" collapsed="false">
      <c r="A27" s="35" t="s">
        <v>1</v>
      </c>
      <c r="B27" s="96" t="str">
        <f aca="false">B1</f>
        <v>Imperial (ac,bu/ac, units/ac lbs of lint etc)</v>
      </c>
      <c r="C27" s="96"/>
      <c r="E27" s="6" t="e">
        <f aca="false">ifs($B$1=lists!$A$2,"Average profit per hectare",$B$1=lists!$A$3,"Average profit per acre")</f>
        <v>#NAME?</v>
      </c>
      <c r="F27" s="8" t="n">
        <f aca="false">F26/3/(B10+B36)</f>
        <v>1119.538632</v>
      </c>
      <c r="G27" s="8"/>
      <c r="H27" s="8"/>
    </row>
    <row r="28" customFormat="false" ht="15.75" hidden="false" customHeight="true" outlineLevel="0" collapsed="false">
      <c r="A28" s="35" t="s">
        <v>4</v>
      </c>
      <c r="B28" s="97" t="s">
        <v>45</v>
      </c>
      <c r="C28" s="97"/>
    </row>
    <row r="29" customFormat="false" ht="15.75" hidden="false" customHeight="true" outlineLevel="0" collapsed="false">
      <c r="A29" s="35" t="s">
        <v>93</v>
      </c>
      <c r="B29" s="97" t="s">
        <v>34</v>
      </c>
      <c r="C29" s="97"/>
      <c r="J29" s="18"/>
      <c r="K29" s="18"/>
      <c r="L29" s="18"/>
      <c r="M29" s="18"/>
      <c r="N29" s="18"/>
      <c r="O29" s="18"/>
    </row>
    <row r="30" customFormat="false" ht="15.75" hidden="false" customHeight="true" outlineLevel="0" collapsed="false">
      <c r="A30" s="35" t="s">
        <v>95</v>
      </c>
      <c r="B30" s="97" t="s">
        <v>10</v>
      </c>
      <c r="C30" s="97"/>
      <c r="J30" s="98"/>
      <c r="K30" s="18"/>
      <c r="L30" s="18"/>
      <c r="M30" s="18"/>
      <c r="N30" s="18"/>
      <c r="O30" s="18"/>
    </row>
    <row r="31" customFormat="false" ht="15.75" hidden="false" customHeight="true" outlineLevel="0" collapsed="false">
      <c r="A31" s="23" t="s">
        <v>179</v>
      </c>
      <c r="B31" s="23" t="s">
        <v>180</v>
      </c>
      <c r="C31" s="79" t="s">
        <v>181</v>
      </c>
      <c r="E31" s="6" t="s">
        <v>187</v>
      </c>
      <c r="F31" s="8" t="n">
        <f aca="false">F8-(F5+F11)</f>
        <v>-2200283</v>
      </c>
      <c r="J31" s="18"/>
      <c r="K31" s="18"/>
      <c r="L31" s="18"/>
      <c r="M31" s="18"/>
      <c r="N31" s="18"/>
      <c r="O31" s="18"/>
    </row>
    <row r="32" customFormat="false" ht="15.75" hidden="false" customHeight="true" outlineLevel="0" collapsed="false">
      <c r="A32" s="23"/>
      <c r="B32" s="9" t="s">
        <v>182</v>
      </c>
      <c r="C32" s="82"/>
      <c r="E32" s="6" t="s">
        <v>188</v>
      </c>
      <c r="F32" s="11" t="n">
        <f aca="false">F9-(F6+F12+F15)</f>
        <v>-2018250.66</v>
      </c>
      <c r="J32" s="99"/>
      <c r="K32" s="100"/>
      <c r="L32" s="100"/>
      <c r="M32" s="100"/>
      <c r="N32" s="18"/>
      <c r="O32" s="18"/>
    </row>
    <row r="33" customFormat="false" ht="15.75" hidden="false" customHeight="true" outlineLevel="0" collapsed="false">
      <c r="A33" s="23"/>
      <c r="B33" s="9"/>
      <c r="C33" s="82"/>
      <c r="F33" s="11" t="n">
        <f aca="false">F32-F31</f>
        <v>182032.34</v>
      </c>
      <c r="J33" s="18"/>
      <c r="K33" s="100"/>
      <c r="L33" s="100"/>
      <c r="M33" s="100"/>
      <c r="N33" s="18"/>
      <c r="O33" s="18"/>
    </row>
    <row r="34" customFormat="false" ht="15.75" hidden="false" customHeight="true" outlineLevel="0" collapsed="false">
      <c r="A34" s="23"/>
      <c r="B34" s="9"/>
      <c r="C34" s="82"/>
      <c r="J34" s="101"/>
      <c r="K34" s="102"/>
      <c r="L34" s="102"/>
      <c r="M34" s="102"/>
      <c r="N34" s="102"/>
      <c r="O34" s="18"/>
    </row>
    <row r="35" customFormat="false" ht="15.75" hidden="false" customHeight="true" outlineLevel="0" collapsed="false">
      <c r="A35" s="23"/>
      <c r="B35" s="9"/>
      <c r="C35" s="82"/>
      <c r="J35" s="101"/>
      <c r="K35" s="103"/>
      <c r="L35" s="103"/>
      <c r="M35" s="103"/>
      <c r="N35" s="104"/>
      <c r="O35" s="18"/>
    </row>
    <row r="36" customFormat="false" ht="15.75" hidden="false" customHeight="true" outlineLevel="0" collapsed="false">
      <c r="A36" s="23" t="s">
        <v>15</v>
      </c>
      <c r="B36" s="89" t="n">
        <v>40</v>
      </c>
      <c r="C36" s="23" t="e">
        <f aca="false">ifs($B$27=lists!$A$2,"Hectare",$B$27=lists!$A$3,"Acre")</f>
        <v>#NAME?</v>
      </c>
      <c r="J36" s="101"/>
      <c r="K36" s="103"/>
      <c r="L36" s="102"/>
      <c r="M36" s="102"/>
      <c r="N36" s="104"/>
      <c r="O36" s="18"/>
    </row>
    <row r="37" customFormat="false" ht="15.75" hidden="false" customHeight="true" outlineLevel="0" collapsed="false">
      <c r="A37" s="23" t="s">
        <v>16</v>
      </c>
      <c r="B37" s="89" t="n">
        <v>55</v>
      </c>
      <c r="C37" s="23" t="e">
        <f aca="false">ifs($B$27=lists!$A$2,"Metric Tones/ha",$B$27=lists!$A$3,"bu/ac")</f>
        <v>#NAME?</v>
      </c>
      <c r="J37" s="101"/>
      <c r="K37" s="102"/>
      <c r="L37" s="103"/>
      <c r="M37" s="103"/>
      <c r="N37" s="104"/>
      <c r="O37" s="18"/>
    </row>
    <row r="38" customFormat="false" ht="15.75" hidden="false" customHeight="true" outlineLevel="0" collapsed="false">
      <c r="A38" s="23" t="s">
        <v>56</v>
      </c>
      <c r="B38" s="89" t="n">
        <v>12.36</v>
      </c>
      <c r="C38" s="23" t="e">
        <f aca="false">ifs(B27=lists!$A$2,"Price/Metric tone",B27=lists!$A$3,"Price/ac")</f>
        <v>#NAME?</v>
      </c>
      <c r="J38" s="101"/>
      <c r="K38" s="103"/>
      <c r="L38" s="102"/>
      <c r="M38" s="102"/>
      <c r="N38" s="104"/>
      <c r="O38" s="18"/>
    </row>
    <row r="39" customFormat="false" ht="15.75" hidden="false" customHeight="true" outlineLevel="0" collapsed="false">
      <c r="A39" s="23" t="s">
        <v>189</v>
      </c>
      <c r="B39" s="89" t="n">
        <v>587</v>
      </c>
      <c r="C39" s="23" t="e">
        <f aca="false">ifs(B27=lists!$A$2,"Price/Metric tone",B27=lists!$A$3,"Price/ac")</f>
        <v>#NAME?</v>
      </c>
      <c r="J39" s="101"/>
      <c r="K39" s="103"/>
      <c r="L39" s="103"/>
      <c r="M39" s="103"/>
      <c r="N39" s="104"/>
      <c r="O39" s="18"/>
    </row>
    <row r="40" customFormat="false" ht="15.75" hidden="false" customHeight="true" outlineLevel="0" collapsed="false">
      <c r="A40" s="23" t="s">
        <v>59</v>
      </c>
      <c r="B40" s="89" t="n">
        <v>0</v>
      </c>
      <c r="C40" s="13" t="str">
        <f aca="false">IFERROR(DGET('Table '!$A$1:$F1024,'Table '!$E$1,'Table '!N4:Q5),"Spreader not compatible with this operation")</f>
        <v>oz/ac</v>
      </c>
      <c r="J40" s="101"/>
      <c r="K40" s="102"/>
      <c r="L40" s="102"/>
      <c r="M40" s="102"/>
      <c r="N40" s="104"/>
      <c r="O40" s="18"/>
    </row>
    <row r="41" customFormat="false" ht="15.75" hidden="false" customHeight="true" outlineLevel="0" collapsed="false">
      <c r="A41" s="23" t="s">
        <v>61</v>
      </c>
      <c r="B41" s="89" t="n">
        <v>0</v>
      </c>
      <c r="C41" s="13" t="str">
        <f aca="false">IFERROR(DGET('Table '!$A$1:$F1024,'Table '!$F$1,'Table '!N4:Q5),"Spreader not compatible with this operation")</f>
        <v>$/gal</v>
      </c>
      <c r="J41" s="101"/>
      <c r="K41" s="103"/>
      <c r="L41" s="103"/>
      <c r="M41" s="103"/>
      <c r="N41" s="104"/>
      <c r="O41" s="18"/>
    </row>
    <row r="42" customFormat="false" ht="15.75" hidden="false" customHeight="true" outlineLevel="0" collapsed="false">
      <c r="A42" s="23" t="s">
        <v>63</v>
      </c>
      <c r="B42" s="30" t="n">
        <f aca="false">IFERROR(DGET('Table '!$A$1:$G1024,'Table '!$G$1,'Table '!N4:Q5),"Spreader not compatible with this operation")</f>
        <v>0.0078125</v>
      </c>
      <c r="C42" s="23"/>
      <c r="J42" s="101"/>
      <c r="K42" s="103"/>
      <c r="L42" s="102"/>
      <c r="M42" s="102"/>
      <c r="N42" s="104"/>
      <c r="O42" s="18"/>
    </row>
    <row r="43" customFormat="false" ht="15.75" hidden="false" customHeight="true" outlineLevel="0" collapsed="false">
      <c r="A43" s="23" t="s">
        <v>64</v>
      </c>
      <c r="B43" s="30" t="n">
        <f aca="false">IFERROR(DGET('Table '!$A$1:$H1024,'Table '!$H$1,'Table '!$N$4:$Q$5),"Spreader not compatible with this operation")</f>
        <v>0</v>
      </c>
      <c r="C43" s="23"/>
      <c r="J43" s="101"/>
      <c r="K43" s="102"/>
      <c r="L43" s="103"/>
      <c r="M43" s="103"/>
      <c r="N43" s="105"/>
      <c r="O43" s="18"/>
    </row>
    <row r="44" customFormat="false" ht="15.75" hidden="false" customHeight="true" outlineLevel="0" collapsed="false">
      <c r="A44" s="23" t="s">
        <v>66</v>
      </c>
      <c r="B44" s="30" t="n">
        <f aca="false">IFERROR(DGET('Table '!$A$1:$J1024,'Table '!$I$1,'Table '!$N$4:$R$5),"Spreader not compatible with this operation")</f>
        <v>0</v>
      </c>
      <c r="C44" s="23"/>
      <c r="J44" s="101"/>
      <c r="K44" s="102"/>
      <c r="L44" s="103"/>
      <c r="M44" s="103"/>
      <c r="N44" s="105"/>
      <c r="O44" s="18"/>
    </row>
    <row r="45" customFormat="false" ht="15.75" hidden="false" customHeight="true" outlineLevel="0" collapsed="false">
      <c r="A45" s="23" t="s">
        <v>68</v>
      </c>
      <c r="B45" s="30" t="n">
        <f aca="false">IFERROR(DGET('Table '!$A$1:$K1024,'Table '!$K$1,'Table '!$N$4:$R$5),"Spreader not compatible with this operation")</f>
        <v>0.01</v>
      </c>
      <c r="C45" s="23"/>
      <c r="J45" s="101"/>
      <c r="K45" s="102"/>
      <c r="L45" s="103"/>
      <c r="M45" s="103"/>
      <c r="N45" s="105"/>
      <c r="O45" s="18"/>
    </row>
    <row r="46" customFormat="false" ht="15.75" hidden="false" customHeight="true" outlineLevel="0" collapsed="false">
      <c r="A46" s="23" t="s">
        <v>69</v>
      </c>
      <c r="B46" s="30" t="n">
        <f aca="false">IFERROR(DGET('Table '!$A$1:$K1024,'Table '!$K$1,'Table '!$N$4:$R$5),"Spreader not compatible with this operation")</f>
        <v>0.01</v>
      </c>
      <c r="C46" s="23"/>
      <c r="J46" s="101"/>
      <c r="K46" s="102"/>
      <c r="L46" s="103"/>
      <c r="M46" s="103"/>
      <c r="N46" s="105"/>
      <c r="O46" s="18"/>
    </row>
    <row r="47" customFormat="false" ht="15.75" hidden="false" customHeight="true" outlineLevel="0" collapsed="false">
      <c r="A47" s="23" t="s">
        <v>70</v>
      </c>
      <c r="B47" s="30" t="n">
        <f aca="false">IFERROR(DGET('Table '!$A$1:$L1024,'Table '!$L$1,'Table '!$N$4:$R$5),"Spreader not compatible with this operation")</f>
        <v>1.5</v>
      </c>
      <c r="C47" s="23"/>
      <c r="J47" s="101"/>
      <c r="K47" s="102"/>
      <c r="L47" s="103"/>
      <c r="M47" s="103"/>
      <c r="N47" s="105"/>
      <c r="O47" s="18"/>
    </row>
    <row r="48" customFormat="false" ht="15.75" hidden="false" customHeight="true" outlineLevel="0" collapsed="false">
      <c r="A48" s="23" t="s">
        <v>40</v>
      </c>
      <c r="B48" s="89" t="n">
        <v>0</v>
      </c>
      <c r="C48" s="23" t="s">
        <v>33</v>
      </c>
      <c r="J48" s="101"/>
      <c r="K48" s="102"/>
      <c r="L48" s="103"/>
      <c r="M48" s="103"/>
      <c r="N48" s="105"/>
      <c r="O48" s="18"/>
    </row>
    <row r="49" customFormat="false" ht="15.75" hidden="false" customHeight="true" outlineLevel="0" collapsed="false">
      <c r="A49" s="23" t="s">
        <v>141</v>
      </c>
      <c r="B49" s="89" t="n">
        <v>600</v>
      </c>
      <c r="C49" s="23" t="e">
        <f aca="false">ifs($B$27=lists!$A$2,"ha/day",$B$27=lists!$A$3,"ac/day")</f>
        <v>#NAME?</v>
      </c>
      <c r="J49" s="18"/>
      <c r="K49" s="18"/>
      <c r="L49" s="18"/>
      <c r="M49" s="18"/>
      <c r="N49" s="18"/>
      <c r="O49" s="18"/>
    </row>
    <row r="50" customFormat="false" ht="15.75" hidden="false" customHeight="true" outlineLevel="0" collapsed="false">
      <c r="J50" s="18"/>
      <c r="K50" s="18"/>
      <c r="L50" s="18"/>
      <c r="M50" s="18"/>
      <c r="N50" s="18"/>
      <c r="O50" s="18"/>
    </row>
    <row r="51" customFormat="false" ht="15.75" hidden="false" customHeight="true" outlineLevel="0" collapsed="false">
      <c r="J51" s="18"/>
      <c r="K51" s="18"/>
      <c r="L51" s="18"/>
      <c r="M51" s="18"/>
      <c r="N51" s="18"/>
      <c r="O51" s="18"/>
    </row>
    <row r="52" customFormat="false" ht="15.75" hidden="false" customHeight="true" outlineLevel="0" collapsed="false">
      <c r="J52" s="18"/>
      <c r="K52" s="18"/>
      <c r="L52" s="18"/>
      <c r="M52" s="18"/>
      <c r="N52" s="18"/>
      <c r="O52" s="18"/>
    </row>
    <row r="53" customFormat="false" ht="15.75" hidden="false" customHeight="true" outlineLevel="0" collapsed="false">
      <c r="J53" s="18"/>
      <c r="K53" s="18"/>
      <c r="L53" s="18"/>
      <c r="M53" s="18"/>
      <c r="N53" s="18"/>
      <c r="O53" s="18"/>
    </row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</sheetData>
  <mergeCells count="13">
    <mergeCell ref="B1:C1"/>
    <mergeCell ref="E1:H1"/>
    <mergeCell ref="B2:C2"/>
    <mergeCell ref="J2:M2"/>
    <mergeCell ref="B3:C3"/>
    <mergeCell ref="B4:C4"/>
    <mergeCell ref="B6:B9"/>
    <mergeCell ref="J7:M7"/>
    <mergeCell ref="B27:C27"/>
    <mergeCell ref="B28:C28"/>
    <mergeCell ref="B29:C29"/>
    <mergeCell ref="B30:C30"/>
    <mergeCell ref="B32:B35"/>
  </mergeCells>
  <dataValidations count="4">
    <dataValidation allowBlank="true" operator="between" showDropDown="false" showErrorMessage="false" showInputMessage="false" sqref="B4 B30" type="list">
      <formula1>product</formula1>
      <formula2>0</formula2>
    </dataValidation>
    <dataValidation allowBlank="true" operator="between" showDropDown="false" showErrorMessage="false" showInputMessage="false" sqref="B2 B28" type="list">
      <formula1>Crops</formula1>
      <formula2>0</formula2>
    </dataValidation>
    <dataValidation allowBlank="true" operator="between" showDropDown="false" showErrorMessage="false" showInputMessage="false" sqref="B3 B29" type="list">
      <formula1>lists!$C$2:$C$90</formula1>
      <formula2>0</formula2>
    </dataValidation>
    <dataValidation allowBlank="true" operator="between" showDropDown="false" showErrorMessage="false" showInputMessage="false" sqref="B1" type="list">
      <formula1>Units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2021-10-16T20:32:47Z</dcterms:modified>
  <cp:revision>3</cp:revision>
  <dc:subject/>
  <dc:title/>
</cp:coreProperties>
</file>