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yeonjun/Desktop/학교/2-1/scm/팀플/"/>
    </mc:Choice>
  </mc:AlternateContent>
  <xr:revisionPtr revIDLastSave="0" documentId="13_ncr:1_{B1A57E99-4A02-D947-A049-3B720388F7DF}" xr6:coauthVersionLast="47" xr6:coauthVersionMax="47" xr10:uidLastSave="{00000000-0000-0000-0000-000000000000}"/>
  <bookViews>
    <workbookView xWindow="0" yWindow="500" windowWidth="38400" windowHeight="23500" xr2:uid="{94F1EBE5-CEFB-CA43-B97F-23256AF1FFA0}"/>
  </bookViews>
  <sheets>
    <sheet name="Sheet1" sheetId="1" r:id="rId1"/>
    <sheet name="Sheet2" sheetId="2" r:id="rId2"/>
  </sheets>
  <definedNames>
    <definedName name="solver_adj" localSheetId="0" hidden="1">Sheet1!$B$45:$F$67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Sheet1!$B$69:$F$69</definedName>
    <definedName name="solver_lhs2" localSheetId="0" hidden="1">Sheet1!$H$45:$H$67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Sheet1!$B$73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2</definedName>
    <definedName name="solver_rhs1" localSheetId="0" hidden="1">Sheet1!$B$70:$F$70</definedName>
    <definedName name="solver_rhs2" localSheetId="0" hidden="1">Sheet1!$I$45:$I$67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12" i="1"/>
  <c r="E36" i="1"/>
  <c r="D36" i="1"/>
  <c r="C36" i="1"/>
  <c r="B36" i="1"/>
  <c r="B73" i="2"/>
  <c r="F69" i="2"/>
  <c r="E69" i="2"/>
  <c r="D69" i="2"/>
  <c r="C69" i="2"/>
  <c r="B69" i="2"/>
  <c r="I67" i="2"/>
  <c r="H67" i="2"/>
  <c r="I66" i="2"/>
  <c r="H66" i="2"/>
  <c r="I65" i="2"/>
  <c r="H65" i="2"/>
  <c r="I64" i="2"/>
  <c r="H64" i="2"/>
  <c r="I63" i="2"/>
  <c r="H63" i="2"/>
  <c r="I62" i="2"/>
  <c r="H62" i="2"/>
  <c r="I61" i="2"/>
  <c r="H61" i="2"/>
  <c r="I60" i="2"/>
  <c r="H60" i="2"/>
  <c r="I59" i="2"/>
  <c r="H59" i="2"/>
  <c r="I58" i="2"/>
  <c r="H58" i="2"/>
  <c r="I57" i="2"/>
  <c r="H57" i="2"/>
  <c r="I56" i="2"/>
  <c r="H56" i="2"/>
  <c r="I55" i="2"/>
  <c r="H55" i="2"/>
  <c r="I54" i="2"/>
  <c r="H54" i="2"/>
  <c r="I53" i="2"/>
  <c r="H53" i="2"/>
  <c r="I52" i="2"/>
  <c r="H52" i="2"/>
  <c r="I51" i="2"/>
  <c r="H51" i="2"/>
  <c r="I50" i="2"/>
  <c r="H50" i="2"/>
  <c r="I49" i="2"/>
  <c r="H49" i="2"/>
  <c r="I48" i="2"/>
  <c r="H48" i="2"/>
  <c r="I47" i="2"/>
  <c r="H47" i="2"/>
  <c r="I46" i="2"/>
  <c r="H46" i="2"/>
  <c r="I45" i="2"/>
  <c r="I68" i="2" s="1"/>
  <c r="H45" i="2"/>
  <c r="H35" i="2"/>
  <c r="F70" i="2"/>
  <c r="E70" i="2"/>
  <c r="D70" i="2"/>
  <c r="C70" i="2"/>
  <c r="B70" i="2"/>
  <c r="F35" i="1"/>
  <c r="E35" i="1"/>
  <c r="D35" i="1"/>
  <c r="C35" i="1"/>
  <c r="B35" i="1"/>
  <c r="S36" i="1"/>
  <c r="R36" i="1"/>
  <c r="Q36" i="1"/>
  <c r="P36" i="1"/>
  <c r="O36" i="1"/>
  <c r="S35" i="1"/>
  <c r="R35" i="1"/>
  <c r="Q35" i="1"/>
  <c r="P35" i="1"/>
  <c r="O35" i="1"/>
  <c r="S34" i="1"/>
  <c r="R34" i="1"/>
  <c r="Q34" i="1"/>
  <c r="P34" i="1"/>
  <c r="O34" i="1"/>
  <c r="S33" i="1"/>
  <c r="R33" i="1"/>
  <c r="Q33" i="1"/>
  <c r="P33" i="1"/>
  <c r="O33" i="1"/>
  <c r="S32" i="1"/>
  <c r="R32" i="1"/>
  <c r="Q32" i="1"/>
  <c r="P32" i="1"/>
  <c r="O32" i="1"/>
  <c r="S31" i="1"/>
  <c r="R31" i="1"/>
  <c r="Q31" i="1"/>
  <c r="P31" i="1"/>
  <c r="O31" i="1"/>
  <c r="S30" i="1"/>
  <c r="R30" i="1"/>
  <c r="Q30" i="1"/>
  <c r="P30" i="1"/>
  <c r="O30" i="1"/>
  <c r="S29" i="1"/>
  <c r="R29" i="1"/>
  <c r="Q29" i="1"/>
  <c r="P29" i="1"/>
  <c r="O29" i="1"/>
  <c r="S28" i="1"/>
  <c r="R28" i="1"/>
  <c r="Q28" i="1"/>
  <c r="P28" i="1"/>
  <c r="O28" i="1"/>
  <c r="S27" i="1"/>
  <c r="R27" i="1"/>
  <c r="Q27" i="1"/>
  <c r="P27" i="1"/>
  <c r="O27" i="1"/>
  <c r="S26" i="1"/>
  <c r="R26" i="1"/>
  <c r="Q26" i="1"/>
  <c r="P26" i="1"/>
  <c r="O26" i="1"/>
  <c r="S25" i="1"/>
  <c r="R25" i="1"/>
  <c r="Q25" i="1"/>
  <c r="P25" i="1"/>
  <c r="O25" i="1"/>
  <c r="S24" i="1"/>
  <c r="R24" i="1"/>
  <c r="Q24" i="1"/>
  <c r="P24" i="1"/>
  <c r="O24" i="1"/>
  <c r="S23" i="1"/>
  <c r="R23" i="1"/>
  <c r="Q23" i="1"/>
  <c r="P23" i="1"/>
  <c r="O23" i="1"/>
  <c r="S22" i="1"/>
  <c r="R22" i="1"/>
  <c r="Q22" i="1"/>
  <c r="P22" i="1"/>
  <c r="O22" i="1"/>
  <c r="S21" i="1"/>
  <c r="R21" i="1"/>
  <c r="Q21" i="1"/>
  <c r="P21" i="1"/>
  <c r="O21" i="1"/>
  <c r="S20" i="1"/>
  <c r="R20" i="1"/>
  <c r="Q20" i="1"/>
  <c r="P20" i="1"/>
  <c r="O20" i="1"/>
  <c r="S19" i="1"/>
  <c r="R19" i="1"/>
  <c r="Q19" i="1"/>
  <c r="P19" i="1"/>
  <c r="O19" i="1"/>
  <c r="S18" i="1"/>
  <c r="R18" i="1"/>
  <c r="Q18" i="1"/>
  <c r="P18" i="1"/>
  <c r="O18" i="1"/>
  <c r="S17" i="1"/>
  <c r="R17" i="1"/>
  <c r="Q17" i="1"/>
  <c r="P17" i="1"/>
  <c r="O17" i="1"/>
  <c r="S16" i="1"/>
  <c r="R16" i="1"/>
  <c r="Q16" i="1"/>
  <c r="P16" i="1"/>
  <c r="O16" i="1"/>
  <c r="S15" i="1"/>
  <c r="R15" i="1"/>
  <c r="Q15" i="1"/>
  <c r="P15" i="1"/>
  <c r="O15" i="1"/>
  <c r="S14" i="1"/>
  <c r="R14" i="1"/>
  <c r="Q14" i="1"/>
  <c r="P14" i="1"/>
  <c r="O14" i="1"/>
  <c r="S13" i="1"/>
  <c r="R13" i="1"/>
  <c r="Q13" i="1"/>
  <c r="P13" i="1"/>
  <c r="O13" i="1"/>
  <c r="S12" i="1"/>
  <c r="R12" i="1"/>
  <c r="Q12" i="1"/>
  <c r="P12" i="1"/>
  <c r="O12" i="1"/>
  <c r="B73" i="1" l="1"/>
  <c r="B70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68" i="1" s="1"/>
  <c r="C70" i="1"/>
  <c r="C69" i="1"/>
  <c r="D69" i="1"/>
  <c r="E69" i="1"/>
  <c r="F69" i="1"/>
  <c r="B69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45" i="1"/>
  <c r="H35" i="1"/>
  <c r="F70" i="1" l="1"/>
  <c r="E70" i="1"/>
  <c r="D70" i="1"/>
</calcChain>
</file>

<file path=xl/sharedStrings.xml><?xml version="1.0" encoding="utf-8"?>
<sst xmlns="http://schemas.openxmlformats.org/spreadsheetml/2006/main" count="142" uniqueCount="47">
  <si>
    <t>서대문구</t>
  </si>
  <si>
    <t>강서구</t>
  </si>
  <si>
    <t>성북구</t>
  </si>
  <si>
    <t>강북구</t>
  </si>
  <si>
    <t>구로구</t>
  </si>
  <si>
    <t>마포구</t>
  </si>
  <si>
    <t>중구</t>
  </si>
  <si>
    <t>강남구</t>
  </si>
  <si>
    <t>강동구</t>
  </si>
  <si>
    <t>관악구</t>
  </si>
  <si>
    <t>광진구</t>
  </si>
  <si>
    <t>노원구</t>
  </si>
  <si>
    <t>도봉구</t>
  </si>
  <si>
    <t>동대문구</t>
  </si>
  <si>
    <t>동작구</t>
  </si>
  <si>
    <t>성동구</t>
  </si>
  <si>
    <t>양천구</t>
  </si>
  <si>
    <t>영등포구</t>
  </si>
  <si>
    <t>용산구</t>
  </si>
  <si>
    <t>은평구</t>
  </si>
  <si>
    <t>중랑구</t>
  </si>
  <si>
    <t>종로구</t>
  </si>
  <si>
    <t>서초구</t>
  </si>
  <si>
    <t>Supply Region</t>
    <phoneticPr fontId="1" type="noConversion"/>
  </si>
  <si>
    <t>곤지암</t>
    <phoneticPr fontId="1" type="noConversion"/>
  </si>
  <si>
    <t>용인</t>
    <phoneticPr fontId="1" type="noConversion"/>
  </si>
  <si>
    <t>옥천</t>
    <phoneticPr fontId="1" type="noConversion"/>
  </si>
  <si>
    <t>군포</t>
    <phoneticPr fontId="1" type="noConversion"/>
  </si>
  <si>
    <t>청원</t>
    <phoneticPr fontId="1" type="noConversion"/>
  </si>
  <si>
    <t>Demand Region</t>
    <phoneticPr fontId="1" type="noConversion"/>
  </si>
  <si>
    <t>New</t>
    <phoneticPr fontId="1" type="noConversion"/>
  </si>
  <si>
    <t>Demand</t>
    <phoneticPr fontId="1" type="noConversion"/>
  </si>
  <si>
    <t>총 물동량에 대한 각 구별 물동량 비율</t>
    <phoneticPr fontId="1" type="noConversion"/>
  </si>
  <si>
    <t>Capacity(monthly)</t>
    <phoneticPr fontId="1" type="noConversion"/>
  </si>
  <si>
    <t>fixed cost(monthly)</t>
    <phoneticPr fontId="1" type="noConversion"/>
  </si>
  <si>
    <t>fixed cost = monthly 판관비 * 면적비율</t>
    <phoneticPr fontId="1" type="noConversion"/>
  </si>
  <si>
    <t>supply - &gt; demand = 각 메인 허브 capacity * 각 구 demand 비율</t>
    <phoneticPr fontId="1" type="noConversion"/>
  </si>
  <si>
    <t>capacity Y</t>
    <phoneticPr fontId="1" type="noConversion"/>
  </si>
  <si>
    <t>sum of production at each location</t>
    <phoneticPr fontId="1" type="noConversion"/>
  </si>
  <si>
    <t>min total cost</t>
    <phoneticPr fontId="1" type="noConversion"/>
  </si>
  <si>
    <t>sum shipped to</t>
    <phoneticPr fontId="1" type="noConversion"/>
  </si>
  <si>
    <t>must equal demand</t>
    <phoneticPr fontId="1" type="noConversion"/>
  </si>
  <si>
    <t>capacity monthly = 1분기 매출/3/택배 1개 단가 * 면적비율*수도권비율(0.6)</t>
    <phoneticPr fontId="1" type="noConversion"/>
  </si>
  <si>
    <t>Capacity(monthly 1000units)</t>
    <phoneticPr fontId="1" type="noConversion"/>
  </si>
  <si>
    <t>fixed cost(monthly 1000units)</t>
    <phoneticPr fontId="1" type="noConversion"/>
  </si>
  <si>
    <t>Demand(monthly 1000units</t>
    <phoneticPr fontId="1" type="noConversion"/>
  </si>
  <si>
    <t>production and transportation cost per 1000units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</si>
</sst>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1"/>
      <color theme="1"/>
      <name val="Calibr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7258-893C-204B-8805-B5697E937C0F}">
  <dimension ref="A1:W73"/>
  <sheetViews>
    <sheetView tabSelected="1" topLeftCell="A3" workbookViewId="0">
      <selection activeCell="A36" sqref="A36"/>
    </sheetView>
  </sheetViews>
  <sheetFormatPr baseColWidth="10" defaultRowHeight="18"/>
  <cols>
    <col min="1" max="1" width="15.140625" customWidth="1"/>
    <col min="2" max="6" width="12.7109375" bestFit="1" customWidth="1"/>
    <col min="11" max="11" width="29.28515625" customWidth="1"/>
  </cols>
  <sheetData>
    <row r="1" spans="1:23">
      <c r="A1" s="1"/>
    </row>
    <row r="6" spans="1:23">
      <c r="K6" t="s">
        <v>32</v>
      </c>
    </row>
    <row r="7" spans="1:23">
      <c r="B7" s="5" t="s">
        <v>46</v>
      </c>
      <c r="C7" s="5"/>
      <c r="D7" s="5"/>
      <c r="E7" s="5"/>
      <c r="F7" s="5"/>
      <c r="G7" s="5"/>
    </row>
    <row r="8" spans="1:23">
      <c r="B8" s="5"/>
      <c r="C8" s="5"/>
      <c r="D8" s="5"/>
      <c r="E8" s="5"/>
      <c r="F8" s="5"/>
      <c r="G8" s="5"/>
    </row>
    <row r="9" spans="1:23">
      <c r="B9" s="5" t="s">
        <v>23</v>
      </c>
      <c r="C9" s="5"/>
      <c r="D9" s="5"/>
      <c r="E9" s="5"/>
      <c r="F9" s="5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B10" s="5"/>
      <c r="C10" s="5"/>
      <c r="D10" s="5"/>
      <c r="E10" s="5"/>
      <c r="F10" s="5"/>
      <c r="G10" s="5"/>
      <c r="H10" s="2"/>
      <c r="I10" s="2"/>
      <c r="J10" s="2"/>
      <c r="K10" s="2"/>
      <c r="L10" s="2"/>
      <c r="M10" s="2"/>
      <c r="R10" s="2"/>
      <c r="S10" s="2"/>
      <c r="T10" s="2"/>
      <c r="U10" s="2"/>
      <c r="V10" s="2"/>
      <c r="W10" s="2"/>
    </row>
    <row r="11" spans="1:23">
      <c r="A11" t="s">
        <v>29</v>
      </c>
      <c r="B11" t="s">
        <v>24</v>
      </c>
      <c r="C11" t="s">
        <v>25</v>
      </c>
      <c r="D11" t="s">
        <v>27</v>
      </c>
      <c r="E11" t="s">
        <v>26</v>
      </c>
      <c r="F11" t="s">
        <v>28</v>
      </c>
      <c r="G11" t="s">
        <v>30</v>
      </c>
      <c r="H11" t="s">
        <v>45</v>
      </c>
    </row>
    <row r="12" spans="1:23">
      <c r="A12" s="3" t="s">
        <v>7</v>
      </c>
      <c r="B12">
        <f>H12/27163459*0.6*213213</f>
        <v>10976.262780399213</v>
      </c>
      <c r="C12">
        <f>H12/27163459*0.6*123721</f>
        <v>6369.1904689384373</v>
      </c>
      <c r="D12">
        <f>H12/27163459*0.6*234433</f>
        <v>12068.674107101015</v>
      </c>
      <c r="E12">
        <f>H12/27163459*0.6*184332</f>
        <v>9489.4611062015338</v>
      </c>
      <c r="F12">
        <f>H12/27163459*0.6*203522</f>
        <v>10477.367485061459</v>
      </c>
      <c r="H12" s="4">
        <v>2330637</v>
      </c>
      <c r="O12">
        <f>U12/27163459*169217668*0.6</f>
        <v>0</v>
      </c>
      <c r="P12">
        <f>U12/27163459*32437049.1*0.6</f>
        <v>0</v>
      </c>
      <c r="Q12">
        <f>U12/27163459*73576721.2*0.6</f>
        <v>0</v>
      </c>
      <c r="R12">
        <f>U12/27163459*146010674*0.6</f>
        <v>0</v>
      </c>
      <c r="S12">
        <f>U12/27163459*18196393.4*0.6</f>
        <v>0</v>
      </c>
    </row>
    <row r="13" spans="1:23">
      <c r="A13" s="3" t="s">
        <v>8</v>
      </c>
      <c r="B13">
        <f t="shared" ref="B13:B34" si="0">H13/27163459*0.6*213213</f>
        <v>5872.1037516687402</v>
      </c>
      <c r="C13">
        <f t="shared" ref="C13:C34" si="1">H13/27163459*0.6*123721</f>
        <v>3407.4026830456314</v>
      </c>
      <c r="D13">
        <f t="shared" ref="D13:D34" si="2">H13/27163459*0.6*234433</f>
        <v>6456.5242213887414</v>
      </c>
      <c r="E13">
        <f t="shared" ref="E13:E34" si="3">H13/27163459*0.6*184332</f>
        <v>5076.6915185875259</v>
      </c>
      <c r="F13">
        <f t="shared" ref="F13:F34" si="4">H13/27163459*0.6*203522</f>
        <v>5605.2037152853027</v>
      </c>
      <c r="H13" s="4">
        <v>1246849</v>
      </c>
      <c r="O13">
        <f t="shared" ref="O13:O34" si="5">U13/27163459*169217668*0.6</f>
        <v>0</v>
      </c>
      <c r="P13">
        <f t="shared" ref="P13:P34" si="6">U13/27163459*32437049.1*0.6</f>
        <v>0</v>
      </c>
      <c r="Q13">
        <f t="shared" ref="Q13:Q34" si="7">U13/27163459*73576721.2*0.6</f>
        <v>0</v>
      </c>
      <c r="R13">
        <f t="shared" ref="R13:R34" si="8">U13/27163459*146010674*0.6</f>
        <v>0</v>
      </c>
      <c r="S13">
        <f t="shared" ref="S13:S34" si="9">U13/27163459*18196393.4*0.6</f>
        <v>0</v>
      </c>
    </row>
    <row r="14" spans="1:23">
      <c r="A14" s="3" t="s">
        <v>9</v>
      </c>
      <c r="B14">
        <f t="shared" si="0"/>
        <v>6756.4121557714725</v>
      </c>
      <c r="C14">
        <f t="shared" si="1"/>
        <v>3920.5398747928239</v>
      </c>
      <c r="D14">
        <f t="shared" si="2"/>
        <v>7428.8433205947749</v>
      </c>
      <c r="E14">
        <f t="shared" si="3"/>
        <v>5841.2149610843016</v>
      </c>
      <c r="F14">
        <f t="shared" si="4"/>
        <v>6449.3183566054686</v>
      </c>
      <c r="H14" s="4">
        <v>1434618</v>
      </c>
      <c r="O14">
        <f t="shared" si="5"/>
        <v>0</v>
      </c>
      <c r="P14">
        <f t="shared" si="6"/>
        <v>0</v>
      </c>
      <c r="Q14">
        <f t="shared" si="7"/>
        <v>0</v>
      </c>
      <c r="R14">
        <f t="shared" si="8"/>
        <v>0</v>
      </c>
      <c r="S14">
        <f t="shared" si="9"/>
        <v>0</v>
      </c>
    </row>
    <row r="15" spans="1:23">
      <c r="A15" s="3" t="s">
        <v>10</v>
      </c>
      <c r="B15">
        <f t="shared" si="0"/>
        <v>4987.3432303006775</v>
      </c>
      <c r="C15">
        <f t="shared" si="1"/>
        <v>2894.00314144086</v>
      </c>
      <c r="D15">
        <f t="shared" si="2"/>
        <v>5483.7080079970674</v>
      </c>
      <c r="E15">
        <f t="shared" si="3"/>
        <v>4311.7772008638522</v>
      </c>
      <c r="F15">
        <f t="shared" si="4"/>
        <v>4760.657506424348</v>
      </c>
      <c r="H15" s="4">
        <v>1058984</v>
      </c>
      <c r="O15">
        <f t="shared" si="5"/>
        <v>0</v>
      </c>
      <c r="P15">
        <f t="shared" si="6"/>
        <v>0</v>
      </c>
      <c r="Q15">
        <f t="shared" si="7"/>
        <v>0</v>
      </c>
      <c r="R15">
        <f t="shared" si="8"/>
        <v>0</v>
      </c>
      <c r="S15">
        <f t="shared" si="9"/>
        <v>0</v>
      </c>
    </row>
    <row r="16" spans="1:23">
      <c r="A16" s="3" t="s">
        <v>11</v>
      </c>
      <c r="B16">
        <f t="shared" si="0"/>
        <v>6167.9391489500649</v>
      </c>
      <c r="C16">
        <f t="shared" si="1"/>
        <v>3579.0669398547511</v>
      </c>
      <c r="D16">
        <f t="shared" si="2"/>
        <v>6781.8026035270395</v>
      </c>
      <c r="E16">
        <f t="shared" si="3"/>
        <v>5332.4542087220925</v>
      </c>
      <c r="F16">
        <f t="shared" si="4"/>
        <v>5887.5927428093746</v>
      </c>
      <c r="H16" s="4">
        <v>1309665</v>
      </c>
      <c r="O16">
        <f t="shared" si="5"/>
        <v>0</v>
      </c>
      <c r="P16">
        <f t="shared" si="6"/>
        <v>0</v>
      </c>
      <c r="Q16">
        <f t="shared" si="7"/>
        <v>0</v>
      </c>
      <c r="R16">
        <f t="shared" si="8"/>
        <v>0</v>
      </c>
      <c r="S16">
        <f t="shared" si="9"/>
        <v>0</v>
      </c>
    </row>
    <row r="17" spans="1:19">
      <c r="A17" s="3" t="s">
        <v>12</v>
      </c>
      <c r="B17">
        <f t="shared" si="0"/>
        <v>3679.1183752923366</v>
      </c>
      <c r="C17">
        <f t="shared" si="1"/>
        <v>2134.8801644812615</v>
      </c>
      <c r="D17">
        <f t="shared" si="2"/>
        <v>4045.2822204786216</v>
      </c>
      <c r="E17">
        <f t="shared" si="3"/>
        <v>3180.7593737454422</v>
      </c>
      <c r="F17">
        <f t="shared" si="4"/>
        <v>3511.8943496702682</v>
      </c>
      <c r="H17" s="4">
        <v>781203</v>
      </c>
      <c r="O17">
        <f t="shared" si="5"/>
        <v>0</v>
      </c>
      <c r="P17">
        <f t="shared" si="6"/>
        <v>0</v>
      </c>
      <c r="Q17">
        <f t="shared" si="7"/>
        <v>0</v>
      </c>
      <c r="R17">
        <f t="shared" si="8"/>
        <v>0</v>
      </c>
      <c r="S17">
        <f t="shared" si="9"/>
        <v>0</v>
      </c>
    </row>
    <row r="18" spans="1:19">
      <c r="A18" s="3" t="s">
        <v>13</v>
      </c>
      <c r="B18">
        <f t="shared" si="0"/>
        <v>4695.8735903627003</v>
      </c>
      <c r="C18">
        <f t="shared" si="1"/>
        <v>2724.872200443986</v>
      </c>
      <c r="D18">
        <f t="shared" si="2"/>
        <v>5163.2298847138718</v>
      </c>
      <c r="E18">
        <f t="shared" si="3"/>
        <v>4059.7888996390334</v>
      </c>
      <c r="F18">
        <f t="shared" si="4"/>
        <v>4482.4358029660361</v>
      </c>
      <c r="H18" s="4">
        <v>997095</v>
      </c>
      <c r="O18">
        <f t="shared" si="5"/>
        <v>0</v>
      </c>
      <c r="P18">
        <f t="shared" si="6"/>
        <v>0</v>
      </c>
      <c r="Q18">
        <f t="shared" si="7"/>
        <v>0</v>
      </c>
      <c r="R18">
        <f t="shared" si="8"/>
        <v>0</v>
      </c>
      <c r="S18">
        <f t="shared" si="9"/>
        <v>0</v>
      </c>
    </row>
    <row r="19" spans="1:19">
      <c r="A19" s="3" t="s">
        <v>14</v>
      </c>
      <c r="B19">
        <f t="shared" si="0"/>
        <v>5255.4723164159614</v>
      </c>
      <c r="C19">
        <f t="shared" si="1"/>
        <v>3049.5902710402233</v>
      </c>
      <c r="D19">
        <f t="shared" si="2"/>
        <v>5778.5226114465022</v>
      </c>
      <c r="E19">
        <f t="shared" si="3"/>
        <v>4543.5865684999835</v>
      </c>
      <c r="F19">
        <f t="shared" si="4"/>
        <v>5016.5995355893365</v>
      </c>
      <c r="H19" s="4">
        <v>1115917</v>
      </c>
      <c r="O19">
        <f t="shared" si="5"/>
        <v>0</v>
      </c>
      <c r="P19">
        <f t="shared" si="6"/>
        <v>0</v>
      </c>
      <c r="Q19">
        <f t="shared" si="7"/>
        <v>0</v>
      </c>
      <c r="R19">
        <f t="shared" si="8"/>
        <v>0</v>
      </c>
      <c r="S19">
        <f t="shared" si="9"/>
        <v>0</v>
      </c>
    </row>
    <row r="20" spans="1:19">
      <c r="A20" s="3" t="s">
        <v>15</v>
      </c>
      <c r="B20">
        <f t="shared" si="0"/>
        <v>5120.4823458308456</v>
      </c>
      <c r="C20">
        <f t="shared" si="1"/>
        <v>2971.2597088758098</v>
      </c>
      <c r="D20">
        <f t="shared" si="2"/>
        <v>5630.0977791230489</v>
      </c>
      <c r="E20">
        <f t="shared" si="3"/>
        <v>4426.8818119518573</v>
      </c>
      <c r="F20">
        <f t="shared" si="4"/>
        <v>4887.7451561967864</v>
      </c>
      <c r="H20" s="4">
        <v>1087254</v>
      </c>
      <c r="O20">
        <f t="shared" si="5"/>
        <v>0</v>
      </c>
      <c r="P20">
        <f t="shared" si="6"/>
        <v>0</v>
      </c>
      <c r="Q20">
        <f t="shared" si="7"/>
        <v>0</v>
      </c>
      <c r="R20">
        <f t="shared" si="8"/>
        <v>0</v>
      </c>
      <c r="S20">
        <f t="shared" si="9"/>
        <v>0</v>
      </c>
    </row>
    <row r="21" spans="1:19">
      <c r="A21" s="3" t="s">
        <v>16</v>
      </c>
      <c r="B21">
        <f t="shared" si="0"/>
        <v>5548.0487017430296</v>
      </c>
      <c r="C21">
        <f t="shared" si="1"/>
        <v>3219.3634226259624</v>
      </c>
      <c r="D21">
        <f t="shared" si="2"/>
        <v>6100.2176288299661</v>
      </c>
      <c r="E21">
        <f t="shared" si="3"/>
        <v>4796.5316997073169</v>
      </c>
      <c r="F21">
        <f t="shared" si="4"/>
        <v>5295.8776804235431</v>
      </c>
      <c r="H21" s="4">
        <v>1178041</v>
      </c>
      <c r="O21">
        <f t="shared" si="5"/>
        <v>0</v>
      </c>
      <c r="P21">
        <f t="shared" si="6"/>
        <v>0</v>
      </c>
      <c r="Q21">
        <f t="shared" si="7"/>
        <v>0</v>
      </c>
      <c r="R21">
        <f t="shared" si="8"/>
        <v>0</v>
      </c>
      <c r="S21">
        <f t="shared" si="9"/>
        <v>0</v>
      </c>
    </row>
    <row r="22" spans="1:19">
      <c r="A22" s="3" t="s">
        <v>17</v>
      </c>
      <c r="B22">
        <f t="shared" si="0"/>
        <v>6236.9953516744681</v>
      </c>
      <c r="C22">
        <f t="shared" si="1"/>
        <v>3619.1381477889099</v>
      </c>
      <c r="D22">
        <f t="shared" si="2"/>
        <v>6857.7316171110606</v>
      </c>
      <c r="E22">
        <f t="shared" si="3"/>
        <v>5392.1563280140426</v>
      </c>
      <c r="F22">
        <f t="shared" si="4"/>
        <v>5953.5101891699433</v>
      </c>
      <c r="H22" s="4">
        <v>1324328</v>
      </c>
      <c r="O22">
        <f t="shared" si="5"/>
        <v>0</v>
      </c>
      <c r="P22">
        <f t="shared" si="6"/>
        <v>0</v>
      </c>
      <c r="Q22">
        <f t="shared" si="7"/>
        <v>0</v>
      </c>
      <c r="R22">
        <f t="shared" si="8"/>
        <v>0</v>
      </c>
      <c r="S22">
        <f t="shared" si="9"/>
        <v>0</v>
      </c>
    </row>
    <row r="23" spans="1:19">
      <c r="A23" s="3" t="s">
        <v>18</v>
      </c>
      <c r="B23">
        <f t="shared" si="0"/>
        <v>4131.3439603844263</v>
      </c>
      <c r="C23">
        <f t="shared" si="1"/>
        <v>2397.292876713529</v>
      </c>
      <c r="D23">
        <f t="shared" si="2"/>
        <v>4542.5155063940856</v>
      </c>
      <c r="E23">
        <f t="shared" si="3"/>
        <v>3571.7282478347101</v>
      </c>
      <c r="F23">
        <f t="shared" si="4"/>
        <v>3943.565286850986</v>
      </c>
      <c r="H23" s="4">
        <v>877226</v>
      </c>
      <c r="O23">
        <f t="shared" si="5"/>
        <v>0</v>
      </c>
      <c r="P23">
        <f t="shared" si="6"/>
        <v>0</v>
      </c>
      <c r="Q23">
        <f t="shared" si="7"/>
        <v>0</v>
      </c>
      <c r="R23">
        <f t="shared" si="8"/>
        <v>0</v>
      </c>
      <c r="S23">
        <f t="shared" si="9"/>
        <v>0</v>
      </c>
    </row>
    <row r="24" spans="1:19">
      <c r="A24" s="3" t="s">
        <v>19</v>
      </c>
      <c r="B24">
        <f t="shared" si="0"/>
        <v>5756.0461915693431</v>
      </c>
      <c r="C24">
        <f t="shared" si="1"/>
        <v>3340.0580211673337</v>
      </c>
      <c r="D24">
        <f t="shared" si="2"/>
        <v>6328.9160455890396</v>
      </c>
      <c r="E24">
        <f t="shared" si="3"/>
        <v>4976.3546621658161</v>
      </c>
      <c r="F24">
        <f t="shared" si="4"/>
        <v>5494.421226663364</v>
      </c>
      <c r="H24" s="4">
        <v>1222206</v>
      </c>
      <c r="O24">
        <f t="shared" si="5"/>
        <v>0</v>
      </c>
      <c r="P24">
        <f t="shared" si="6"/>
        <v>0</v>
      </c>
      <c r="Q24">
        <f t="shared" si="7"/>
        <v>0</v>
      </c>
      <c r="R24">
        <f t="shared" si="8"/>
        <v>0</v>
      </c>
      <c r="S24">
        <f t="shared" si="9"/>
        <v>0</v>
      </c>
    </row>
    <row r="25" spans="1:19">
      <c r="A25" s="3" t="s">
        <v>20</v>
      </c>
      <c r="B25">
        <f t="shared" si="0"/>
        <v>4523.7393606977676</v>
      </c>
      <c r="C25">
        <f t="shared" si="1"/>
        <v>2624.9879577928573</v>
      </c>
      <c r="D25">
        <f t="shared" si="2"/>
        <v>4973.9640150762834</v>
      </c>
      <c r="E25">
        <f t="shared" si="3"/>
        <v>3910.9713002309468</v>
      </c>
      <c r="F25">
        <f t="shared" si="4"/>
        <v>4318.1254528003965</v>
      </c>
      <c r="H25" s="4">
        <v>960545</v>
      </c>
      <c r="O25">
        <f t="shared" si="5"/>
        <v>0</v>
      </c>
      <c r="P25">
        <f t="shared" si="6"/>
        <v>0</v>
      </c>
      <c r="Q25">
        <f t="shared" si="7"/>
        <v>0</v>
      </c>
      <c r="R25">
        <f t="shared" si="8"/>
        <v>0</v>
      </c>
      <c r="S25">
        <f t="shared" si="9"/>
        <v>0</v>
      </c>
    </row>
    <row r="26" spans="1:19">
      <c r="A26" s="3" t="s">
        <v>21</v>
      </c>
      <c r="B26">
        <f t="shared" si="0"/>
        <v>2779.4191459489748</v>
      </c>
      <c r="C26">
        <f t="shared" si="1"/>
        <v>1612.8121463323209</v>
      </c>
      <c r="D26">
        <f t="shared" si="2"/>
        <v>3056.0405258696987</v>
      </c>
      <c r="E26">
        <f t="shared" si="3"/>
        <v>2402.9298870662974</v>
      </c>
      <c r="F26">
        <f t="shared" si="4"/>
        <v>2653.0884299823524</v>
      </c>
      <c r="H26" s="4">
        <v>590166</v>
      </c>
      <c r="O26">
        <f t="shared" si="5"/>
        <v>0</v>
      </c>
      <c r="P26">
        <f t="shared" si="6"/>
        <v>0</v>
      </c>
      <c r="Q26">
        <f t="shared" si="7"/>
        <v>0</v>
      </c>
      <c r="R26">
        <f t="shared" si="8"/>
        <v>0</v>
      </c>
      <c r="S26">
        <f t="shared" si="9"/>
        <v>0</v>
      </c>
    </row>
    <row r="27" spans="1:19">
      <c r="A27" s="3" t="s">
        <v>22</v>
      </c>
      <c r="B27">
        <f t="shared" si="0"/>
        <v>7460.1939034715706</v>
      </c>
      <c r="C27">
        <f t="shared" si="1"/>
        <v>4328.922954657578</v>
      </c>
      <c r="D27">
        <f t="shared" si="2"/>
        <v>8202.6688680922398</v>
      </c>
      <c r="E27">
        <f t="shared" si="3"/>
        <v>6449.6651827736659</v>
      </c>
      <c r="F27">
        <f t="shared" si="4"/>
        <v>7121.1116752840635</v>
      </c>
      <c r="H27" s="4">
        <v>1584055</v>
      </c>
      <c r="O27">
        <f t="shared" si="5"/>
        <v>0</v>
      </c>
      <c r="P27">
        <f t="shared" si="6"/>
        <v>0</v>
      </c>
      <c r="Q27">
        <f t="shared" si="7"/>
        <v>0</v>
      </c>
      <c r="R27">
        <f t="shared" si="8"/>
        <v>0</v>
      </c>
      <c r="S27">
        <f t="shared" si="9"/>
        <v>0</v>
      </c>
    </row>
    <row r="28" spans="1:19">
      <c r="A28" s="3" t="s">
        <v>0</v>
      </c>
      <c r="B28">
        <f t="shared" si="0"/>
        <v>4364.8060132695173</v>
      </c>
      <c r="C28">
        <f t="shared" si="1"/>
        <v>2532.7637844208275</v>
      </c>
      <c r="D28">
        <f t="shared" si="2"/>
        <v>4799.2128440048809</v>
      </c>
      <c r="E28">
        <f t="shared" si="3"/>
        <v>3773.5664431249343</v>
      </c>
      <c r="F28">
        <f t="shared" si="4"/>
        <v>4166.4159757268017</v>
      </c>
      <c r="H28" s="4">
        <v>926798</v>
      </c>
      <c r="O28">
        <f t="shared" si="5"/>
        <v>0</v>
      </c>
      <c r="P28">
        <f t="shared" si="6"/>
        <v>0</v>
      </c>
      <c r="Q28">
        <f t="shared" si="7"/>
        <v>0</v>
      </c>
      <c r="R28">
        <f t="shared" si="8"/>
        <v>0</v>
      </c>
      <c r="S28">
        <f t="shared" si="9"/>
        <v>0</v>
      </c>
    </row>
    <row r="29" spans="1:19">
      <c r="A29" s="3" t="s">
        <v>1</v>
      </c>
      <c r="B29">
        <f t="shared" si="0"/>
        <v>8540.4763038757319</v>
      </c>
      <c r="C29">
        <f t="shared" si="1"/>
        <v>4955.7778784211532</v>
      </c>
      <c r="D29">
        <f t="shared" si="2"/>
        <v>9390.4662536829328</v>
      </c>
      <c r="E29">
        <f t="shared" si="3"/>
        <v>7383.6167496635817</v>
      </c>
      <c r="F29">
        <f t="shared" si="4"/>
        <v>8152.2928635561466</v>
      </c>
      <c r="H29" s="4">
        <v>1813436</v>
      </c>
      <c r="O29">
        <f t="shared" si="5"/>
        <v>0</v>
      </c>
      <c r="P29">
        <f t="shared" si="6"/>
        <v>0</v>
      </c>
      <c r="Q29">
        <f t="shared" si="7"/>
        <v>0</v>
      </c>
      <c r="R29">
        <f t="shared" si="8"/>
        <v>0</v>
      </c>
      <c r="S29">
        <f t="shared" si="9"/>
        <v>0</v>
      </c>
    </row>
    <row r="30" spans="1:19">
      <c r="A30" s="3" t="s">
        <v>2</v>
      </c>
      <c r="B30">
        <f t="shared" si="0"/>
        <v>6132.8152888996938</v>
      </c>
      <c r="C30">
        <f t="shared" si="1"/>
        <v>3558.6856352940913</v>
      </c>
      <c r="D30">
        <f t="shared" si="2"/>
        <v>6743.183045229991</v>
      </c>
      <c r="E30">
        <f t="shared" si="3"/>
        <v>5302.088089532338</v>
      </c>
      <c r="F30">
        <f t="shared" si="4"/>
        <v>5854.0653394841947</v>
      </c>
      <c r="H30" s="4">
        <v>1302207</v>
      </c>
      <c r="O30">
        <f t="shared" si="5"/>
        <v>0</v>
      </c>
      <c r="P30">
        <f t="shared" si="6"/>
        <v>0</v>
      </c>
      <c r="Q30">
        <f t="shared" si="7"/>
        <v>0</v>
      </c>
      <c r="R30">
        <f t="shared" si="8"/>
        <v>0</v>
      </c>
      <c r="S30">
        <f t="shared" si="9"/>
        <v>0</v>
      </c>
    </row>
    <row r="31" spans="1:19">
      <c r="A31" s="3" t="s">
        <v>3</v>
      </c>
      <c r="B31">
        <f t="shared" si="0"/>
        <v>3438.2905786262349</v>
      </c>
      <c r="C31">
        <f t="shared" si="1"/>
        <v>1995.1351403442397</v>
      </c>
      <c r="D31">
        <f t="shared" si="2"/>
        <v>3780.4860642600784</v>
      </c>
      <c r="E31">
        <f t="shared" si="3"/>
        <v>2972.5531695503141</v>
      </c>
      <c r="F31">
        <f t="shared" si="4"/>
        <v>3282.012706275736</v>
      </c>
      <c r="H31" s="4">
        <v>730067</v>
      </c>
      <c r="O31">
        <f t="shared" si="5"/>
        <v>0</v>
      </c>
      <c r="P31">
        <f t="shared" si="6"/>
        <v>0</v>
      </c>
      <c r="Q31">
        <f t="shared" si="7"/>
        <v>0</v>
      </c>
      <c r="R31">
        <f t="shared" si="8"/>
        <v>0</v>
      </c>
      <c r="S31">
        <f t="shared" si="9"/>
        <v>0</v>
      </c>
    </row>
    <row r="32" spans="1:19">
      <c r="A32" s="3" t="s">
        <v>4</v>
      </c>
      <c r="B32">
        <f t="shared" si="0"/>
        <v>5499.1164268806851</v>
      </c>
      <c r="C32">
        <f t="shared" si="1"/>
        <v>3190.9695161650802</v>
      </c>
      <c r="D32">
        <f t="shared" si="2"/>
        <v>6046.4153747797727</v>
      </c>
      <c r="E32">
        <f t="shared" si="3"/>
        <v>4754.2275996293401</v>
      </c>
      <c r="F32">
        <f t="shared" si="4"/>
        <v>5249.1694851233779</v>
      </c>
      <c r="H32" s="4">
        <v>1167651</v>
      </c>
      <c r="O32">
        <f t="shared" si="5"/>
        <v>0</v>
      </c>
      <c r="P32">
        <f t="shared" si="6"/>
        <v>0</v>
      </c>
      <c r="Q32">
        <f t="shared" si="7"/>
        <v>0</v>
      </c>
      <c r="R32">
        <f t="shared" si="8"/>
        <v>0</v>
      </c>
      <c r="S32">
        <f t="shared" si="9"/>
        <v>0</v>
      </c>
    </row>
    <row r="33" spans="1:19">
      <c r="A33" s="3" t="s">
        <v>5</v>
      </c>
      <c r="B33">
        <f t="shared" si="0"/>
        <v>6482.6975376074161</v>
      </c>
      <c r="C33">
        <f t="shared" si="1"/>
        <v>3761.7116313279544</v>
      </c>
      <c r="D33">
        <f t="shared" si="2"/>
        <v>7127.8872856435555</v>
      </c>
      <c r="E33">
        <f t="shared" si="3"/>
        <v>5604.5766557491816</v>
      </c>
      <c r="F33">
        <f t="shared" si="4"/>
        <v>6188.0446701136261</v>
      </c>
      <c r="H33" s="4">
        <v>1376499</v>
      </c>
      <c r="O33">
        <f t="shared" si="5"/>
        <v>0</v>
      </c>
      <c r="P33">
        <f t="shared" si="6"/>
        <v>0</v>
      </c>
      <c r="Q33">
        <f t="shared" si="7"/>
        <v>0</v>
      </c>
      <c r="R33">
        <f t="shared" si="8"/>
        <v>0</v>
      </c>
      <c r="S33">
        <f t="shared" si="9"/>
        <v>0</v>
      </c>
    </row>
    <row r="34" spans="1:19">
      <c r="A34" s="3" t="s">
        <v>6</v>
      </c>
      <c r="B34">
        <f t="shared" si="0"/>
        <v>3522.8035403591271</v>
      </c>
      <c r="C34">
        <f t="shared" si="1"/>
        <v>2044.1754340343766</v>
      </c>
      <c r="D34">
        <f t="shared" si="2"/>
        <v>3873.410169065729</v>
      </c>
      <c r="E34">
        <f t="shared" si="3"/>
        <v>3045.6183356618903</v>
      </c>
      <c r="F34">
        <f t="shared" si="4"/>
        <v>3362.6843679370877</v>
      </c>
      <c r="H34" s="4">
        <v>748012</v>
      </c>
      <c r="O34">
        <f t="shared" si="5"/>
        <v>0</v>
      </c>
      <c r="P34">
        <f t="shared" si="6"/>
        <v>0</v>
      </c>
      <c r="Q34">
        <f t="shared" si="7"/>
        <v>0</v>
      </c>
      <c r="R34">
        <f t="shared" si="8"/>
        <v>0</v>
      </c>
      <c r="S34">
        <f t="shared" si="9"/>
        <v>0</v>
      </c>
    </row>
    <row r="35" spans="1:19">
      <c r="A35" s="3" t="s">
        <v>43</v>
      </c>
      <c r="B35">
        <f>1720000*30</f>
        <v>51600000</v>
      </c>
      <c r="C35">
        <f>1720000*0.0738/0.385*30</f>
        <v>9891116.8831168842</v>
      </c>
      <c r="D35">
        <f>1720000*0.1674/0.385*30</f>
        <v>22435948.051948052</v>
      </c>
      <c r="E35">
        <f>1720000*0.3322/0.385*30</f>
        <v>44523428.571428567</v>
      </c>
      <c r="F35">
        <f>1720000*0.0414/0.385*30</f>
        <v>5548675.3246753244</v>
      </c>
      <c r="H35">
        <f>SUM(H12:H34)</f>
        <v>27163459</v>
      </c>
      <c r="O35">
        <f>169217668.23*0.6</f>
        <v>101530600.93799999</v>
      </c>
      <c r="P35">
        <f>32437049.1318*0.6</f>
        <v>19462229.479079999</v>
      </c>
      <c r="Q35">
        <f>439526411*0.1674*0.6</f>
        <v>44146032.72084</v>
      </c>
      <c r="R35">
        <f>439526411*0.3322*0.6</f>
        <v>87606404.24052</v>
      </c>
      <c r="S35">
        <f>439526411*0.0414*0.6</f>
        <v>10917836.049239999</v>
      </c>
    </row>
    <row r="36" spans="1:19">
      <c r="A36" s="3" t="s">
        <v>44</v>
      </c>
      <c r="B36">
        <f>213213</f>
        <v>213213</v>
      </c>
      <c r="C36">
        <f>123721</f>
        <v>123721</v>
      </c>
      <c r="D36">
        <f>234433</f>
        <v>234433</v>
      </c>
      <c r="E36">
        <f>184332</f>
        <v>184332</v>
      </c>
      <c r="F36">
        <v>203522</v>
      </c>
      <c r="O36">
        <f>70279510183.7*0.385</f>
        <v>27057611420.724499</v>
      </c>
      <c r="P36">
        <f>70279510183.7*0.0738</f>
        <v>5186627851.5570602</v>
      </c>
      <c r="Q36">
        <f>70279510183.7*0.1674</f>
        <v>11764790004.751379</v>
      </c>
      <c r="R36">
        <f>70279510183.7*0.3322</f>
        <v>23346853283.025139</v>
      </c>
      <c r="S36">
        <f>70279510183.7*0.0414</f>
        <v>2909571721.6051798</v>
      </c>
    </row>
    <row r="40" spans="1:19">
      <c r="B40" t="s">
        <v>42</v>
      </c>
    </row>
    <row r="41" spans="1:19">
      <c r="B41" t="s">
        <v>35</v>
      </c>
    </row>
    <row r="42" spans="1:19">
      <c r="B42" t="s">
        <v>36</v>
      </c>
    </row>
    <row r="44" spans="1:19">
      <c r="B44" t="s">
        <v>24</v>
      </c>
      <c r="C44" t="s">
        <v>25</v>
      </c>
      <c r="D44" t="s">
        <v>27</v>
      </c>
      <c r="E44" t="s">
        <v>26</v>
      </c>
      <c r="F44" t="s">
        <v>28</v>
      </c>
      <c r="H44" t="s">
        <v>40</v>
      </c>
      <c r="I44" t="s">
        <v>41</v>
      </c>
    </row>
    <row r="45" spans="1:19">
      <c r="A45" s="3" t="s">
        <v>7</v>
      </c>
      <c r="B45">
        <v>0</v>
      </c>
      <c r="C45">
        <v>2330637</v>
      </c>
      <c r="D45">
        <v>0</v>
      </c>
      <c r="E45">
        <v>0</v>
      </c>
      <c r="F45">
        <v>0</v>
      </c>
      <c r="H45">
        <f>SUM(B45:F45)</f>
        <v>2330637</v>
      </c>
      <c r="I45" s="4">
        <f t="shared" ref="I45:I67" si="10">H12</f>
        <v>2330637</v>
      </c>
    </row>
    <row r="46" spans="1:19">
      <c r="A46" s="3" t="s">
        <v>8</v>
      </c>
      <c r="B46">
        <v>0</v>
      </c>
      <c r="C46">
        <v>0</v>
      </c>
      <c r="D46">
        <v>0</v>
      </c>
      <c r="E46">
        <v>1246849</v>
      </c>
      <c r="F46">
        <v>0</v>
      </c>
      <c r="H46">
        <f t="shared" ref="H46:H67" si="11">SUM(B46:F46)</f>
        <v>1246849</v>
      </c>
      <c r="I46" s="4">
        <f t="shared" si="10"/>
        <v>1246849</v>
      </c>
    </row>
    <row r="47" spans="1:19">
      <c r="A47" s="3" t="s">
        <v>9</v>
      </c>
      <c r="B47">
        <v>0</v>
      </c>
      <c r="C47">
        <v>1434618</v>
      </c>
      <c r="D47">
        <v>0</v>
      </c>
      <c r="E47">
        <v>0</v>
      </c>
      <c r="F47">
        <v>0</v>
      </c>
      <c r="H47">
        <f t="shared" si="11"/>
        <v>1434618</v>
      </c>
      <c r="I47" s="4">
        <f t="shared" si="10"/>
        <v>1434618</v>
      </c>
    </row>
    <row r="48" spans="1:19">
      <c r="A48" s="3" t="s">
        <v>10</v>
      </c>
      <c r="B48">
        <v>0</v>
      </c>
      <c r="C48">
        <v>0</v>
      </c>
      <c r="D48">
        <v>0</v>
      </c>
      <c r="E48">
        <v>1058984</v>
      </c>
      <c r="F48">
        <v>0</v>
      </c>
      <c r="H48">
        <f t="shared" si="11"/>
        <v>1058984</v>
      </c>
      <c r="I48" s="4">
        <f t="shared" si="10"/>
        <v>1058984</v>
      </c>
    </row>
    <row r="49" spans="1:9">
      <c r="A49" s="3" t="s">
        <v>11</v>
      </c>
      <c r="B49">
        <v>0</v>
      </c>
      <c r="C49">
        <v>27543.883116884157</v>
      </c>
      <c r="D49">
        <v>0</v>
      </c>
      <c r="E49">
        <v>1282121.1168831158</v>
      </c>
      <c r="F49">
        <v>0</v>
      </c>
      <c r="H49">
        <f t="shared" si="11"/>
        <v>1309665</v>
      </c>
      <c r="I49" s="4">
        <f t="shared" si="10"/>
        <v>1309665</v>
      </c>
    </row>
    <row r="50" spans="1:9">
      <c r="A50" s="3" t="s">
        <v>12</v>
      </c>
      <c r="B50">
        <v>0</v>
      </c>
      <c r="C50">
        <v>0</v>
      </c>
      <c r="D50">
        <v>0</v>
      </c>
      <c r="E50">
        <v>781203</v>
      </c>
      <c r="F50">
        <v>0</v>
      </c>
      <c r="H50">
        <f t="shared" si="11"/>
        <v>781203</v>
      </c>
      <c r="I50" s="4">
        <f t="shared" si="10"/>
        <v>781203</v>
      </c>
    </row>
    <row r="51" spans="1:9">
      <c r="A51" s="3" t="s">
        <v>13</v>
      </c>
      <c r="B51">
        <v>0</v>
      </c>
      <c r="C51">
        <v>0</v>
      </c>
      <c r="D51">
        <v>0</v>
      </c>
      <c r="E51">
        <v>997095</v>
      </c>
      <c r="F51">
        <v>0</v>
      </c>
      <c r="H51">
        <f t="shared" si="11"/>
        <v>997095</v>
      </c>
      <c r="I51" s="4">
        <f t="shared" si="10"/>
        <v>997095</v>
      </c>
    </row>
    <row r="52" spans="1:9">
      <c r="A52" s="3" t="s">
        <v>14</v>
      </c>
      <c r="B52">
        <v>0</v>
      </c>
      <c r="C52">
        <v>0</v>
      </c>
      <c r="D52">
        <v>0</v>
      </c>
      <c r="E52">
        <v>1115917</v>
      </c>
      <c r="F52">
        <v>0</v>
      </c>
      <c r="H52">
        <f t="shared" si="11"/>
        <v>1115917</v>
      </c>
      <c r="I52" s="4">
        <f t="shared" si="10"/>
        <v>1115917</v>
      </c>
    </row>
    <row r="53" spans="1:9">
      <c r="A53" s="3" t="s">
        <v>15</v>
      </c>
      <c r="B53">
        <v>0</v>
      </c>
      <c r="C53">
        <v>0</v>
      </c>
      <c r="D53">
        <v>0</v>
      </c>
      <c r="E53">
        <v>1087254</v>
      </c>
      <c r="F53">
        <v>0</v>
      </c>
      <c r="H53">
        <f t="shared" si="11"/>
        <v>1087254</v>
      </c>
      <c r="I53" s="4">
        <f t="shared" si="10"/>
        <v>1087254</v>
      </c>
    </row>
    <row r="54" spans="1:9">
      <c r="A54" s="3" t="s">
        <v>16</v>
      </c>
      <c r="B54">
        <v>0</v>
      </c>
      <c r="C54">
        <v>0</v>
      </c>
      <c r="D54">
        <v>0</v>
      </c>
      <c r="E54">
        <v>1178041</v>
      </c>
      <c r="F54">
        <v>0</v>
      </c>
      <c r="H54">
        <f t="shared" si="11"/>
        <v>1178041</v>
      </c>
      <c r="I54" s="4">
        <f t="shared" si="10"/>
        <v>1178041</v>
      </c>
    </row>
    <row r="55" spans="1:9">
      <c r="A55" s="3" t="s">
        <v>17</v>
      </c>
      <c r="B55">
        <v>0</v>
      </c>
      <c r="C55">
        <v>1324328</v>
      </c>
      <c r="D55">
        <v>0</v>
      </c>
      <c r="E55">
        <v>0</v>
      </c>
      <c r="F55">
        <v>0</v>
      </c>
      <c r="H55">
        <f t="shared" si="11"/>
        <v>1324328</v>
      </c>
      <c r="I55" s="4">
        <f t="shared" si="10"/>
        <v>1324328</v>
      </c>
    </row>
    <row r="56" spans="1:9">
      <c r="A56" s="3" t="s">
        <v>18</v>
      </c>
      <c r="B56">
        <v>0</v>
      </c>
      <c r="C56">
        <v>0</v>
      </c>
      <c r="D56">
        <v>0</v>
      </c>
      <c r="E56">
        <v>877226</v>
      </c>
      <c r="F56">
        <v>0</v>
      </c>
      <c r="H56">
        <f t="shared" si="11"/>
        <v>877226</v>
      </c>
      <c r="I56" s="4">
        <f t="shared" si="10"/>
        <v>877226</v>
      </c>
    </row>
    <row r="57" spans="1:9">
      <c r="A57" s="3" t="s">
        <v>19</v>
      </c>
      <c r="B57">
        <v>0</v>
      </c>
      <c r="C57">
        <v>0</v>
      </c>
      <c r="D57">
        <v>0</v>
      </c>
      <c r="E57">
        <v>1222206</v>
      </c>
      <c r="F57">
        <v>0</v>
      </c>
      <c r="H57">
        <f t="shared" si="11"/>
        <v>1222206</v>
      </c>
      <c r="I57" s="4">
        <f t="shared" si="10"/>
        <v>1222206</v>
      </c>
    </row>
    <row r="58" spans="1:9">
      <c r="A58" s="3" t="s">
        <v>20</v>
      </c>
      <c r="B58">
        <v>0</v>
      </c>
      <c r="C58">
        <v>0</v>
      </c>
      <c r="D58">
        <v>0</v>
      </c>
      <c r="E58">
        <v>960545</v>
      </c>
      <c r="F58">
        <v>0</v>
      </c>
      <c r="H58">
        <f t="shared" si="11"/>
        <v>960545</v>
      </c>
      <c r="I58" s="4">
        <f t="shared" si="10"/>
        <v>960545</v>
      </c>
    </row>
    <row r="59" spans="1:9">
      <c r="A59" s="3" t="s">
        <v>21</v>
      </c>
      <c r="B59">
        <v>0</v>
      </c>
      <c r="C59">
        <v>0</v>
      </c>
      <c r="D59">
        <v>0</v>
      </c>
      <c r="E59">
        <v>590166</v>
      </c>
      <c r="F59">
        <v>0</v>
      </c>
      <c r="H59">
        <f t="shared" si="11"/>
        <v>590166</v>
      </c>
      <c r="I59" s="4">
        <f t="shared" si="10"/>
        <v>590166</v>
      </c>
    </row>
    <row r="60" spans="1:9">
      <c r="A60" s="3" t="s">
        <v>22</v>
      </c>
      <c r="B60">
        <v>0</v>
      </c>
      <c r="C60">
        <v>1584055</v>
      </c>
      <c r="D60">
        <v>0</v>
      </c>
      <c r="E60">
        <v>0</v>
      </c>
      <c r="F60">
        <v>0</v>
      </c>
      <c r="H60">
        <f t="shared" si="11"/>
        <v>1584055</v>
      </c>
      <c r="I60" s="4">
        <f t="shared" si="10"/>
        <v>1584055</v>
      </c>
    </row>
    <row r="61" spans="1:9">
      <c r="A61" s="3" t="s">
        <v>0</v>
      </c>
      <c r="B61">
        <v>0</v>
      </c>
      <c r="C61">
        <v>0</v>
      </c>
      <c r="D61">
        <v>0</v>
      </c>
      <c r="E61">
        <v>926798</v>
      </c>
      <c r="F61">
        <v>0</v>
      </c>
      <c r="H61">
        <f t="shared" si="11"/>
        <v>926798</v>
      </c>
      <c r="I61" s="4">
        <f t="shared" si="10"/>
        <v>926798</v>
      </c>
    </row>
    <row r="62" spans="1:9">
      <c r="A62" s="3" t="s">
        <v>1</v>
      </c>
      <c r="B62">
        <v>0</v>
      </c>
      <c r="C62">
        <v>1813436</v>
      </c>
      <c r="D62">
        <v>0</v>
      </c>
      <c r="E62">
        <v>0</v>
      </c>
      <c r="F62">
        <v>0</v>
      </c>
      <c r="H62">
        <f t="shared" si="11"/>
        <v>1813436</v>
      </c>
      <c r="I62" s="4">
        <f t="shared" si="10"/>
        <v>1813436</v>
      </c>
    </row>
    <row r="63" spans="1:9">
      <c r="A63" s="3" t="s">
        <v>2</v>
      </c>
      <c r="B63">
        <v>0</v>
      </c>
      <c r="C63">
        <v>0</v>
      </c>
      <c r="D63">
        <v>0</v>
      </c>
      <c r="E63">
        <v>1302207</v>
      </c>
      <c r="F63">
        <v>0</v>
      </c>
      <c r="H63">
        <f t="shared" si="11"/>
        <v>1302207</v>
      </c>
      <c r="I63" s="4">
        <f t="shared" si="10"/>
        <v>1302207</v>
      </c>
    </row>
    <row r="64" spans="1:9">
      <c r="A64" s="3" t="s">
        <v>3</v>
      </c>
      <c r="B64">
        <v>0</v>
      </c>
      <c r="C64">
        <v>0</v>
      </c>
      <c r="D64">
        <v>0</v>
      </c>
      <c r="E64">
        <v>730067</v>
      </c>
      <c r="F64">
        <v>0</v>
      </c>
      <c r="H64">
        <f t="shared" si="11"/>
        <v>730067</v>
      </c>
      <c r="I64" s="4">
        <f t="shared" si="10"/>
        <v>730067</v>
      </c>
    </row>
    <row r="65" spans="1:9">
      <c r="A65" s="3" t="s">
        <v>4</v>
      </c>
      <c r="B65">
        <v>0</v>
      </c>
      <c r="C65">
        <v>0</v>
      </c>
      <c r="D65">
        <v>0</v>
      </c>
      <c r="E65">
        <v>1167651</v>
      </c>
      <c r="F65">
        <v>0</v>
      </c>
      <c r="H65">
        <f t="shared" si="11"/>
        <v>1167651</v>
      </c>
      <c r="I65" s="4">
        <f t="shared" si="10"/>
        <v>1167651</v>
      </c>
    </row>
    <row r="66" spans="1:9">
      <c r="A66" s="3" t="s">
        <v>5</v>
      </c>
      <c r="B66">
        <v>0</v>
      </c>
      <c r="C66">
        <v>1376499</v>
      </c>
      <c r="D66">
        <v>0</v>
      </c>
      <c r="E66">
        <v>0</v>
      </c>
      <c r="F66">
        <v>0</v>
      </c>
      <c r="H66">
        <f t="shared" si="11"/>
        <v>1376499</v>
      </c>
      <c r="I66" s="4">
        <f t="shared" si="10"/>
        <v>1376499</v>
      </c>
    </row>
    <row r="67" spans="1:9">
      <c r="A67" s="3" t="s">
        <v>6</v>
      </c>
      <c r="B67">
        <v>0</v>
      </c>
      <c r="C67">
        <v>0</v>
      </c>
      <c r="D67">
        <v>0</v>
      </c>
      <c r="E67">
        <v>748012</v>
      </c>
      <c r="F67">
        <v>0</v>
      </c>
      <c r="H67">
        <f t="shared" si="11"/>
        <v>748012</v>
      </c>
      <c r="I67" s="4">
        <f t="shared" si="10"/>
        <v>748012</v>
      </c>
    </row>
    <row r="68" spans="1:9">
      <c r="I68">
        <f>SUM(I45:I67)</f>
        <v>27163459</v>
      </c>
    </row>
    <row r="69" spans="1:9">
      <c r="A69" s="3" t="s">
        <v>38</v>
      </c>
      <c r="B69">
        <f>SUM(B45:B67)</f>
        <v>0</v>
      </c>
      <c r="C69">
        <f t="shared" ref="C69:F69" si="12">SUM(C45:C67)</f>
        <v>9891116.8831168842</v>
      </c>
      <c r="D69">
        <f t="shared" si="12"/>
        <v>0</v>
      </c>
      <c r="E69">
        <f t="shared" si="12"/>
        <v>17272342.116883114</v>
      </c>
      <c r="F69">
        <f t="shared" si="12"/>
        <v>0</v>
      </c>
    </row>
    <row r="70" spans="1:9">
      <c r="A70" s="3" t="s">
        <v>37</v>
      </c>
      <c r="B70">
        <f>B35</f>
        <v>51600000</v>
      </c>
      <c r="C70">
        <f>C35</f>
        <v>9891116.8831168842</v>
      </c>
      <c r="D70">
        <f>D35</f>
        <v>22435948.051948052</v>
      </c>
      <c r="E70">
        <f>E35</f>
        <v>44523428.571428567</v>
      </c>
      <c r="F70">
        <f>F35</f>
        <v>5548675.3246753244</v>
      </c>
    </row>
    <row r="73" spans="1:9">
      <c r="A73" t="s">
        <v>39</v>
      </c>
      <c r="B73">
        <f>SUMPRODUCT(B12:F34,B45:F67)</f>
        <v>120973529737.55136</v>
      </c>
    </row>
  </sheetData>
  <mergeCells count="2">
    <mergeCell ref="B9:G10"/>
    <mergeCell ref="B7:G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3AFB-73E2-414F-9ABB-4DA29FAB0CF1}">
  <dimension ref="A9:I73"/>
  <sheetViews>
    <sheetView topLeftCell="A2" workbookViewId="0">
      <selection activeCell="I45" sqref="I45"/>
    </sheetView>
  </sheetViews>
  <sheetFormatPr baseColWidth="10" defaultRowHeight="18"/>
  <sheetData>
    <row r="9" spans="1:9">
      <c r="B9" s="5" t="s">
        <v>23</v>
      </c>
      <c r="C9" s="5"/>
      <c r="D9" s="5"/>
      <c r="E9" s="5"/>
      <c r="F9" s="5"/>
      <c r="G9" s="5"/>
      <c r="H9" s="2"/>
      <c r="I9" s="2"/>
    </row>
    <row r="10" spans="1:9">
      <c r="B10" s="5"/>
      <c r="C10" s="5"/>
      <c r="D10" s="5"/>
      <c r="E10" s="5"/>
      <c r="F10" s="5"/>
      <c r="G10" s="5"/>
      <c r="H10" s="2"/>
      <c r="I10" s="2"/>
    </row>
    <row r="11" spans="1:9">
      <c r="A11" t="s">
        <v>29</v>
      </c>
      <c r="B11" t="s">
        <v>24</v>
      </c>
      <c r="C11" t="s">
        <v>25</v>
      </c>
      <c r="D11" t="s">
        <v>27</v>
      </c>
      <c r="E11" t="s">
        <v>26</v>
      </c>
      <c r="F11" t="s">
        <v>28</v>
      </c>
      <c r="G11" t="s">
        <v>30</v>
      </c>
      <c r="H11" t="s">
        <v>31</v>
      </c>
    </row>
    <row r="12" spans="1:9">
      <c r="A12" s="3" t="s">
        <v>7</v>
      </c>
      <c r="H12" s="4">
        <v>2330637</v>
      </c>
    </row>
    <row r="13" spans="1:9">
      <c r="A13" s="3" t="s">
        <v>8</v>
      </c>
      <c r="H13" s="4">
        <v>1246849</v>
      </c>
    </row>
    <row r="14" spans="1:9">
      <c r="A14" s="3" t="s">
        <v>9</v>
      </c>
      <c r="H14" s="4">
        <v>1434618</v>
      </c>
    </row>
    <row r="15" spans="1:9">
      <c r="A15" s="3" t="s">
        <v>10</v>
      </c>
      <c r="H15" s="4">
        <v>1058984</v>
      </c>
    </row>
    <row r="16" spans="1:9">
      <c r="A16" s="3" t="s">
        <v>11</v>
      </c>
      <c r="H16" s="4">
        <v>1309665</v>
      </c>
    </row>
    <row r="17" spans="1:8">
      <c r="A17" s="3" t="s">
        <v>12</v>
      </c>
      <c r="H17" s="4">
        <v>781203</v>
      </c>
    </row>
    <row r="18" spans="1:8">
      <c r="A18" s="3" t="s">
        <v>13</v>
      </c>
      <c r="H18" s="4">
        <v>997095</v>
      </c>
    </row>
    <row r="19" spans="1:8">
      <c r="A19" s="3" t="s">
        <v>14</v>
      </c>
      <c r="H19" s="4">
        <v>1115917</v>
      </c>
    </row>
    <row r="20" spans="1:8">
      <c r="A20" s="3" t="s">
        <v>15</v>
      </c>
      <c r="H20" s="4">
        <v>1087254</v>
      </c>
    </row>
    <row r="21" spans="1:8">
      <c r="A21" s="3" t="s">
        <v>16</v>
      </c>
      <c r="H21" s="4">
        <v>1178041</v>
      </c>
    </row>
    <row r="22" spans="1:8">
      <c r="A22" s="3" t="s">
        <v>17</v>
      </c>
      <c r="H22" s="4">
        <v>1324328</v>
      </c>
    </row>
    <row r="23" spans="1:8">
      <c r="A23" s="3" t="s">
        <v>18</v>
      </c>
      <c r="H23" s="4">
        <v>877226</v>
      </c>
    </row>
    <row r="24" spans="1:8">
      <c r="A24" s="3" t="s">
        <v>19</v>
      </c>
      <c r="H24" s="4">
        <v>1222206</v>
      </c>
    </row>
    <row r="25" spans="1:8">
      <c r="A25" s="3" t="s">
        <v>20</v>
      </c>
      <c r="H25" s="4">
        <v>960545</v>
      </c>
    </row>
    <row r="26" spans="1:8">
      <c r="A26" s="3" t="s">
        <v>21</v>
      </c>
      <c r="H26" s="4">
        <v>590166</v>
      </c>
    </row>
    <row r="27" spans="1:8">
      <c r="A27" s="3" t="s">
        <v>22</v>
      </c>
      <c r="H27" s="4">
        <v>1584055</v>
      </c>
    </row>
    <row r="28" spans="1:8">
      <c r="A28" s="3" t="s">
        <v>0</v>
      </c>
      <c r="H28" s="4">
        <v>926798</v>
      </c>
    </row>
    <row r="29" spans="1:8">
      <c r="A29" s="3" t="s">
        <v>1</v>
      </c>
      <c r="H29" s="4">
        <v>1813436</v>
      </c>
    </row>
    <row r="30" spans="1:8">
      <c r="A30" s="3" t="s">
        <v>2</v>
      </c>
      <c r="H30" s="4">
        <v>1302207</v>
      </c>
    </row>
    <row r="31" spans="1:8">
      <c r="A31" s="3" t="s">
        <v>3</v>
      </c>
      <c r="H31" s="4">
        <v>730067</v>
      </c>
    </row>
    <row r="32" spans="1:8">
      <c r="A32" s="3" t="s">
        <v>4</v>
      </c>
      <c r="H32" s="4">
        <v>1167651</v>
      </c>
    </row>
    <row r="33" spans="1:9">
      <c r="A33" s="3" t="s">
        <v>5</v>
      </c>
      <c r="H33" s="4">
        <v>1376499</v>
      </c>
    </row>
    <row r="34" spans="1:9">
      <c r="A34" s="3" t="s">
        <v>6</v>
      </c>
      <c r="H34" s="4">
        <v>748012</v>
      </c>
    </row>
    <row r="35" spans="1:9">
      <c r="A35" s="3" t="s">
        <v>33</v>
      </c>
      <c r="H35">
        <f>SUM(H12:H34)</f>
        <v>27163459</v>
      </c>
    </row>
    <row r="36" spans="1:9">
      <c r="A36" s="3" t="s">
        <v>34</v>
      </c>
    </row>
    <row r="40" spans="1:9">
      <c r="B40" t="s">
        <v>42</v>
      </c>
    </row>
    <row r="41" spans="1:9">
      <c r="B41" t="s">
        <v>35</v>
      </c>
    </row>
    <row r="42" spans="1:9">
      <c r="B42" t="s">
        <v>36</v>
      </c>
    </row>
    <row r="44" spans="1:9">
      <c r="B44" t="s">
        <v>24</v>
      </c>
      <c r="C44" t="s">
        <v>25</v>
      </c>
      <c r="D44" t="s">
        <v>27</v>
      </c>
      <c r="E44" t="s">
        <v>26</v>
      </c>
      <c r="F44" t="s">
        <v>28</v>
      </c>
      <c r="H44" t="s">
        <v>40</v>
      </c>
      <c r="I44" t="s">
        <v>41</v>
      </c>
    </row>
    <row r="45" spans="1:9">
      <c r="A45" s="3" t="s">
        <v>7</v>
      </c>
      <c r="B45">
        <v>0</v>
      </c>
      <c r="C45">
        <v>0</v>
      </c>
      <c r="D45">
        <v>0</v>
      </c>
      <c r="E45">
        <v>0</v>
      </c>
      <c r="F45">
        <v>2330637</v>
      </c>
      <c r="H45">
        <f>SUM(B45:F45)</f>
        <v>2330637</v>
      </c>
      <c r="I45" s="4">
        <f t="shared" ref="I45:I67" si="0">H12</f>
        <v>2330637</v>
      </c>
    </row>
    <row r="46" spans="1:9">
      <c r="A46" s="3" t="s">
        <v>8</v>
      </c>
      <c r="B46">
        <v>0</v>
      </c>
      <c r="C46">
        <v>1246849</v>
      </c>
      <c r="D46">
        <v>0</v>
      </c>
      <c r="E46">
        <v>0</v>
      </c>
      <c r="F46">
        <v>0</v>
      </c>
      <c r="H46">
        <f t="shared" ref="H46:H67" si="1">SUM(B46:F46)</f>
        <v>1246849</v>
      </c>
      <c r="I46" s="4">
        <f t="shared" si="0"/>
        <v>1246849</v>
      </c>
    </row>
    <row r="47" spans="1:9">
      <c r="A47" s="3" t="s">
        <v>9</v>
      </c>
      <c r="B47">
        <v>0</v>
      </c>
      <c r="C47">
        <v>1434618</v>
      </c>
      <c r="D47">
        <v>0</v>
      </c>
      <c r="E47">
        <v>0</v>
      </c>
      <c r="F47">
        <v>0</v>
      </c>
      <c r="H47">
        <f t="shared" si="1"/>
        <v>1434618</v>
      </c>
      <c r="I47" s="4">
        <f t="shared" si="0"/>
        <v>1434618</v>
      </c>
    </row>
    <row r="48" spans="1:9">
      <c r="A48" s="3" t="s">
        <v>10</v>
      </c>
      <c r="B48">
        <v>0</v>
      </c>
      <c r="C48">
        <v>0</v>
      </c>
      <c r="D48">
        <v>1058984</v>
      </c>
      <c r="E48">
        <v>0</v>
      </c>
      <c r="F48">
        <v>0</v>
      </c>
      <c r="H48">
        <f t="shared" si="1"/>
        <v>1058984</v>
      </c>
      <c r="I48" s="4">
        <f t="shared" si="0"/>
        <v>1058984</v>
      </c>
    </row>
    <row r="49" spans="1:9">
      <c r="A49" s="3" t="s">
        <v>11</v>
      </c>
      <c r="B49">
        <v>0</v>
      </c>
      <c r="C49">
        <v>1309665</v>
      </c>
      <c r="D49">
        <v>0</v>
      </c>
      <c r="E49">
        <v>0</v>
      </c>
      <c r="F49">
        <v>0</v>
      </c>
      <c r="H49">
        <f t="shared" si="1"/>
        <v>1309665</v>
      </c>
      <c r="I49" s="4">
        <f t="shared" si="0"/>
        <v>1309665</v>
      </c>
    </row>
    <row r="50" spans="1:9">
      <c r="A50" s="3" t="s">
        <v>12</v>
      </c>
      <c r="B50">
        <v>0</v>
      </c>
      <c r="C50">
        <v>0</v>
      </c>
      <c r="D50">
        <v>781203</v>
      </c>
      <c r="E50">
        <v>0</v>
      </c>
      <c r="F50">
        <v>0</v>
      </c>
      <c r="H50">
        <f t="shared" si="1"/>
        <v>781203</v>
      </c>
      <c r="I50" s="4">
        <f t="shared" si="0"/>
        <v>781203</v>
      </c>
    </row>
    <row r="51" spans="1:9">
      <c r="A51" s="3" t="s">
        <v>13</v>
      </c>
      <c r="B51">
        <v>0</v>
      </c>
      <c r="C51">
        <v>0</v>
      </c>
      <c r="D51">
        <v>997095</v>
      </c>
      <c r="E51">
        <v>0</v>
      </c>
      <c r="F51">
        <v>0</v>
      </c>
      <c r="H51">
        <f t="shared" si="1"/>
        <v>997095</v>
      </c>
      <c r="I51" s="4">
        <f t="shared" si="0"/>
        <v>997095</v>
      </c>
    </row>
    <row r="52" spans="1:9">
      <c r="A52" s="3" t="s">
        <v>14</v>
      </c>
      <c r="B52">
        <v>0</v>
      </c>
      <c r="C52">
        <v>0</v>
      </c>
      <c r="D52">
        <v>1115917</v>
      </c>
      <c r="E52">
        <v>0</v>
      </c>
      <c r="F52">
        <v>0</v>
      </c>
      <c r="H52">
        <f t="shared" si="1"/>
        <v>1115917</v>
      </c>
      <c r="I52" s="4">
        <f t="shared" si="0"/>
        <v>1115917</v>
      </c>
    </row>
    <row r="53" spans="1:9">
      <c r="A53" s="3" t="s">
        <v>15</v>
      </c>
      <c r="B53">
        <v>0</v>
      </c>
      <c r="C53">
        <v>0</v>
      </c>
      <c r="D53">
        <v>1087254</v>
      </c>
      <c r="E53">
        <v>0</v>
      </c>
      <c r="F53">
        <v>0</v>
      </c>
      <c r="H53">
        <f t="shared" si="1"/>
        <v>1087254</v>
      </c>
      <c r="I53" s="4">
        <f t="shared" si="0"/>
        <v>1087254</v>
      </c>
    </row>
    <row r="54" spans="1:9">
      <c r="A54" s="3" t="s">
        <v>16</v>
      </c>
      <c r="B54">
        <v>0</v>
      </c>
      <c r="C54">
        <v>495292.20779220853</v>
      </c>
      <c r="D54">
        <v>682748.79220779147</v>
      </c>
      <c r="E54">
        <v>0</v>
      </c>
      <c r="F54">
        <v>0</v>
      </c>
      <c r="H54">
        <f t="shared" si="1"/>
        <v>1178041</v>
      </c>
      <c r="I54" s="4">
        <f t="shared" si="0"/>
        <v>1178041</v>
      </c>
    </row>
    <row r="55" spans="1:9">
      <c r="A55" s="3" t="s">
        <v>17</v>
      </c>
      <c r="B55">
        <v>0</v>
      </c>
      <c r="C55">
        <v>1324328</v>
      </c>
      <c r="D55">
        <v>0</v>
      </c>
      <c r="E55">
        <v>0</v>
      </c>
      <c r="F55">
        <v>0</v>
      </c>
      <c r="H55">
        <f t="shared" si="1"/>
        <v>1324328</v>
      </c>
      <c r="I55" s="4">
        <f t="shared" si="0"/>
        <v>1324328</v>
      </c>
    </row>
    <row r="56" spans="1:9">
      <c r="A56" s="3" t="s">
        <v>18</v>
      </c>
      <c r="B56">
        <v>0</v>
      </c>
      <c r="C56">
        <v>0</v>
      </c>
      <c r="D56">
        <v>877226</v>
      </c>
      <c r="E56">
        <v>0</v>
      </c>
      <c r="F56">
        <v>0</v>
      </c>
      <c r="H56">
        <f t="shared" si="1"/>
        <v>877226</v>
      </c>
      <c r="I56" s="4">
        <f t="shared" si="0"/>
        <v>877226</v>
      </c>
    </row>
    <row r="57" spans="1:9">
      <c r="A57" s="3" t="s">
        <v>19</v>
      </c>
      <c r="B57">
        <v>0</v>
      </c>
      <c r="C57">
        <v>1222206</v>
      </c>
      <c r="D57">
        <v>0</v>
      </c>
      <c r="E57">
        <v>0</v>
      </c>
      <c r="F57">
        <v>0</v>
      </c>
      <c r="H57">
        <f t="shared" si="1"/>
        <v>1222206</v>
      </c>
      <c r="I57" s="4">
        <f t="shared" si="0"/>
        <v>1222206</v>
      </c>
    </row>
    <row r="58" spans="1:9">
      <c r="A58" s="3" t="s">
        <v>20</v>
      </c>
      <c r="B58">
        <v>0</v>
      </c>
      <c r="C58">
        <v>0</v>
      </c>
      <c r="D58">
        <v>960545</v>
      </c>
      <c r="E58">
        <v>0</v>
      </c>
      <c r="F58">
        <v>0</v>
      </c>
      <c r="H58">
        <f t="shared" si="1"/>
        <v>960545</v>
      </c>
      <c r="I58" s="4">
        <f t="shared" si="0"/>
        <v>960545</v>
      </c>
    </row>
    <row r="59" spans="1:9">
      <c r="A59" s="3" t="s">
        <v>21</v>
      </c>
      <c r="B59">
        <v>0</v>
      </c>
      <c r="C59">
        <v>0</v>
      </c>
      <c r="D59">
        <v>590166</v>
      </c>
      <c r="E59">
        <v>0</v>
      </c>
      <c r="F59">
        <v>0</v>
      </c>
      <c r="H59">
        <f t="shared" si="1"/>
        <v>590166</v>
      </c>
      <c r="I59" s="4">
        <f t="shared" si="0"/>
        <v>590166</v>
      </c>
    </row>
    <row r="60" spans="1:9">
      <c r="A60" s="3" t="s">
        <v>22</v>
      </c>
      <c r="B60">
        <v>0</v>
      </c>
      <c r="C60">
        <v>179452.67532467563</v>
      </c>
      <c r="D60">
        <v>0</v>
      </c>
      <c r="E60">
        <v>0</v>
      </c>
      <c r="F60">
        <v>1404602.3246753244</v>
      </c>
      <c r="H60">
        <f t="shared" si="1"/>
        <v>1584055</v>
      </c>
      <c r="I60" s="4">
        <f t="shared" si="0"/>
        <v>1584055</v>
      </c>
    </row>
    <row r="61" spans="1:9">
      <c r="A61" s="3" t="s">
        <v>0</v>
      </c>
      <c r="B61">
        <v>0</v>
      </c>
      <c r="C61">
        <v>0</v>
      </c>
      <c r="D61">
        <v>926798</v>
      </c>
      <c r="E61">
        <v>0</v>
      </c>
      <c r="F61">
        <v>0</v>
      </c>
      <c r="H61">
        <f t="shared" si="1"/>
        <v>926798</v>
      </c>
      <c r="I61" s="4">
        <f t="shared" si="0"/>
        <v>926798</v>
      </c>
    </row>
    <row r="62" spans="1:9">
      <c r="A62" s="3" t="s">
        <v>1</v>
      </c>
      <c r="B62">
        <v>0</v>
      </c>
      <c r="C62">
        <v>0</v>
      </c>
      <c r="D62">
        <v>0</v>
      </c>
      <c r="E62">
        <v>0</v>
      </c>
      <c r="F62">
        <v>1813436</v>
      </c>
      <c r="H62">
        <f t="shared" si="1"/>
        <v>1813436</v>
      </c>
      <c r="I62" s="4">
        <f t="shared" si="0"/>
        <v>1813436</v>
      </c>
    </row>
    <row r="63" spans="1:9">
      <c r="A63" s="3" t="s">
        <v>2</v>
      </c>
      <c r="B63">
        <v>0</v>
      </c>
      <c r="C63">
        <v>1302207</v>
      </c>
      <c r="D63">
        <v>0</v>
      </c>
      <c r="E63">
        <v>0</v>
      </c>
      <c r="F63">
        <v>0</v>
      </c>
      <c r="H63">
        <f t="shared" si="1"/>
        <v>1302207</v>
      </c>
      <c r="I63" s="4">
        <f t="shared" si="0"/>
        <v>1302207</v>
      </c>
    </row>
    <row r="64" spans="1:9">
      <c r="A64" s="3" t="s">
        <v>3</v>
      </c>
      <c r="B64">
        <v>0</v>
      </c>
      <c r="C64">
        <v>0</v>
      </c>
      <c r="D64">
        <v>730067</v>
      </c>
      <c r="E64">
        <v>0</v>
      </c>
      <c r="F64">
        <v>0</v>
      </c>
      <c r="H64">
        <f t="shared" si="1"/>
        <v>730067</v>
      </c>
      <c r="I64" s="4">
        <f t="shared" si="0"/>
        <v>730067</v>
      </c>
    </row>
    <row r="65" spans="1:9">
      <c r="A65" s="3" t="s">
        <v>4</v>
      </c>
      <c r="B65">
        <v>0</v>
      </c>
      <c r="C65">
        <v>0</v>
      </c>
      <c r="D65">
        <v>1167651</v>
      </c>
      <c r="E65">
        <v>0</v>
      </c>
      <c r="F65">
        <v>0</v>
      </c>
      <c r="H65">
        <f t="shared" si="1"/>
        <v>1167651</v>
      </c>
      <c r="I65" s="4">
        <f t="shared" si="0"/>
        <v>1167651</v>
      </c>
    </row>
    <row r="66" spans="1:9">
      <c r="A66" s="3" t="s">
        <v>5</v>
      </c>
      <c r="B66">
        <v>0</v>
      </c>
      <c r="C66">
        <v>1376499</v>
      </c>
      <c r="D66">
        <v>0</v>
      </c>
      <c r="E66">
        <v>0</v>
      </c>
      <c r="F66">
        <v>0</v>
      </c>
      <c r="H66">
        <f t="shared" si="1"/>
        <v>1376499</v>
      </c>
      <c r="I66" s="4">
        <f t="shared" si="0"/>
        <v>1376499</v>
      </c>
    </row>
    <row r="67" spans="1:9">
      <c r="A67" s="3" t="s">
        <v>6</v>
      </c>
      <c r="B67">
        <v>0</v>
      </c>
      <c r="C67">
        <v>0</v>
      </c>
      <c r="D67">
        <v>748012</v>
      </c>
      <c r="E67">
        <v>0</v>
      </c>
      <c r="F67">
        <v>0</v>
      </c>
      <c r="H67">
        <f t="shared" si="1"/>
        <v>748012</v>
      </c>
      <c r="I67" s="4">
        <f t="shared" si="0"/>
        <v>748012</v>
      </c>
    </row>
    <row r="68" spans="1:9">
      <c r="I68">
        <f>SUM(I45:I67)</f>
        <v>27163459</v>
      </c>
    </row>
    <row r="69" spans="1:9">
      <c r="A69" s="3" t="s">
        <v>38</v>
      </c>
      <c r="B69">
        <f>SUM(B45:B67)</f>
        <v>0</v>
      </c>
      <c r="C69">
        <f t="shared" ref="C69:F69" si="2">SUM(C45:C67)</f>
        <v>9891116.8831168842</v>
      </c>
      <c r="D69">
        <f t="shared" si="2"/>
        <v>11723666.792207792</v>
      </c>
      <c r="E69">
        <f t="shared" si="2"/>
        <v>0</v>
      </c>
      <c r="F69">
        <f t="shared" si="2"/>
        <v>5548675.3246753244</v>
      </c>
    </row>
    <row r="70" spans="1:9">
      <c r="A70" s="3" t="s">
        <v>37</v>
      </c>
      <c r="B70">
        <f>B35</f>
        <v>0</v>
      </c>
      <c r="C70">
        <f>C35</f>
        <v>0</v>
      </c>
      <c r="D70">
        <f>D35</f>
        <v>0</v>
      </c>
      <c r="E70">
        <f>E35</f>
        <v>0</v>
      </c>
      <c r="F70">
        <f>F35</f>
        <v>0</v>
      </c>
    </row>
    <row r="73" spans="1:9">
      <c r="A73" t="s">
        <v>39</v>
      </c>
      <c r="B73">
        <f>SUMPRODUCT(B12:F34,B45:F67)</f>
        <v>0</v>
      </c>
    </row>
  </sheetData>
  <mergeCells count="1">
    <mergeCell ref="B9:G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2023-05-27T07:29:37Z</dcterms:created>
  <dcterms:modified xsi:type="dcterms:W3CDTF">2023-05-31T06:09:03Z</dcterms:modified>
</cp:coreProperties>
</file>