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hyeonjun/Desktop/SEONG_JOON/학교/2-1/scm/팀플/demand allocation/"/>
    </mc:Choice>
  </mc:AlternateContent>
  <xr:revisionPtr revIDLastSave="0" documentId="13_ncr:1_{5880A10D-8FB3-6A4D-8E5F-DF68478BE522}" xr6:coauthVersionLast="47" xr6:coauthVersionMax="47" xr10:uidLastSave="{00000000-0000-0000-0000-000000000000}"/>
  <bookViews>
    <workbookView xWindow="3440" yWindow="2720" windowWidth="27200" windowHeight="14860" activeTab="7" xr2:uid="{94F1EBE5-CEFB-CA43-B97F-23256AF1FFA0}"/>
  </bookViews>
  <sheets>
    <sheet name="Sheet1" sheetId="1" r:id="rId1"/>
    <sheet name="민감도 보고서 1" sheetId="3" r:id="rId2"/>
    <sheet name="민감도 보고서 2" sheetId="4" r:id="rId3"/>
    <sheet name="Sheet2" sheetId="2" r:id="rId4"/>
    <sheet name="새로운 허브x" sheetId="10" r:id="rId5"/>
    <sheet name="스케일링" sheetId="9" r:id="rId6"/>
    <sheet name="fixed cost 계산 방법" sheetId="5" r:id="rId7"/>
    <sheet name="2021 fixed cost" sheetId="6" r:id="rId8"/>
  </sheets>
  <definedNames>
    <definedName name="solver_adj" localSheetId="4" hidden="1">'새로운 허브x'!$J$46:$N$68</definedName>
    <definedName name="solver_adj" localSheetId="0" hidden="1">Sheet1!$B$45:$F$67</definedName>
    <definedName name="solver_adj" localSheetId="3" hidden="1">Sheet2!$J$46:$O$68</definedName>
    <definedName name="solver_cvg" localSheetId="4" hidden="1">0.0001</definedName>
    <definedName name="solver_cvg" localSheetId="0" hidden="1">0.0001</definedName>
    <definedName name="solver_cvg" localSheetId="3" hidden="1">0.0001</definedName>
    <definedName name="solver_drv" localSheetId="4" hidden="1">1</definedName>
    <definedName name="solver_drv" localSheetId="0" hidden="1">1</definedName>
    <definedName name="solver_drv" localSheetId="3" hidden="1">1</definedName>
    <definedName name="solver_eng" localSheetId="4" hidden="1">2</definedName>
    <definedName name="solver_eng" localSheetId="0" hidden="1">2</definedName>
    <definedName name="solver_eng" localSheetId="3" hidden="1">2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3" hidden="1">2147483647</definedName>
    <definedName name="solver_lhs1" localSheetId="4" hidden="1">'새로운 허브x'!$J$70:$N$70</definedName>
    <definedName name="solver_lhs1" localSheetId="0" hidden="1">Sheet1!$B$69:$F$69</definedName>
    <definedName name="solver_lhs1" localSheetId="3" hidden="1">Sheet2!$J$70:$O$70</definedName>
    <definedName name="solver_lhs2" localSheetId="4" hidden="1">'새로운 허브x'!$O$46:$O$68</definedName>
    <definedName name="solver_lhs2" localSheetId="0" hidden="1">Sheet1!$H$45:$H$67</definedName>
    <definedName name="solver_lhs2" localSheetId="3" hidden="1">Sheet2!$P$46:$P$68</definedName>
    <definedName name="solver_lin" localSheetId="4" hidden="1">1</definedName>
    <definedName name="solver_lin" localSheetId="0" hidden="1">1</definedName>
    <definedName name="solver_lin" localSheetId="3" hidden="1">1</definedName>
    <definedName name="solver_mip" localSheetId="4" hidden="1">2147483647</definedName>
    <definedName name="solver_mip" localSheetId="0" hidden="1">2147483647</definedName>
    <definedName name="solver_mip" localSheetId="3" hidden="1">2147483647</definedName>
    <definedName name="solver_mni" localSheetId="4" hidden="1">30</definedName>
    <definedName name="solver_mni" localSheetId="0" hidden="1">30</definedName>
    <definedName name="solver_mni" localSheetId="3" hidden="1">30</definedName>
    <definedName name="solver_mrt" localSheetId="4" hidden="1">0.075</definedName>
    <definedName name="solver_mrt" localSheetId="0" hidden="1">0.075</definedName>
    <definedName name="solver_mrt" localSheetId="3" hidden="1">0.075</definedName>
    <definedName name="solver_msl" localSheetId="4" hidden="1">2</definedName>
    <definedName name="solver_msl" localSheetId="0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3" hidden="1">1</definedName>
    <definedName name="solver_nod" localSheetId="4" hidden="1">2147483647</definedName>
    <definedName name="solver_nod" localSheetId="0" hidden="1">2147483647</definedName>
    <definedName name="solver_nod" localSheetId="3" hidden="1">2147483647</definedName>
    <definedName name="solver_num" localSheetId="4" hidden="1">2</definedName>
    <definedName name="solver_num" localSheetId="0" hidden="1">2</definedName>
    <definedName name="solver_num" localSheetId="3" hidden="1">2</definedName>
    <definedName name="solver_nwt" localSheetId="3" hidden="1">1</definedName>
    <definedName name="solver_opt" localSheetId="4" hidden="1">'새로운 허브x'!$J$73</definedName>
    <definedName name="solver_opt" localSheetId="0" hidden="1">Sheet1!$B$73</definedName>
    <definedName name="solver_opt" localSheetId="3" hidden="1">Sheet2!$J$73</definedName>
    <definedName name="solver_pre" localSheetId="4" hidden="1">0.000001</definedName>
    <definedName name="solver_pre" localSheetId="0" hidden="1">0.000001</definedName>
    <definedName name="solver_pre" localSheetId="3" hidden="1">0.000001</definedName>
    <definedName name="solver_rbv" localSheetId="4" hidden="1">1</definedName>
    <definedName name="solver_rbv" localSheetId="0" hidden="1">1</definedName>
    <definedName name="solver_rbv" localSheetId="3" hidden="1">1</definedName>
    <definedName name="solver_rel1" localSheetId="4" hidden="1">1</definedName>
    <definedName name="solver_rel1" localSheetId="0" hidden="1">1</definedName>
    <definedName name="solver_rel1" localSheetId="3" hidden="1">1</definedName>
    <definedName name="solver_rel2" localSheetId="4" hidden="1">2</definedName>
    <definedName name="solver_rel2" localSheetId="0" hidden="1">2</definedName>
    <definedName name="solver_rel2" localSheetId="3" hidden="1">2</definedName>
    <definedName name="solver_rhs1" localSheetId="4" hidden="1">'새로운 허브x'!$J$71:$N$71</definedName>
    <definedName name="solver_rhs1" localSheetId="0" hidden="1">Sheet1!$B$70:$F$70</definedName>
    <definedName name="solver_rhs1" localSheetId="3" hidden="1">Sheet2!$J$71:$O$71</definedName>
    <definedName name="solver_rhs2" localSheetId="4" hidden="1">'새로운 허브x'!$P$46:$P$68</definedName>
    <definedName name="solver_rhs2" localSheetId="0" hidden="1">Sheet1!$I$45:$I$67</definedName>
    <definedName name="solver_rhs2" localSheetId="3" hidden="1">Sheet2!$Q$46:$Q$68</definedName>
    <definedName name="solver_rlx" localSheetId="4" hidden="1">2</definedName>
    <definedName name="solver_rlx" localSheetId="0" hidden="1">1</definedName>
    <definedName name="solver_rlx" localSheetId="3" hidden="1">2</definedName>
    <definedName name="solver_rsd" localSheetId="4" hidden="1">0</definedName>
    <definedName name="solver_rsd" localSheetId="0" hidden="1">0</definedName>
    <definedName name="solver_rsd" localSheetId="3" hidden="1">0</definedName>
    <definedName name="solver_scl" localSheetId="4" hidden="1">1</definedName>
    <definedName name="solver_scl" localSheetId="0" hidden="1">2</definedName>
    <definedName name="solver_scl" localSheetId="3" hidden="1">1</definedName>
    <definedName name="solver_sho" localSheetId="4" hidden="1">2</definedName>
    <definedName name="solver_sho" localSheetId="0" hidden="1">2</definedName>
    <definedName name="solver_sho" localSheetId="3" hidden="1">2</definedName>
    <definedName name="solver_ssz" localSheetId="4" hidden="1">100</definedName>
    <definedName name="solver_ssz" localSheetId="0" hidden="1">100</definedName>
    <definedName name="solver_ssz" localSheetId="3" hidden="1">100</definedName>
    <definedName name="solver_tim" localSheetId="4" hidden="1">2147483647</definedName>
    <definedName name="solver_tim" localSheetId="0" hidden="1">2147483647</definedName>
    <definedName name="solver_tim" localSheetId="3" hidden="1">2147483647</definedName>
    <definedName name="solver_tol" localSheetId="4" hidden="1">0.01</definedName>
    <definedName name="solver_tol" localSheetId="0" hidden="1">0.01</definedName>
    <definedName name="solver_tol" localSheetId="3" hidden="1">0.01</definedName>
    <definedName name="solver_typ" localSheetId="4" hidden="1">2</definedName>
    <definedName name="solver_typ" localSheetId="0" hidden="1">2</definedName>
    <definedName name="solver_typ" localSheetId="3" hidden="1">2</definedName>
    <definedName name="solver_val" localSheetId="4" hidden="1">0</definedName>
    <definedName name="solver_val" localSheetId="0" hidden="1">0</definedName>
    <definedName name="solver_val" localSheetId="3" hidden="1">0</definedName>
    <definedName name="solver_ver" localSheetId="4" hidden="1">2</definedName>
    <definedName name="solver_ver" localSheetId="0" hidden="1">2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5" l="1"/>
  <c r="I52" i="9"/>
  <c r="D55" i="9"/>
  <c r="K28" i="10"/>
  <c r="L28" i="2"/>
  <c r="K28" i="2"/>
  <c r="J73" i="10"/>
  <c r="J71" i="10"/>
  <c r="N70" i="10"/>
  <c r="M70" i="10"/>
  <c r="L70" i="10"/>
  <c r="K70" i="10"/>
  <c r="J70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P69" i="10" s="1"/>
  <c r="O48" i="10"/>
  <c r="P47" i="10"/>
  <c r="O47" i="10"/>
  <c r="P46" i="10"/>
  <c r="O46" i="10"/>
  <c r="N28" i="10"/>
  <c r="N71" i="10" s="1"/>
  <c r="M28" i="10"/>
  <c r="M71" i="10" s="1"/>
  <c r="L28" i="10"/>
  <c r="L71" i="10" s="1"/>
  <c r="K71" i="10"/>
  <c r="X18" i="10"/>
  <c r="R18" i="10"/>
  <c r="AC8" i="10"/>
  <c r="AB8" i="10"/>
  <c r="AC7" i="10"/>
  <c r="AB7" i="10"/>
  <c r="AC6" i="10"/>
  <c r="AB6" i="10"/>
  <c r="AC5" i="10"/>
  <c r="AB5" i="10"/>
  <c r="AC4" i="10"/>
  <c r="AB4" i="10"/>
  <c r="K71" i="2" l="1"/>
  <c r="L71" i="2"/>
  <c r="M71" i="2"/>
  <c r="N71" i="2"/>
  <c r="O71" i="2"/>
  <c r="J71" i="2"/>
  <c r="O28" i="2"/>
  <c r="N28" i="2"/>
  <c r="M28" i="2"/>
  <c r="N34" i="9"/>
  <c r="N29" i="9"/>
  <c r="D56" i="9"/>
  <c r="O34" i="9" s="1"/>
  <c r="O33" i="9"/>
  <c r="N33" i="9"/>
  <c r="O32" i="9"/>
  <c r="N32" i="9"/>
  <c r="O31" i="9"/>
  <c r="N31" i="9"/>
  <c r="O30" i="9"/>
  <c r="N30" i="9"/>
  <c r="O29" i="9"/>
  <c r="H52" i="9"/>
  <c r="G52" i="9"/>
  <c r="F52" i="9"/>
  <c r="E52" i="9"/>
  <c r="AD8" i="2"/>
  <c r="AD7" i="2"/>
  <c r="AD6" i="2"/>
  <c r="AD5" i="2"/>
  <c r="AD4" i="2"/>
  <c r="AC8" i="2"/>
  <c r="AC7" i="2"/>
  <c r="AC6" i="2"/>
  <c r="AC5" i="2"/>
  <c r="AC4" i="2"/>
  <c r="D15" i="6"/>
  <c r="D12" i="6"/>
  <c r="D11" i="6"/>
  <c r="D9" i="6"/>
  <c r="B15" i="6"/>
  <c r="B13" i="6"/>
  <c r="D13" i="6" s="1"/>
  <c r="B12" i="6"/>
  <c r="B11" i="6"/>
  <c r="B10" i="6"/>
  <c r="D10" i="6" s="1"/>
  <c r="A2" i="6"/>
  <c r="O46" i="5"/>
  <c r="N46" i="5"/>
  <c r="M46" i="5"/>
  <c r="L46" i="5"/>
  <c r="J46" i="5"/>
  <c r="J48" i="5" s="1"/>
  <c r="K48" i="5"/>
  <c r="J22" i="5"/>
  <c r="L22" i="5" s="1"/>
  <c r="Q46" i="2"/>
  <c r="P52" i="2"/>
  <c r="P51" i="2"/>
  <c r="P5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49" i="2"/>
  <c r="P48" i="2"/>
  <c r="P47" i="2"/>
  <c r="P46" i="2"/>
  <c r="O70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N70" i="2"/>
  <c r="M70" i="2"/>
  <c r="L70" i="2"/>
  <c r="K70" i="2"/>
  <c r="J70" i="2"/>
  <c r="Y18" i="2"/>
  <c r="S18" i="2"/>
  <c r="M43" i="9" l="1"/>
  <c r="D57" i="9" s="1"/>
  <c r="L48" i="5"/>
  <c r="M48" i="5"/>
  <c r="N48" i="5"/>
  <c r="O48" i="5"/>
  <c r="J73" i="2"/>
  <c r="B12" i="1"/>
  <c r="D35" i="1"/>
  <c r="E35" i="1"/>
  <c r="F35" i="1"/>
  <c r="H35" i="1"/>
  <c r="B73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C70" i="1"/>
  <c r="B70" i="1"/>
  <c r="C69" i="1"/>
  <c r="D69" i="1"/>
  <c r="E69" i="1"/>
  <c r="F69" i="1"/>
  <c r="B6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45" i="1"/>
  <c r="F36" i="1"/>
  <c r="E36" i="1"/>
  <c r="D36" i="1"/>
  <c r="C36" i="1"/>
  <c r="B3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I68" i="1" l="1"/>
  <c r="F70" i="1"/>
  <c r="E70" i="1"/>
  <c r="D70" i="1"/>
</calcChain>
</file>

<file path=xl/sharedStrings.xml><?xml version="1.0" encoding="utf-8"?>
<sst xmlns="http://schemas.openxmlformats.org/spreadsheetml/2006/main" count="1205" uniqueCount="478">
  <si>
    <t>서대문구</t>
  </si>
  <si>
    <t>강서구</t>
  </si>
  <si>
    <t>성북구</t>
  </si>
  <si>
    <t>강북구</t>
  </si>
  <si>
    <t>구로구</t>
  </si>
  <si>
    <t>마포구</t>
  </si>
  <si>
    <t>중구</t>
  </si>
  <si>
    <t>강남구</t>
  </si>
  <si>
    <t>강동구</t>
  </si>
  <si>
    <t>관악구</t>
  </si>
  <si>
    <t>광진구</t>
  </si>
  <si>
    <t>노원구</t>
  </si>
  <si>
    <t>도봉구</t>
  </si>
  <si>
    <t>동대문구</t>
  </si>
  <si>
    <t>동작구</t>
  </si>
  <si>
    <t>성동구</t>
  </si>
  <si>
    <t>양천구</t>
  </si>
  <si>
    <t>영등포구</t>
  </si>
  <si>
    <t>용산구</t>
  </si>
  <si>
    <t>은평구</t>
  </si>
  <si>
    <t>중랑구</t>
  </si>
  <si>
    <t>종로구</t>
  </si>
  <si>
    <t>서초구</t>
  </si>
  <si>
    <t>Supply Region</t>
    <phoneticPr fontId="1" type="noConversion"/>
  </si>
  <si>
    <t>곤지암</t>
    <phoneticPr fontId="1" type="noConversion"/>
  </si>
  <si>
    <t>용인</t>
    <phoneticPr fontId="1" type="noConversion"/>
  </si>
  <si>
    <t>옥천</t>
    <phoneticPr fontId="1" type="noConversion"/>
  </si>
  <si>
    <t>군포</t>
    <phoneticPr fontId="1" type="noConversion"/>
  </si>
  <si>
    <t>청원</t>
    <phoneticPr fontId="1" type="noConversion"/>
  </si>
  <si>
    <t>Demand Region</t>
    <phoneticPr fontId="1" type="noConversion"/>
  </si>
  <si>
    <t>New</t>
    <phoneticPr fontId="1" type="noConversion"/>
  </si>
  <si>
    <t>Demand</t>
    <phoneticPr fontId="1" type="noConversion"/>
  </si>
  <si>
    <t>총 물동량에 대한 각 구별 물동량 비율</t>
    <phoneticPr fontId="1" type="noConversion"/>
  </si>
  <si>
    <t>Capacity(monthly)</t>
    <phoneticPr fontId="1" type="noConversion"/>
  </si>
  <si>
    <t>fixed cost(monthly)</t>
    <phoneticPr fontId="1" type="noConversion"/>
  </si>
  <si>
    <t>fixed cost = monthly 판관비 * 면적비율</t>
    <phoneticPr fontId="1" type="noConversion"/>
  </si>
  <si>
    <t>capacity monthly = 1분기 매출/3/택배 1개 단가 * 면적비율</t>
    <phoneticPr fontId="1" type="noConversion"/>
  </si>
  <si>
    <t>supply - &gt; demand = 각 메인 허브 capacity * 각 구 demand 비율</t>
    <phoneticPr fontId="1" type="noConversion"/>
  </si>
  <si>
    <t>capacity Y</t>
    <phoneticPr fontId="1" type="noConversion"/>
  </si>
  <si>
    <t>sum of production at each location</t>
    <phoneticPr fontId="1" type="noConversion"/>
  </si>
  <si>
    <t>min total cost</t>
    <phoneticPr fontId="1" type="noConversion"/>
  </si>
  <si>
    <t>sum shipped to</t>
    <phoneticPr fontId="1" type="noConversion"/>
  </si>
  <si>
    <t>must equal demand</t>
    <phoneticPr fontId="1" type="noConversion"/>
  </si>
  <si>
    <t>구별로 demand 나와있음</t>
  </si>
  <si>
    <t>capacity를 면적으로 나누기에는 설득력이 부족함</t>
  </si>
  <si>
    <t xml:space="preserve">각 구별로 demand가 있고 새로운 터미널을 sub 터미널들의 물량 평균 담당 </t>
  </si>
  <si>
    <t>factory:</t>
  </si>
  <si>
    <t>market or demand points:</t>
  </si>
  <si>
    <t>허브터미널</t>
  </si>
  <si>
    <t>서브터미널, 추가되는 신설 서브터미널도 포함</t>
  </si>
  <si>
    <t xml:space="preserve">D_j </t>
  </si>
  <si>
    <t>K_i</t>
  </si>
  <si>
    <t>총 fixed cost</t>
  </si>
  <si>
    <t>고용인원수</t>
  </si>
  <si>
    <t>j sub터미널에 한달 demand 양 ( 자치구 출지 데이터)</t>
  </si>
  <si>
    <t>허브터미널 한달 capacity</t>
  </si>
  <si>
    <t>c_ij</t>
  </si>
  <si>
    <t>fixed cost</t>
  </si>
  <si>
    <t>x_ij</t>
  </si>
  <si>
    <t>이동량</t>
  </si>
  <si>
    <t>전국-&gt; 서울로 들어오는 물량</t>
  </si>
  <si>
    <t>착지데이터</t>
  </si>
  <si>
    <t>우리가 새로운 터미널을 짓게 된다면, 어느정도의 demand를 담당하게 될 수 있을까?</t>
  </si>
  <si>
    <t>착지-출지 데이터</t>
  </si>
  <si>
    <t>한달 허브터미널의 capacity</t>
  </si>
  <si>
    <t>다 더하기</t>
  </si>
  <si>
    <t>new</t>
  </si>
  <si>
    <t>supply</t>
  </si>
  <si>
    <t>shipping cost</t>
  </si>
  <si>
    <t>11톤 -&gt; 1000박스/1대</t>
  </si>
  <si>
    <t>11톤 화몰차 단위거리 당 비용: 3km / 1L</t>
  </si>
  <si>
    <t>1L = 1348 원</t>
  </si>
  <si>
    <t>1km 당</t>
  </si>
  <si>
    <t>택배차 한대에 들어가는 택배물량</t>
  </si>
  <si>
    <t>capacity</t>
    <phoneticPr fontId="1" type="noConversion"/>
  </si>
  <si>
    <t>new</t>
    <phoneticPr fontId="1" type="noConversion"/>
  </si>
  <si>
    <t>shipping cost per 11 ton units</t>
  </si>
  <si>
    <t>Microsoft Excel 16.0 민감도 보고서</t>
  </si>
  <si>
    <t>워크시트 이름: [demand (2).xlsx]Sheet2</t>
  </si>
  <si>
    <t>보고서 작성일: 2023-06-01 오전 12:07:50</t>
  </si>
  <si>
    <t>변수 셀</t>
  </si>
  <si>
    <t>셀</t>
  </si>
  <si>
    <t>이름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</si>
  <si>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</si>
  <si>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</si>
  <si>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</si>
  <si>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</si>
  <si>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</si>
  <si>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</si>
  <si>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</si>
  <si>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</si>
  <si>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</si>
  <si>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제한 조건</t>
  </si>
  <si>
    <t>잠재</t>
  </si>
  <si>
    <t>가격</t>
  </si>
  <si>
    <t>우변</t>
  </si>
  <si>
    <t>$J$46</t>
  </si>
  <si>
    <t>강남구 곤지암</t>
  </si>
  <si>
    <t>$K$46</t>
  </si>
  <si>
    <t>강남구 용인</t>
  </si>
  <si>
    <t>$L$46</t>
  </si>
  <si>
    <t>강남구 군포</t>
  </si>
  <si>
    <t>$M$46</t>
  </si>
  <si>
    <t>강남구 옥천</t>
  </si>
  <si>
    <t>$N$46</t>
  </si>
  <si>
    <t>강남구 청원</t>
  </si>
  <si>
    <t>$O$46</t>
  </si>
  <si>
    <t>강남구 new</t>
  </si>
  <si>
    <t>$J$47</t>
  </si>
  <si>
    <t>강동구 곤지암</t>
  </si>
  <si>
    <t>$K$47</t>
  </si>
  <si>
    <t>강동구 용인</t>
  </si>
  <si>
    <t>$L$47</t>
  </si>
  <si>
    <t>강동구 군포</t>
  </si>
  <si>
    <t>$M$47</t>
  </si>
  <si>
    <t>강동구 옥천</t>
  </si>
  <si>
    <t>$N$47</t>
  </si>
  <si>
    <t>강동구 청원</t>
  </si>
  <si>
    <t>$O$47</t>
  </si>
  <si>
    <t>강동구 new</t>
  </si>
  <si>
    <t>$J$48</t>
  </si>
  <si>
    <t>관악구 곤지암</t>
  </si>
  <si>
    <t>$K$48</t>
  </si>
  <si>
    <t>관악구 용인</t>
  </si>
  <si>
    <t>$L$48</t>
  </si>
  <si>
    <t>관악구 군포</t>
  </si>
  <si>
    <t>$M$48</t>
  </si>
  <si>
    <t>관악구 옥천</t>
  </si>
  <si>
    <t>$N$48</t>
  </si>
  <si>
    <t>관악구 청원</t>
  </si>
  <si>
    <t>$O$48</t>
  </si>
  <si>
    <t>관악구 new</t>
  </si>
  <si>
    <t>$J$49</t>
  </si>
  <si>
    <t>광진구 곤지암</t>
  </si>
  <si>
    <t>$K$49</t>
  </si>
  <si>
    <t>광진구 용인</t>
  </si>
  <si>
    <t>$L$49</t>
  </si>
  <si>
    <t>광진구 군포</t>
  </si>
  <si>
    <t>$M$49</t>
  </si>
  <si>
    <t>광진구 옥천</t>
  </si>
  <si>
    <t>$N$49</t>
  </si>
  <si>
    <t>광진구 청원</t>
  </si>
  <si>
    <t>$O$49</t>
  </si>
  <si>
    <t>광진구 new</t>
  </si>
  <si>
    <t>$J$50</t>
  </si>
  <si>
    <t>노원구 곤지암</t>
  </si>
  <si>
    <t>$K$50</t>
  </si>
  <si>
    <t>노원구 용인</t>
  </si>
  <si>
    <t>$L$50</t>
  </si>
  <si>
    <t>노원구 군포</t>
  </si>
  <si>
    <t>$M$50</t>
  </si>
  <si>
    <t>노원구 옥천</t>
  </si>
  <si>
    <t>$N$50</t>
  </si>
  <si>
    <t>노원구 청원</t>
  </si>
  <si>
    <t>$O$50</t>
  </si>
  <si>
    <t>노원구 new</t>
  </si>
  <si>
    <t>$J$51</t>
  </si>
  <si>
    <t>도봉구 곤지암</t>
  </si>
  <si>
    <t>$K$51</t>
  </si>
  <si>
    <t>도봉구 용인</t>
  </si>
  <si>
    <t>$L$51</t>
  </si>
  <si>
    <t>도봉구 군포</t>
  </si>
  <si>
    <t>$M$51</t>
  </si>
  <si>
    <t>도봉구 옥천</t>
  </si>
  <si>
    <t>$N$51</t>
  </si>
  <si>
    <t>도봉구 청원</t>
  </si>
  <si>
    <t>$O$51</t>
  </si>
  <si>
    <t>도봉구 new</t>
  </si>
  <si>
    <t>$J$52</t>
  </si>
  <si>
    <t>동대문구 곤지암</t>
  </si>
  <si>
    <t>$K$52</t>
  </si>
  <si>
    <t>동대문구 용인</t>
  </si>
  <si>
    <t>$L$52</t>
  </si>
  <si>
    <t>동대문구 군포</t>
  </si>
  <si>
    <t>$M$52</t>
  </si>
  <si>
    <t>동대문구 옥천</t>
  </si>
  <si>
    <t>$N$52</t>
  </si>
  <si>
    <t>동대문구 청원</t>
  </si>
  <si>
    <t>$O$52</t>
  </si>
  <si>
    <t>동대문구 new</t>
  </si>
  <si>
    <t>$J$53</t>
  </si>
  <si>
    <t>동작구 곤지암</t>
  </si>
  <si>
    <t>$K$53</t>
  </si>
  <si>
    <t>동작구 용인</t>
  </si>
  <si>
    <t>$L$53</t>
  </si>
  <si>
    <t>동작구 군포</t>
  </si>
  <si>
    <t>$M$53</t>
  </si>
  <si>
    <t>동작구 옥천</t>
  </si>
  <si>
    <t>$N$53</t>
  </si>
  <si>
    <t>동작구 청원</t>
  </si>
  <si>
    <t>$O$53</t>
  </si>
  <si>
    <t>동작구 new</t>
  </si>
  <si>
    <t>$J$54</t>
  </si>
  <si>
    <t>성동구 곤지암</t>
  </si>
  <si>
    <t>$K$54</t>
  </si>
  <si>
    <t>성동구 용인</t>
  </si>
  <si>
    <t>$L$54</t>
  </si>
  <si>
    <t>성동구 군포</t>
  </si>
  <si>
    <t>$M$54</t>
  </si>
  <si>
    <t>성동구 옥천</t>
  </si>
  <si>
    <t>$N$54</t>
  </si>
  <si>
    <t>성동구 청원</t>
  </si>
  <si>
    <t>$O$54</t>
  </si>
  <si>
    <t>성동구 new</t>
  </si>
  <si>
    <t>$J$55</t>
  </si>
  <si>
    <t>양천구 곤지암</t>
  </si>
  <si>
    <t>$K$55</t>
  </si>
  <si>
    <t>양천구 용인</t>
  </si>
  <si>
    <t>$L$55</t>
  </si>
  <si>
    <t>양천구 군포</t>
  </si>
  <si>
    <t>$M$55</t>
  </si>
  <si>
    <t>양천구 옥천</t>
  </si>
  <si>
    <t>$N$55</t>
  </si>
  <si>
    <t>양천구 청원</t>
  </si>
  <si>
    <t>$O$55</t>
  </si>
  <si>
    <t>양천구 new</t>
  </si>
  <si>
    <t>$J$56</t>
  </si>
  <si>
    <t>영등포구 곤지암</t>
  </si>
  <si>
    <t>$K$56</t>
  </si>
  <si>
    <t>영등포구 용인</t>
  </si>
  <si>
    <t>$L$56</t>
  </si>
  <si>
    <t>영등포구 군포</t>
  </si>
  <si>
    <t>$M$56</t>
  </si>
  <si>
    <t>영등포구 옥천</t>
  </si>
  <si>
    <t>$N$56</t>
  </si>
  <si>
    <t>영등포구 청원</t>
  </si>
  <si>
    <t>$O$56</t>
  </si>
  <si>
    <t>영등포구 new</t>
  </si>
  <si>
    <t>$J$57</t>
  </si>
  <si>
    <t>용산구 곤지암</t>
  </si>
  <si>
    <t>$K$57</t>
  </si>
  <si>
    <t>용산구 용인</t>
  </si>
  <si>
    <t>$L$57</t>
  </si>
  <si>
    <t>용산구 군포</t>
  </si>
  <si>
    <t>$M$57</t>
  </si>
  <si>
    <t>용산구 옥천</t>
  </si>
  <si>
    <t>$N$57</t>
  </si>
  <si>
    <t>용산구 청원</t>
  </si>
  <si>
    <t>$O$57</t>
  </si>
  <si>
    <t>용산구 new</t>
  </si>
  <si>
    <t>$J$58</t>
  </si>
  <si>
    <t>은평구 곤지암</t>
  </si>
  <si>
    <t>$K$58</t>
  </si>
  <si>
    <t>은평구 용인</t>
  </si>
  <si>
    <t>$L$58</t>
  </si>
  <si>
    <t>은평구 군포</t>
  </si>
  <si>
    <t>$M$58</t>
  </si>
  <si>
    <t>은평구 옥천</t>
  </si>
  <si>
    <t>$N$58</t>
  </si>
  <si>
    <t>은평구 청원</t>
  </si>
  <si>
    <t>$O$58</t>
  </si>
  <si>
    <t>은평구 new</t>
  </si>
  <si>
    <t>$J$59</t>
  </si>
  <si>
    <t>중랑구 곤지암</t>
  </si>
  <si>
    <t>$K$59</t>
  </si>
  <si>
    <t>중랑구 용인</t>
  </si>
  <si>
    <t>$L$59</t>
  </si>
  <si>
    <t>중랑구 군포</t>
  </si>
  <si>
    <t>$M$59</t>
  </si>
  <si>
    <t>중랑구 옥천</t>
  </si>
  <si>
    <t>$N$59</t>
  </si>
  <si>
    <t>중랑구 청원</t>
  </si>
  <si>
    <t>$O$59</t>
  </si>
  <si>
    <t>중랑구 new</t>
  </si>
  <si>
    <t>$J$60</t>
  </si>
  <si>
    <t>종로구 곤지암</t>
  </si>
  <si>
    <t>$K$60</t>
  </si>
  <si>
    <t>종로구 용인</t>
  </si>
  <si>
    <t>$L$60</t>
  </si>
  <si>
    <t>종로구 군포</t>
  </si>
  <si>
    <t>$M$60</t>
  </si>
  <si>
    <t>종로구 옥천</t>
  </si>
  <si>
    <t>$N$60</t>
  </si>
  <si>
    <t>종로구 청원</t>
  </si>
  <si>
    <t>$O$60</t>
  </si>
  <si>
    <t>종로구 new</t>
  </si>
  <si>
    <t>$J$61</t>
  </si>
  <si>
    <t>서초구 곤지암</t>
  </si>
  <si>
    <t>$K$61</t>
  </si>
  <si>
    <t>서초구 용인</t>
  </si>
  <si>
    <t>$L$61</t>
  </si>
  <si>
    <t>서초구 군포</t>
  </si>
  <si>
    <t>$M$61</t>
  </si>
  <si>
    <t>서초구 옥천</t>
  </si>
  <si>
    <t>$N$61</t>
  </si>
  <si>
    <t>서초구 청원</t>
  </si>
  <si>
    <t>$O$61</t>
  </si>
  <si>
    <t>서초구 new</t>
  </si>
  <si>
    <t>$J$62</t>
  </si>
  <si>
    <t>서대문구 곤지암</t>
  </si>
  <si>
    <t>$K$62</t>
  </si>
  <si>
    <t>서대문구 용인</t>
  </si>
  <si>
    <t>$L$62</t>
  </si>
  <si>
    <t>서대문구 군포</t>
  </si>
  <si>
    <t>$M$62</t>
  </si>
  <si>
    <t>서대문구 옥천</t>
  </si>
  <si>
    <t>$N$62</t>
  </si>
  <si>
    <t>서대문구 청원</t>
  </si>
  <si>
    <t>$O$62</t>
  </si>
  <si>
    <t>서대문구 new</t>
  </si>
  <si>
    <t>$J$63</t>
  </si>
  <si>
    <t>강서구 곤지암</t>
  </si>
  <si>
    <t>$K$63</t>
  </si>
  <si>
    <t>강서구 용인</t>
  </si>
  <si>
    <t>$L$63</t>
  </si>
  <si>
    <t>강서구 군포</t>
  </si>
  <si>
    <t>$M$63</t>
  </si>
  <si>
    <t>강서구 옥천</t>
  </si>
  <si>
    <t>$N$63</t>
  </si>
  <si>
    <t>강서구 청원</t>
  </si>
  <si>
    <t>$O$63</t>
  </si>
  <si>
    <t>강서구 new</t>
  </si>
  <si>
    <t>$J$64</t>
  </si>
  <si>
    <t>성북구 곤지암</t>
  </si>
  <si>
    <t>$K$64</t>
  </si>
  <si>
    <t>성북구 용인</t>
  </si>
  <si>
    <t>$L$64</t>
  </si>
  <si>
    <t>성북구 군포</t>
  </si>
  <si>
    <t>$M$64</t>
  </si>
  <si>
    <t>성북구 옥천</t>
  </si>
  <si>
    <t>$N$64</t>
  </si>
  <si>
    <t>성북구 청원</t>
  </si>
  <si>
    <t>$O$64</t>
  </si>
  <si>
    <t>성북구 new</t>
  </si>
  <si>
    <t>$J$65</t>
  </si>
  <si>
    <t>강북구 곤지암</t>
  </si>
  <si>
    <t>$K$65</t>
  </si>
  <si>
    <t>강북구 용인</t>
  </si>
  <si>
    <t>$L$65</t>
  </si>
  <si>
    <t>강북구 군포</t>
  </si>
  <si>
    <t>$M$65</t>
  </si>
  <si>
    <t>강북구 옥천</t>
  </si>
  <si>
    <t>$N$65</t>
  </si>
  <si>
    <t>강북구 청원</t>
  </si>
  <si>
    <t>$O$65</t>
  </si>
  <si>
    <t>강북구 new</t>
  </si>
  <si>
    <t>$J$66</t>
  </si>
  <si>
    <t>구로구 곤지암</t>
  </si>
  <si>
    <t>$K$66</t>
  </si>
  <si>
    <t>구로구 용인</t>
  </si>
  <si>
    <t>$L$66</t>
  </si>
  <si>
    <t>구로구 군포</t>
  </si>
  <si>
    <t>$M$66</t>
  </si>
  <si>
    <t>구로구 옥천</t>
  </si>
  <si>
    <t>$N$66</t>
  </si>
  <si>
    <t>구로구 청원</t>
  </si>
  <si>
    <t>$O$66</t>
  </si>
  <si>
    <t>구로구 new</t>
  </si>
  <si>
    <t>$J$67</t>
  </si>
  <si>
    <t>마포구 곤지암</t>
  </si>
  <si>
    <t>$K$67</t>
  </si>
  <si>
    <t>마포구 용인</t>
  </si>
  <si>
    <t>$L$67</t>
  </si>
  <si>
    <t>마포구 군포</t>
  </si>
  <si>
    <t>$M$67</t>
  </si>
  <si>
    <t>마포구 옥천</t>
  </si>
  <si>
    <t>$N$67</t>
  </si>
  <si>
    <t>마포구 청원</t>
  </si>
  <si>
    <t>$O$67</t>
  </si>
  <si>
    <t>마포구 new</t>
  </si>
  <si>
    <t>$J$68</t>
  </si>
  <si>
    <t>중구 곤지암</t>
  </si>
  <si>
    <t>$K$68</t>
  </si>
  <si>
    <t>중구 용인</t>
  </si>
  <si>
    <t>$L$68</t>
  </si>
  <si>
    <t>중구 군포</t>
  </si>
  <si>
    <t>$M$68</t>
  </si>
  <si>
    <t>중구 옥천</t>
  </si>
  <si>
    <t>$N$68</t>
  </si>
  <si>
    <t>중구 청원</t>
  </si>
  <si>
    <t>$O$68</t>
  </si>
  <si>
    <t>중구 new</t>
  </si>
  <si>
    <t>$J$70</t>
  </si>
  <si>
    <t>sum of production at each location 곤지암</t>
  </si>
  <si>
    <t>$K$70</t>
  </si>
  <si>
    <t>sum of production at each location 용인</t>
  </si>
  <si>
    <t>$L$70</t>
  </si>
  <si>
    <t>sum of production at each location 군포</t>
  </si>
  <si>
    <t>$M$70</t>
  </si>
  <si>
    <t>sum of production at each location 옥천</t>
  </si>
  <si>
    <t>$N$70</t>
  </si>
  <si>
    <t>sum of production at each location 청원</t>
  </si>
  <si>
    <t>$O$70</t>
  </si>
  <si>
    <t>sum of production at each location new</t>
  </si>
  <si>
    <t>$P$46</t>
  </si>
  <si>
    <t>강남구 sum shipped to</t>
  </si>
  <si>
    <t>$P$47</t>
  </si>
  <si>
    <t>강동구 sum shipped to</t>
  </si>
  <si>
    <t>$P$48</t>
  </si>
  <si>
    <t>관악구 sum shipped to</t>
  </si>
  <si>
    <t>$P$49</t>
  </si>
  <si>
    <t>광진구 sum shipped to</t>
  </si>
  <si>
    <t>$P$50</t>
  </si>
  <si>
    <t>노원구 sum shipped to</t>
  </si>
  <si>
    <t>$P$51</t>
  </si>
  <si>
    <t>도봉구 sum shipped to</t>
  </si>
  <si>
    <t>$P$52</t>
  </si>
  <si>
    <t>동대문구 sum shipped to</t>
  </si>
  <si>
    <t>$P$53</t>
  </si>
  <si>
    <t>동작구 sum shipped to</t>
  </si>
  <si>
    <t>$P$54</t>
  </si>
  <si>
    <t>성동구 sum shipped to</t>
  </si>
  <si>
    <t>$P$55</t>
  </si>
  <si>
    <t>양천구 sum shipped to</t>
  </si>
  <si>
    <t>$P$56</t>
  </si>
  <si>
    <t>영등포구 sum shipped to</t>
  </si>
  <si>
    <t>$P$57</t>
  </si>
  <si>
    <t>용산구 sum shipped to</t>
  </si>
  <si>
    <t>$P$58</t>
  </si>
  <si>
    <t>은평구 sum shipped to</t>
  </si>
  <si>
    <t>$P$59</t>
  </si>
  <si>
    <t>중랑구 sum shipped to</t>
  </si>
  <si>
    <t>$P$60</t>
  </si>
  <si>
    <t>종로구 sum shipped to</t>
  </si>
  <si>
    <t>$P$61</t>
  </si>
  <si>
    <t>서초구 sum shipped to</t>
  </si>
  <si>
    <t>$P$62</t>
  </si>
  <si>
    <t>서대문구 sum shipped to</t>
  </si>
  <si>
    <t>$P$63</t>
  </si>
  <si>
    <t>강서구 sum shipped to</t>
  </si>
  <si>
    <t>$P$64</t>
  </si>
  <si>
    <t>성북구 sum shipped to</t>
  </si>
  <si>
    <t>$P$65</t>
  </si>
  <si>
    <t>강북구 sum shipped to</t>
  </si>
  <si>
    <t>$P$66</t>
  </si>
  <si>
    <t>구로구 sum shipped to</t>
  </si>
  <si>
    <t>$P$67</t>
  </si>
  <si>
    <t>마포구 sum shipped to</t>
  </si>
  <si>
    <t>$P$68</t>
  </si>
  <si>
    <t>중구 sum shipped to</t>
  </si>
  <si>
    <t>보고서 작성일: 2023-06-01 오전 12:12:13</t>
  </si>
  <si>
    <t>shipping cost ,= (이동거리x 화물차 단위거리당 비용 ) / 1개의 택배차에 들어가는 택배물량</t>
  </si>
  <si>
    <t>lease cost =</t>
  </si>
  <si>
    <t>1. 우리가 구해야 할 고정비</t>
  </si>
  <si>
    <t>2. 사업보고서에서 fixed cost 구하기</t>
  </si>
  <si>
    <t>건물 임대료, 인력비용, 전기 및 수도세, 보안 비용, 유지보수비용, 통신비, 소모품 및 용품, 기타 비용</t>
  </si>
  <si>
    <t>택배 산업부문만 확인하기</t>
  </si>
  <si>
    <t>순매출액 - 영업이익 = 영업비용 구하기</t>
  </si>
  <si>
    <t xml:space="preserve"> </t>
  </si>
  <si>
    <t>택배 사업부문 비용 비율 : 30.1 %</t>
  </si>
  <si>
    <t>* 단 여기서는 운송비와 유류비를 제외하고 우리가 구한 운송비용으로 더해줄 것</t>
  </si>
  <si>
    <t>영업비용</t>
  </si>
  <si>
    <t>순매출액</t>
  </si>
  <si>
    <t>영업이익</t>
  </si>
  <si>
    <t>택배사업부문</t>
  </si>
  <si>
    <t>감가상각비</t>
  </si>
  <si>
    <t>종업원급여</t>
  </si>
  <si>
    <t>임차료</t>
  </si>
  <si>
    <t>세금과공과</t>
  </si>
  <si>
    <t>수도광열비</t>
  </si>
  <si>
    <t>소모품비</t>
  </si>
  <si>
    <t>비율</t>
  </si>
  <si>
    <t>전체비용</t>
  </si>
  <si>
    <t>&gt; 그러면 영업비용에서 택배산업부문에 들어가는 고정비가 나옴</t>
  </si>
  <si>
    <t>&gt; 우리가 구한 터미널 간 유닛당 운송비용 더해주면 전체 fixed cost 나옴</t>
  </si>
  <si>
    <t>택배사업부문 비율</t>
  </si>
  <si>
    <t>비용의 성격별 분류</t>
  </si>
  <si>
    <t>합계</t>
  </si>
  <si>
    <t>택배사업부문 비용</t>
  </si>
  <si>
    <t>면적당 토지비 *각 공장 크기</t>
    <phoneticPr fontId="1" type="noConversion"/>
  </si>
  <si>
    <t>택배산업부문 고정비용</t>
    <phoneticPr fontId="1" type="noConversion"/>
  </si>
  <si>
    <t>곤지암</t>
  </si>
  <si>
    <t>용인</t>
  </si>
  <si>
    <t>군포</t>
  </si>
  <si>
    <t>옥천</t>
  </si>
  <si>
    <t>청원</t>
  </si>
  <si>
    <t>new 면적 = 총면적 * 전체용량에서 new 용량이 차지하는 비율</t>
    <phoneticPr fontId="1" type="noConversion"/>
  </si>
  <si>
    <t>capacity(monthly)</t>
    <phoneticPr fontId="1" type="noConversion"/>
  </si>
  <si>
    <t>Hub 용량 총 합:</t>
    <phoneticPr fontId="1" type="noConversion"/>
  </si>
  <si>
    <t>New Hub용량/Hub용량 총 합:</t>
    <phoneticPr fontId="1" type="noConversion"/>
  </si>
  <si>
    <t>New 면적 = 총면적 * 전체용량에서 New 용량이 차지하는 비율:</t>
    <phoneticPr fontId="1" type="noConversion"/>
  </si>
  <si>
    <t>고정비에 포함되는 과목/ 전체 합계 의 비율로 전체 영업비용에 가중치를 줌</t>
    <phoneticPr fontId="1" type="noConversion"/>
  </si>
  <si>
    <t>3.fixed cost(1유닛당) =(택배산업 영업 고정비용)*Hub면적비율/Hub용량</t>
    <phoneticPr fontId="1" type="noConversion"/>
  </si>
  <si>
    <t>택배사업부문 영업비용 ( 순매출액-영업이익)</t>
    <phoneticPr fontId="1" type="noConversion"/>
  </si>
  <si>
    <t xml:space="preserve">     </t>
    <phoneticPr fontId="1" type="noConversion"/>
  </si>
  <si>
    <t>shipping cost ,= (이동거리x 화물차 단위거리당 비용 ) / 1개의 택배차에 들어가는 택배물량</t>
    <phoneticPr fontId="1" type="noConversion"/>
  </si>
  <si>
    <t>Fixed cost</t>
    <phoneticPr fontId="1" type="noConversion"/>
  </si>
  <si>
    <t>&gt; 택배사업부문에서의 고정비용( 공장 면적 이랑 용량 비율 적용X)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</si>
</sst>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theme="1"/>
      <name val="Calibri"/>
      <family val="2"/>
      <charset val="129"/>
    </font>
    <font>
      <sz val="12"/>
      <color theme="1"/>
      <name val="Malgun Gothic"/>
      <family val="2"/>
      <charset val="129"/>
    </font>
    <font>
      <b/>
      <sz val="12"/>
      <color theme="1"/>
      <name val="맑은 고딕"/>
      <family val="2"/>
      <scheme val="minor"/>
    </font>
    <font>
      <b/>
      <sz val="12"/>
      <color indexed="18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 applyAlignment="1"/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>
      <alignment vertical="center"/>
    </xf>
    <xf numFmtId="0" fontId="0" fillId="0" borderId="14" xfId="0" applyBorder="1">
      <alignment vertical="center"/>
    </xf>
    <xf numFmtId="0" fontId="2" fillId="0" borderId="15" xfId="0" applyFont="1" applyBorder="1">
      <alignment vertical="center"/>
    </xf>
    <xf numFmtId="0" fontId="0" fillId="0" borderId="16" xfId="0" applyBorder="1">
      <alignment vertical="center"/>
    </xf>
    <xf numFmtId="0" fontId="2" fillId="0" borderId="17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10" fontId="0" fillId="0" borderId="0" xfId="0" applyNumberFormat="1">
      <alignment vertical="center"/>
    </xf>
    <xf numFmtId="0" fontId="7" fillId="0" borderId="32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1</xdr:rowOff>
    </xdr:from>
    <xdr:to>
      <xdr:col>17</xdr:col>
      <xdr:colOff>10886</xdr:colOff>
      <xdr:row>37</xdr:row>
      <xdr:rowOff>149921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A8D68A-1E96-94AF-DA4F-2BA3ECD15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1714" y="4702630"/>
          <a:ext cx="3407229" cy="2697177"/>
        </a:xfrm>
        <a:prstGeom prst="rect">
          <a:avLst/>
        </a:prstGeom>
      </xdr:spPr>
    </xdr:pic>
    <xdr:clientData/>
  </xdr:twoCellAnchor>
  <xdr:twoCellAnchor editAs="oneCell">
    <xdr:from>
      <xdr:col>16</xdr:col>
      <xdr:colOff>805543</xdr:colOff>
      <xdr:row>23</xdr:row>
      <xdr:rowOff>174172</xdr:rowOff>
    </xdr:from>
    <xdr:to>
      <xdr:col>22</xdr:col>
      <xdr:colOff>362337</xdr:colOff>
      <xdr:row>37</xdr:row>
      <xdr:rowOff>10886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8EDC245-CAA3-4202-3F4D-7325AA22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4514" y="4680858"/>
          <a:ext cx="4651309" cy="257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</xdr:row>
      <xdr:rowOff>22861</xdr:rowOff>
    </xdr:from>
    <xdr:to>
      <xdr:col>5</xdr:col>
      <xdr:colOff>520675</xdr:colOff>
      <xdr:row>15</xdr:row>
      <xdr:rowOff>114301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F9A8D0-F68C-6835-4CBE-585A010F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220981"/>
          <a:ext cx="3865855" cy="2865120"/>
        </a:xfrm>
        <a:prstGeom prst="rect">
          <a:avLst/>
        </a:prstGeom>
      </xdr:spPr>
    </xdr:pic>
    <xdr:clientData/>
  </xdr:twoCellAnchor>
  <xdr:twoCellAnchor editAs="oneCell">
    <xdr:from>
      <xdr:col>0</xdr:col>
      <xdr:colOff>107109</xdr:colOff>
      <xdr:row>16</xdr:row>
      <xdr:rowOff>198916</xdr:rowOff>
    </xdr:from>
    <xdr:to>
      <xdr:col>8</xdr:col>
      <xdr:colOff>129969</xdr:colOff>
      <xdr:row>24</xdr:row>
      <xdr:rowOff>184073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F08F16E-B7B0-AD35-CD18-652E9C787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09" y="3901808"/>
          <a:ext cx="6265752" cy="1836602"/>
        </a:xfrm>
        <a:prstGeom prst="rect">
          <a:avLst/>
        </a:prstGeom>
      </xdr:spPr>
    </xdr:pic>
    <xdr:clientData/>
  </xdr:twoCellAnchor>
  <xdr:twoCellAnchor>
    <xdr:from>
      <xdr:col>3</xdr:col>
      <xdr:colOff>236220</xdr:colOff>
      <xdr:row>19</xdr:row>
      <xdr:rowOff>15240</xdr:rowOff>
    </xdr:from>
    <xdr:to>
      <xdr:col>4</xdr:col>
      <xdr:colOff>327660</xdr:colOff>
      <xdr:row>24</xdr:row>
      <xdr:rowOff>152400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27E0B2B-9C62-1AF1-B833-5650760059BE}"/>
            </a:ext>
          </a:extLst>
        </xdr:cNvPr>
        <xdr:cNvSpPr/>
      </xdr:nvSpPr>
      <xdr:spPr>
        <a:xfrm>
          <a:off x="2247900" y="3802380"/>
          <a:ext cx="762000" cy="11277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27</xdr:row>
      <xdr:rowOff>167639</xdr:rowOff>
    </xdr:from>
    <xdr:to>
      <xdr:col>8</xdr:col>
      <xdr:colOff>0</xdr:colOff>
      <xdr:row>36</xdr:row>
      <xdr:rowOff>142448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DEDB689-86F5-DEDA-591F-6FBA4FF1D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10531"/>
          <a:ext cx="6242892" cy="2040471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31</xdr:row>
      <xdr:rowOff>99060</xdr:rowOff>
    </xdr:from>
    <xdr:to>
      <xdr:col>7</xdr:col>
      <xdr:colOff>579120</xdr:colOff>
      <xdr:row>32</xdr:row>
      <xdr:rowOff>167640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4139B19-B734-4BF5-BC23-EADD0A547B2E}"/>
            </a:ext>
          </a:extLst>
        </xdr:cNvPr>
        <xdr:cNvSpPr/>
      </xdr:nvSpPr>
      <xdr:spPr>
        <a:xfrm>
          <a:off x="30480" y="6263640"/>
          <a:ext cx="524256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</xdr:colOff>
      <xdr:row>39</xdr:row>
      <xdr:rowOff>0</xdr:rowOff>
    </xdr:from>
    <xdr:to>
      <xdr:col>7</xdr:col>
      <xdr:colOff>584385</xdr:colOff>
      <xdr:row>64</xdr:row>
      <xdr:rowOff>76200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71E81DC-712C-5D5D-9478-D1C9BB5CD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749540"/>
          <a:ext cx="5278304" cy="50292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64</xdr:row>
      <xdr:rowOff>68580</xdr:rowOff>
    </xdr:from>
    <xdr:to>
      <xdr:col>7</xdr:col>
      <xdr:colOff>640080</xdr:colOff>
      <xdr:row>71</xdr:row>
      <xdr:rowOff>19920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216D3B8-8360-0C76-AD9B-35C6B5B35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1" y="12771120"/>
          <a:ext cx="5318759" cy="1338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258-893C-204B-8805-B5697E937C0F}">
  <dimension ref="A1:W73"/>
  <sheetViews>
    <sheetView topLeftCell="A5" zoomScale="88" zoomScaleNormal="70" workbookViewId="0">
      <selection activeCell="B35" sqref="B35"/>
    </sheetView>
  </sheetViews>
  <sheetFormatPr baseColWidth="10" defaultColWidth="11.140625" defaultRowHeight="18"/>
  <cols>
    <col min="1" max="1" width="15.140625" customWidth="1"/>
    <col min="2" max="2" width="12.7109375" bestFit="1" customWidth="1"/>
    <col min="3" max="3" width="11.7109375" bestFit="1" customWidth="1"/>
    <col min="4" max="5" width="12.7109375" bestFit="1" customWidth="1"/>
    <col min="6" max="6" width="11.7109375" bestFit="1" customWidth="1"/>
    <col min="11" max="11" width="29.28515625" customWidth="1"/>
  </cols>
  <sheetData>
    <row r="1" spans="1:23">
      <c r="A1" s="1"/>
    </row>
    <row r="6" spans="1:23">
      <c r="K6" t="s">
        <v>32</v>
      </c>
    </row>
    <row r="9" spans="1:23">
      <c r="B9" s="45" t="s">
        <v>23</v>
      </c>
      <c r="C9" s="45"/>
      <c r="D9" s="45"/>
      <c r="E9" s="45"/>
      <c r="F9" s="45"/>
      <c r="G9" s="4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B10" s="45"/>
      <c r="C10" s="45"/>
      <c r="D10" s="45"/>
      <c r="E10" s="45"/>
      <c r="F10" s="45"/>
      <c r="G10" s="45"/>
      <c r="H10" s="2" t="s">
        <v>61</v>
      </c>
      <c r="I10" s="2"/>
      <c r="J10" s="2"/>
      <c r="K10" s="2"/>
      <c r="L10" s="2"/>
      <c r="M10" s="2"/>
      <c r="R10" s="2"/>
      <c r="S10" s="2"/>
      <c r="T10" s="2"/>
      <c r="U10" s="2"/>
      <c r="V10" s="2"/>
      <c r="W10" s="2"/>
    </row>
    <row r="11" spans="1:23">
      <c r="A11" t="s">
        <v>29</v>
      </c>
      <c r="B11" t="s">
        <v>24</v>
      </c>
      <c r="C11" t="s">
        <v>25</v>
      </c>
      <c r="D11" t="s">
        <v>27</v>
      </c>
      <c r="E11" t="s">
        <v>26</v>
      </c>
      <c r="F11" t="s">
        <v>28</v>
      </c>
      <c r="G11" t="s">
        <v>30</v>
      </c>
      <c r="H11" t="s">
        <v>31</v>
      </c>
      <c r="K11" t="s">
        <v>60</v>
      </c>
    </row>
    <row r="12" spans="1:23">
      <c r="A12" s="3" t="s">
        <v>7</v>
      </c>
      <c r="B12">
        <f>H12/27163459*169217668</f>
        <v>14518952.026489558</v>
      </c>
      <c r="C12">
        <f>H12/27163459*32437049.1</f>
        <v>2783113.4025779525</v>
      </c>
      <c r="D12">
        <f>H12/27163459*73576721.2</f>
        <v>6312915.7728919731</v>
      </c>
      <c r="E12">
        <f>H12/27163459*146010674</f>
        <v>12527781.503060345</v>
      </c>
      <c r="F12">
        <f>H12/27163459*18196393.4</f>
        <v>1561258.7382408036</v>
      </c>
      <c r="H12" s="4">
        <v>2330637</v>
      </c>
    </row>
    <row r="13" spans="1:23">
      <c r="A13" s="3" t="s">
        <v>8</v>
      </c>
      <c r="B13">
        <f t="shared" ref="B13:B34" si="0">H13/27163459*169217668</f>
        <v>7767378.9677570891</v>
      </c>
      <c r="C13">
        <f t="shared" ref="C13:C34" si="1">H13/27163459*32437049.1</f>
        <v>1488915.7611807061</v>
      </c>
      <c r="D13">
        <f t="shared" ref="D13:D34" si="2">H13/27163459*73576721.2</f>
        <v>3377296.7298273318</v>
      </c>
      <c r="E13">
        <f t="shared" ref="E13:E34" si="3">H13/27163459*146010674</f>
        <v>6702138.4451157711</v>
      </c>
      <c r="F13">
        <f t="shared" ref="F13:F34" si="4">H13/27163459*18196393.4</f>
        <v>835245.4271157661</v>
      </c>
      <c r="H13" s="4">
        <v>1246849</v>
      </c>
      <c r="S13" t="s">
        <v>62</v>
      </c>
    </row>
    <row r="14" spans="1:23">
      <c r="A14" s="3" t="s">
        <v>9</v>
      </c>
      <c r="B14">
        <f t="shared" si="0"/>
        <v>8937106.0007793568</v>
      </c>
      <c r="C14">
        <f t="shared" si="1"/>
        <v>1713138.7613684915</v>
      </c>
      <c r="D14">
        <f t="shared" si="2"/>
        <v>3885900.1209861236</v>
      </c>
      <c r="E14">
        <f t="shared" si="3"/>
        <v>7711445.7739911554</v>
      </c>
      <c r="F14">
        <f t="shared" si="4"/>
        <v>961029.06138431036</v>
      </c>
      <c r="H14" s="4">
        <v>1434618</v>
      </c>
    </row>
    <row r="15" spans="1:23">
      <c r="A15" s="3" t="s">
        <v>10</v>
      </c>
      <c r="B15">
        <f t="shared" si="0"/>
        <v>6597053.8924851948</v>
      </c>
      <c r="C15">
        <f t="shared" si="1"/>
        <v>1264578.1232837248</v>
      </c>
      <c r="D15">
        <f t="shared" si="2"/>
        <v>2868433.3067913335</v>
      </c>
      <c r="E15">
        <f t="shared" si="3"/>
        <v>5692315.0912119113</v>
      </c>
      <c r="F15">
        <f t="shared" si="4"/>
        <v>709397.48388839583</v>
      </c>
      <c r="H15" s="4">
        <v>1058984</v>
      </c>
      <c r="S15" t="s">
        <v>63</v>
      </c>
    </row>
    <row r="16" spans="1:23">
      <c r="A16" s="3" t="s">
        <v>11</v>
      </c>
      <c r="B16">
        <f t="shared" si="0"/>
        <v>8158697.9464294296</v>
      </c>
      <c r="C16">
        <f t="shared" si="1"/>
        <v>1563927.0355646349</v>
      </c>
      <c r="D16">
        <f t="shared" si="2"/>
        <v>3547444.2548129824</v>
      </c>
      <c r="E16">
        <f t="shared" si="3"/>
        <v>7039790.8220823426</v>
      </c>
      <c r="F16">
        <f t="shared" si="4"/>
        <v>877324.92250751273</v>
      </c>
      <c r="H16" s="4">
        <v>1309665</v>
      </c>
      <c r="N16" t="s">
        <v>52</v>
      </c>
    </row>
    <row r="17" spans="1:19">
      <c r="A17" s="3" t="s">
        <v>12</v>
      </c>
      <c r="B17">
        <f t="shared" si="0"/>
        <v>4866587.4951567845</v>
      </c>
      <c r="C17">
        <f t="shared" si="1"/>
        <v>932867.94101102161</v>
      </c>
      <c r="D17">
        <f t="shared" si="2"/>
        <v>2116017.5267665139</v>
      </c>
      <c r="E17">
        <f t="shared" si="3"/>
        <v>4199169.7950110845</v>
      </c>
      <c r="F17">
        <f t="shared" si="4"/>
        <v>523316.16210071772</v>
      </c>
      <c r="H17" s="4">
        <v>781203</v>
      </c>
      <c r="N17" t="s">
        <v>53</v>
      </c>
      <c r="S17" t="s">
        <v>64</v>
      </c>
    </row>
    <row r="18" spans="1:19">
      <c r="A18" s="3" t="s">
        <v>13</v>
      </c>
      <c r="B18">
        <f t="shared" si="0"/>
        <v>6211509.7592858113</v>
      </c>
      <c r="C18">
        <f t="shared" si="1"/>
        <v>1190673.81927922</v>
      </c>
      <c r="D18">
        <f t="shared" si="2"/>
        <v>2700796.7146199606</v>
      </c>
      <c r="E18">
        <f t="shared" si="3"/>
        <v>5359645.5809265682</v>
      </c>
      <c r="F18">
        <f t="shared" si="4"/>
        <v>667938.97188031173</v>
      </c>
      <c r="H18" s="4">
        <v>997095</v>
      </c>
    </row>
    <row r="19" spans="1:19">
      <c r="A19" s="3" t="s">
        <v>14</v>
      </c>
      <c r="B19">
        <f t="shared" si="0"/>
        <v>6951724.0945476051</v>
      </c>
      <c r="C19">
        <f t="shared" si="1"/>
        <v>1332564.2555509848</v>
      </c>
      <c r="D19">
        <f t="shared" si="2"/>
        <v>3022645.7533019045</v>
      </c>
      <c r="E19">
        <f t="shared" si="3"/>
        <v>5998344.8094021454</v>
      </c>
      <c r="F19">
        <f t="shared" si="4"/>
        <v>747536.04589709279</v>
      </c>
      <c r="H19" s="4">
        <v>1115917</v>
      </c>
    </row>
    <row r="20" spans="1:19">
      <c r="A20" s="3" t="s">
        <v>15</v>
      </c>
      <c r="B20">
        <f t="shared" si="0"/>
        <v>6773164.8757866956</v>
      </c>
      <c r="C20">
        <f t="shared" si="1"/>
        <v>1298336.5403563443</v>
      </c>
      <c r="D20">
        <f t="shared" si="2"/>
        <v>2945007.2772979615</v>
      </c>
      <c r="E20">
        <f t="shared" si="3"/>
        <v>5844273.7115768651</v>
      </c>
      <c r="F20">
        <f t="shared" si="4"/>
        <v>728335.13249264751</v>
      </c>
      <c r="H20" s="4">
        <v>1087254</v>
      </c>
    </row>
    <row r="21" spans="1:19">
      <c r="A21" s="3" t="s">
        <v>16</v>
      </c>
      <c r="B21">
        <f t="shared" si="0"/>
        <v>7338732.1853372212</v>
      </c>
      <c r="C21">
        <f t="shared" si="1"/>
        <v>1406749.1831144593</v>
      </c>
      <c r="D21">
        <f t="shared" si="2"/>
        <v>3190918.8818393569</v>
      </c>
      <c r="E21">
        <f t="shared" si="3"/>
        <v>6332277.505955115</v>
      </c>
      <c r="F21">
        <f t="shared" si="4"/>
        <v>789151.98087730282</v>
      </c>
      <c r="H21" s="4">
        <v>1178041</v>
      </c>
      <c r="N21" t="s">
        <v>43</v>
      </c>
    </row>
    <row r="22" spans="1:19">
      <c r="A22" s="3" t="s">
        <v>17</v>
      </c>
      <c r="B22">
        <f t="shared" si="0"/>
        <v>8250042.6704531265</v>
      </c>
      <c r="C22">
        <f t="shared" si="1"/>
        <v>1581436.7515015227</v>
      </c>
      <c r="D22">
        <f t="shared" si="2"/>
        <v>3587161.4153909339</v>
      </c>
      <c r="E22">
        <f t="shared" si="3"/>
        <v>7118608.2699214416</v>
      </c>
      <c r="F22">
        <f t="shared" si="4"/>
        <v>887147.44608318107</v>
      </c>
      <c r="H22" s="4">
        <v>1324328</v>
      </c>
      <c r="N22" t="s">
        <v>44</v>
      </c>
    </row>
    <row r="23" spans="1:19">
      <c r="A23" s="3" t="s">
        <v>18</v>
      </c>
      <c r="B23">
        <f t="shared" si="0"/>
        <v>5464773.0257390263</v>
      </c>
      <c r="C23">
        <f t="shared" si="1"/>
        <v>1047533.1154915359</v>
      </c>
      <c r="D23">
        <f t="shared" si="2"/>
        <v>2376111.7032772298</v>
      </c>
      <c r="E23">
        <f t="shared" si="3"/>
        <v>4715318.4544841656</v>
      </c>
      <c r="F23">
        <f t="shared" si="4"/>
        <v>587640.52828133549</v>
      </c>
      <c r="H23" s="4">
        <v>877226</v>
      </c>
      <c r="N23" t="s">
        <v>45</v>
      </c>
    </row>
    <row r="24" spans="1:19">
      <c r="A24" s="3" t="s">
        <v>19</v>
      </c>
      <c r="B24">
        <f t="shared" si="0"/>
        <v>7613862.7681992929</v>
      </c>
      <c r="C24">
        <f t="shared" si="1"/>
        <v>1459488.5000586486</v>
      </c>
      <c r="D24">
        <f t="shared" si="2"/>
        <v>3310547.0886814231</v>
      </c>
      <c r="E24">
        <f t="shared" si="3"/>
        <v>6569675.8953579515</v>
      </c>
      <c r="F24">
        <f t="shared" si="4"/>
        <v>818737.45136215526</v>
      </c>
      <c r="H24" s="4">
        <v>1222206</v>
      </c>
    </row>
    <row r="25" spans="1:19">
      <c r="A25" s="3" t="s">
        <v>20</v>
      </c>
      <c r="B25">
        <f t="shared" si="0"/>
        <v>5983817.6319540162</v>
      </c>
      <c r="C25">
        <f t="shared" si="1"/>
        <v>1147027.8997884439</v>
      </c>
      <c r="D25">
        <f t="shared" si="2"/>
        <v>2601794.9947042461</v>
      </c>
      <c r="E25">
        <f t="shared" si="3"/>
        <v>5163179.8018555008</v>
      </c>
      <c r="F25">
        <f t="shared" si="4"/>
        <v>643454.6755773261</v>
      </c>
      <c r="H25" s="4">
        <v>960545</v>
      </c>
    </row>
    <row r="26" spans="1:19">
      <c r="A26" s="3" t="s">
        <v>21</v>
      </c>
      <c r="B26">
        <f t="shared" si="0"/>
        <v>3676502.1072201445</v>
      </c>
      <c r="C26">
        <f t="shared" si="1"/>
        <v>704742.48213935492</v>
      </c>
      <c r="D26">
        <f t="shared" si="2"/>
        <v>1598562.2171211406</v>
      </c>
      <c r="E26">
        <f t="shared" si="3"/>
        <v>3172296.1141246408</v>
      </c>
      <c r="F26">
        <f t="shared" si="4"/>
        <v>395343.34369214164</v>
      </c>
      <c r="H26" s="4">
        <v>590166</v>
      </c>
    </row>
    <row r="27" spans="1:19">
      <c r="A27" s="3" t="s">
        <v>22</v>
      </c>
      <c r="B27">
        <f t="shared" si="0"/>
        <v>9868039.7472111341</v>
      </c>
      <c r="C27">
        <f t="shared" si="1"/>
        <v>1891587.8795885495</v>
      </c>
      <c r="D27">
        <f t="shared" si="2"/>
        <v>4290674.9505085489</v>
      </c>
      <c r="E27">
        <f t="shared" si="3"/>
        <v>8514708.6092043724</v>
      </c>
      <c r="F27">
        <f t="shared" si="4"/>
        <v>1061134.6643016634</v>
      </c>
      <c r="H27" s="4">
        <v>1584055</v>
      </c>
    </row>
    <row r="28" spans="1:19">
      <c r="A28" s="3" t="s">
        <v>0</v>
      </c>
      <c r="B28">
        <f t="shared" si="0"/>
        <v>5773587.0923899636</v>
      </c>
      <c r="C28">
        <f t="shared" si="1"/>
        <v>1106729.1625776305</v>
      </c>
      <c r="D28">
        <f t="shared" si="2"/>
        <v>2510385.6638698922</v>
      </c>
      <c r="E28">
        <f t="shared" si="3"/>
        <v>4981780.8785638083</v>
      </c>
      <c r="F28">
        <f t="shared" si="4"/>
        <v>620848.06689505919</v>
      </c>
      <c r="H28" s="4">
        <v>926798</v>
      </c>
    </row>
    <row r="29" spans="1:19">
      <c r="A29" s="3" t="s">
        <v>1</v>
      </c>
      <c r="B29">
        <f t="shared" si="0"/>
        <v>11296993.177019466</v>
      </c>
      <c r="C29">
        <f t="shared" si="1"/>
        <v>2165501.550141593</v>
      </c>
      <c r="D29">
        <f t="shared" si="2"/>
        <v>4911991.3257749388</v>
      </c>
      <c r="E29">
        <f t="shared" si="3"/>
        <v>9747691.2868815418</v>
      </c>
      <c r="F29">
        <f t="shared" si="4"/>
        <v>1214793.552681284</v>
      </c>
      <c r="H29" s="4">
        <v>1813436</v>
      </c>
    </row>
    <row r="30" spans="1:19">
      <c r="A30" s="3" t="s">
        <v>2</v>
      </c>
      <c r="B30">
        <f t="shared" si="0"/>
        <v>8112237.5391615629</v>
      </c>
      <c r="C30">
        <f t="shared" si="1"/>
        <v>1555021.1185314693</v>
      </c>
      <c r="D30">
        <f t="shared" si="2"/>
        <v>3527243.0283524795</v>
      </c>
      <c r="E30">
        <f t="shared" si="3"/>
        <v>6999702.1276825611</v>
      </c>
      <c r="F30">
        <f t="shared" si="4"/>
        <v>872328.92026872572</v>
      </c>
      <c r="H30" s="4">
        <v>1302207</v>
      </c>
    </row>
    <row r="31" spans="1:19">
      <c r="A31" s="3" t="s">
        <v>3</v>
      </c>
      <c r="B31">
        <f t="shared" si="0"/>
        <v>4548030.323522347</v>
      </c>
      <c r="C31">
        <f t="shared" si="1"/>
        <v>871804.25457927503</v>
      </c>
      <c r="D31">
        <f t="shared" si="2"/>
        <v>1977507.2135076907</v>
      </c>
      <c r="E31">
        <f t="shared" si="3"/>
        <v>3924300.4631758421</v>
      </c>
      <c r="F31">
        <f t="shared" si="4"/>
        <v>489060.92336612206</v>
      </c>
      <c r="H31" s="4">
        <v>730067</v>
      </c>
    </row>
    <row r="32" spans="1:19">
      <c r="A32" s="3" t="s">
        <v>4</v>
      </c>
      <c r="B32">
        <f t="shared" si="0"/>
        <v>7274006.571028675</v>
      </c>
      <c r="C32">
        <f t="shared" si="1"/>
        <v>1394342.0393795981</v>
      </c>
      <c r="D32">
        <f t="shared" si="2"/>
        <v>3162775.848462495</v>
      </c>
      <c r="E32">
        <f t="shared" si="3"/>
        <v>6276428.5471439399</v>
      </c>
      <c r="F32">
        <f t="shared" si="4"/>
        <v>782191.87585437472</v>
      </c>
      <c r="H32" s="4">
        <v>1167651</v>
      </c>
    </row>
    <row r="33" spans="1:19">
      <c r="A33" s="3" t="s">
        <v>5</v>
      </c>
      <c r="B33">
        <f t="shared" si="0"/>
        <v>8575047.485091351</v>
      </c>
      <c r="C33">
        <f t="shared" si="1"/>
        <v>1643736.3757355388</v>
      </c>
      <c r="D33">
        <f t="shared" si="2"/>
        <v>3728475.1973258932</v>
      </c>
      <c r="E33">
        <f t="shared" si="3"/>
        <v>7399040.9965949478</v>
      </c>
      <c r="F33">
        <f t="shared" si="4"/>
        <v>922096.01578011841</v>
      </c>
      <c r="H33" s="4">
        <v>1376499</v>
      </c>
    </row>
    <row r="34" spans="1:19">
      <c r="A34" s="3" t="s">
        <v>6</v>
      </c>
      <c r="B34">
        <f t="shared" si="0"/>
        <v>4659820.6169551527</v>
      </c>
      <c r="C34">
        <f t="shared" si="1"/>
        <v>893233.14719930186</v>
      </c>
      <c r="D34">
        <f t="shared" si="2"/>
        <v>2026114.2138876496</v>
      </c>
      <c r="E34">
        <f t="shared" si="3"/>
        <v>4020759.5166759873</v>
      </c>
      <c r="F34">
        <f t="shared" si="4"/>
        <v>501082.00947165082</v>
      </c>
      <c r="H34" s="4">
        <v>748012</v>
      </c>
    </row>
    <row r="35" spans="1:19">
      <c r="A35" s="3" t="s">
        <v>33</v>
      </c>
      <c r="B35">
        <v>169217668.22999999</v>
      </c>
      <c r="C35">
        <v>32437049.1318</v>
      </c>
      <c r="D35">
        <f>439526411*0.1674</f>
        <v>73576721.201399997</v>
      </c>
      <c r="E35">
        <f>439526411*0.3322</f>
        <v>146010673.7342</v>
      </c>
      <c r="F35">
        <f>439526411*0.0414</f>
        <v>18196393.415399998</v>
      </c>
      <c r="H35">
        <f>SUM(H12:H34)</f>
        <v>27163459</v>
      </c>
    </row>
    <row r="36" spans="1:19">
      <c r="A36" s="3" t="s">
        <v>34</v>
      </c>
      <c r="B36">
        <f>70279510183.7*0.385</f>
        <v>27057611420.724499</v>
      </c>
      <c r="C36">
        <f>70279510183.7*0.0738</f>
        <v>5186627851.5570602</v>
      </c>
      <c r="D36">
        <f>70279510183.7*0.1674</f>
        <v>11764790004.751379</v>
      </c>
      <c r="E36">
        <f>70279510183.7*0.3322</f>
        <v>23346853283.025139</v>
      </c>
      <c r="F36">
        <f>70279510183.7*0.0414</f>
        <v>2909571721.6051798</v>
      </c>
    </row>
    <row r="40" spans="1:19">
      <c r="B40" t="s">
        <v>36</v>
      </c>
      <c r="N40" t="s">
        <v>46</v>
      </c>
      <c r="O40" t="s">
        <v>48</v>
      </c>
    </row>
    <row r="41" spans="1:19">
      <c r="B41" t="s">
        <v>35</v>
      </c>
      <c r="N41" t="s">
        <v>47</v>
      </c>
      <c r="P41" t="s">
        <v>49</v>
      </c>
    </row>
    <row r="42" spans="1:19">
      <c r="B42" t="s">
        <v>37</v>
      </c>
      <c r="N42" t="s">
        <v>50</v>
      </c>
      <c r="O42" t="s">
        <v>54</v>
      </c>
      <c r="S42" t="s">
        <v>65</v>
      </c>
    </row>
    <row r="43" spans="1:19">
      <c r="N43" t="s">
        <v>51</v>
      </c>
      <c r="O43" t="s">
        <v>55</v>
      </c>
    </row>
    <row r="44" spans="1:19">
      <c r="B44" t="s">
        <v>24</v>
      </c>
      <c r="C44" t="s">
        <v>25</v>
      </c>
      <c r="D44" t="s">
        <v>27</v>
      </c>
      <c r="E44" t="s">
        <v>26</v>
      </c>
      <c r="F44" t="s">
        <v>28</v>
      </c>
      <c r="H44" t="s">
        <v>41</v>
      </c>
      <c r="I44" t="s">
        <v>42</v>
      </c>
      <c r="N44" t="s">
        <v>56</v>
      </c>
      <c r="O44" t="s">
        <v>57</v>
      </c>
    </row>
    <row r="45" spans="1:19">
      <c r="A45" s="3" t="s">
        <v>7</v>
      </c>
      <c r="B45">
        <v>0</v>
      </c>
      <c r="C45">
        <v>0</v>
      </c>
      <c r="D45">
        <v>0</v>
      </c>
      <c r="E45">
        <v>0</v>
      </c>
      <c r="F45">
        <v>2330637</v>
      </c>
      <c r="H45">
        <f>SUM(B45:F45)</f>
        <v>2330637</v>
      </c>
      <c r="I45" s="4">
        <f t="shared" ref="I45:I67" si="5">H12</f>
        <v>2330637</v>
      </c>
      <c r="N45" t="s">
        <v>58</v>
      </c>
      <c r="O45" t="s">
        <v>59</v>
      </c>
    </row>
    <row r="46" spans="1:19">
      <c r="A46" s="3" t="s">
        <v>8</v>
      </c>
      <c r="B46">
        <v>0</v>
      </c>
      <c r="C46">
        <v>0</v>
      </c>
      <c r="D46">
        <v>0</v>
      </c>
      <c r="E46">
        <v>0</v>
      </c>
      <c r="F46">
        <v>1246849</v>
      </c>
      <c r="H46">
        <f t="shared" ref="H46:H67" si="6">SUM(B46:F46)</f>
        <v>1246849</v>
      </c>
      <c r="I46" s="4">
        <f t="shared" si="5"/>
        <v>1246849</v>
      </c>
    </row>
    <row r="47" spans="1:19">
      <c r="A47" s="3" t="s">
        <v>9</v>
      </c>
      <c r="B47">
        <v>0</v>
      </c>
      <c r="C47">
        <v>0</v>
      </c>
      <c r="D47">
        <v>0</v>
      </c>
      <c r="E47">
        <v>0</v>
      </c>
      <c r="F47">
        <v>1434618</v>
      </c>
      <c r="H47">
        <f t="shared" si="6"/>
        <v>1434618</v>
      </c>
      <c r="I47" s="4">
        <f t="shared" si="5"/>
        <v>1434618</v>
      </c>
    </row>
    <row r="48" spans="1:19">
      <c r="A48" s="3" t="s">
        <v>10</v>
      </c>
      <c r="B48">
        <v>0</v>
      </c>
      <c r="C48">
        <v>1058984</v>
      </c>
      <c r="D48">
        <v>0</v>
      </c>
      <c r="E48">
        <v>0</v>
      </c>
      <c r="F48">
        <v>0</v>
      </c>
      <c r="H48">
        <f t="shared" si="6"/>
        <v>1058984</v>
      </c>
      <c r="I48" s="4">
        <f t="shared" si="5"/>
        <v>1058984</v>
      </c>
    </row>
    <row r="49" spans="1:9">
      <c r="A49" s="3" t="s">
        <v>11</v>
      </c>
      <c r="B49">
        <v>0</v>
      </c>
      <c r="C49">
        <v>0</v>
      </c>
      <c r="D49">
        <v>0</v>
      </c>
      <c r="E49">
        <v>0</v>
      </c>
      <c r="F49">
        <v>1309665</v>
      </c>
      <c r="H49">
        <f t="shared" si="6"/>
        <v>1309665</v>
      </c>
      <c r="I49" s="4">
        <f t="shared" si="5"/>
        <v>1309665</v>
      </c>
    </row>
    <row r="50" spans="1:9">
      <c r="A50" s="3" t="s">
        <v>12</v>
      </c>
      <c r="B50">
        <v>0</v>
      </c>
      <c r="C50">
        <v>781203</v>
      </c>
      <c r="D50">
        <v>0</v>
      </c>
      <c r="E50">
        <v>0</v>
      </c>
      <c r="F50">
        <v>0</v>
      </c>
      <c r="H50">
        <f t="shared" si="6"/>
        <v>781203</v>
      </c>
      <c r="I50" s="4">
        <f t="shared" si="5"/>
        <v>781203</v>
      </c>
    </row>
    <row r="51" spans="1:9">
      <c r="A51" s="3" t="s">
        <v>13</v>
      </c>
      <c r="B51">
        <v>0</v>
      </c>
      <c r="C51">
        <v>997095</v>
      </c>
      <c r="D51">
        <v>0</v>
      </c>
      <c r="E51">
        <v>0</v>
      </c>
      <c r="F51">
        <v>0</v>
      </c>
      <c r="H51">
        <f t="shared" si="6"/>
        <v>997095</v>
      </c>
      <c r="I51" s="4">
        <f t="shared" si="5"/>
        <v>997095</v>
      </c>
    </row>
    <row r="52" spans="1:9">
      <c r="A52" s="3" t="s">
        <v>14</v>
      </c>
      <c r="B52">
        <v>0</v>
      </c>
      <c r="C52">
        <v>209715.58460000157</v>
      </c>
      <c r="D52">
        <v>0</v>
      </c>
      <c r="E52">
        <v>0</v>
      </c>
      <c r="F52">
        <v>906201.41539999843</v>
      </c>
      <c r="H52">
        <f t="shared" si="6"/>
        <v>1115917</v>
      </c>
      <c r="I52" s="4">
        <f t="shared" si="5"/>
        <v>1115917</v>
      </c>
    </row>
    <row r="53" spans="1:9">
      <c r="A53" s="3" t="s">
        <v>15</v>
      </c>
      <c r="B53">
        <v>0</v>
      </c>
      <c r="C53">
        <v>1087254</v>
      </c>
      <c r="D53">
        <v>0</v>
      </c>
      <c r="E53">
        <v>0</v>
      </c>
      <c r="F53">
        <v>0</v>
      </c>
      <c r="H53">
        <f t="shared" si="6"/>
        <v>1087254</v>
      </c>
      <c r="I53" s="4">
        <f t="shared" si="5"/>
        <v>1087254</v>
      </c>
    </row>
    <row r="54" spans="1:9">
      <c r="A54" s="3" t="s">
        <v>16</v>
      </c>
      <c r="B54">
        <v>0</v>
      </c>
      <c r="C54">
        <v>0</v>
      </c>
      <c r="D54">
        <v>0</v>
      </c>
      <c r="E54">
        <v>0</v>
      </c>
      <c r="F54">
        <v>1178041</v>
      </c>
      <c r="H54">
        <f t="shared" si="6"/>
        <v>1178041</v>
      </c>
      <c r="I54" s="4">
        <f t="shared" si="5"/>
        <v>1178041</v>
      </c>
    </row>
    <row r="55" spans="1:9">
      <c r="A55" s="3" t="s">
        <v>17</v>
      </c>
      <c r="B55">
        <v>0</v>
      </c>
      <c r="C55">
        <v>0</v>
      </c>
      <c r="D55">
        <v>0</v>
      </c>
      <c r="E55">
        <v>0</v>
      </c>
      <c r="F55">
        <v>1324328</v>
      </c>
      <c r="H55">
        <f t="shared" si="6"/>
        <v>1324328</v>
      </c>
      <c r="I55" s="4">
        <f t="shared" si="5"/>
        <v>1324328</v>
      </c>
    </row>
    <row r="56" spans="1:9">
      <c r="A56" s="3" t="s">
        <v>18</v>
      </c>
      <c r="B56">
        <v>0</v>
      </c>
      <c r="C56">
        <v>877226</v>
      </c>
      <c r="D56">
        <v>0</v>
      </c>
      <c r="E56">
        <v>0</v>
      </c>
      <c r="F56">
        <v>0</v>
      </c>
      <c r="H56">
        <f t="shared" si="6"/>
        <v>877226</v>
      </c>
      <c r="I56" s="4">
        <f t="shared" si="5"/>
        <v>877226</v>
      </c>
    </row>
    <row r="57" spans="1:9">
      <c r="A57" s="3" t="s">
        <v>19</v>
      </c>
      <c r="B57">
        <v>0</v>
      </c>
      <c r="C57">
        <v>0</v>
      </c>
      <c r="D57">
        <v>0</v>
      </c>
      <c r="E57">
        <v>0</v>
      </c>
      <c r="F57">
        <v>1222206</v>
      </c>
      <c r="H57">
        <f t="shared" si="6"/>
        <v>1222206</v>
      </c>
      <c r="I57" s="4">
        <f t="shared" si="5"/>
        <v>1222206</v>
      </c>
    </row>
    <row r="58" spans="1:9">
      <c r="A58" s="3" t="s">
        <v>20</v>
      </c>
      <c r="B58">
        <v>0</v>
      </c>
      <c r="C58">
        <v>960545</v>
      </c>
      <c r="D58">
        <v>0</v>
      </c>
      <c r="E58">
        <v>0</v>
      </c>
      <c r="F58">
        <v>0</v>
      </c>
      <c r="H58">
        <f t="shared" si="6"/>
        <v>960545</v>
      </c>
      <c r="I58" s="4">
        <f t="shared" si="5"/>
        <v>960545</v>
      </c>
    </row>
    <row r="59" spans="1:9">
      <c r="A59" s="3" t="s">
        <v>21</v>
      </c>
      <c r="B59">
        <v>0</v>
      </c>
      <c r="C59">
        <v>590166</v>
      </c>
      <c r="D59">
        <v>0</v>
      </c>
      <c r="E59">
        <v>0</v>
      </c>
      <c r="F59">
        <v>0</v>
      </c>
      <c r="H59">
        <f t="shared" si="6"/>
        <v>590166</v>
      </c>
      <c r="I59" s="4">
        <f t="shared" si="5"/>
        <v>590166</v>
      </c>
    </row>
    <row r="60" spans="1:9">
      <c r="A60" s="3" t="s">
        <v>22</v>
      </c>
      <c r="B60">
        <v>0</v>
      </c>
      <c r="C60">
        <v>0</v>
      </c>
      <c r="D60">
        <v>0</v>
      </c>
      <c r="E60">
        <v>0</v>
      </c>
      <c r="F60">
        <v>1584055</v>
      </c>
      <c r="H60">
        <f t="shared" si="6"/>
        <v>1584055</v>
      </c>
      <c r="I60" s="4">
        <f t="shared" si="5"/>
        <v>1584055</v>
      </c>
    </row>
    <row r="61" spans="1:9">
      <c r="A61" s="3" t="s">
        <v>0</v>
      </c>
      <c r="B61">
        <v>0</v>
      </c>
      <c r="C61">
        <v>926798</v>
      </c>
      <c r="D61">
        <v>0</v>
      </c>
      <c r="E61">
        <v>0</v>
      </c>
      <c r="F61">
        <v>0</v>
      </c>
      <c r="H61">
        <f t="shared" si="6"/>
        <v>926798</v>
      </c>
      <c r="I61" s="4">
        <f t="shared" si="5"/>
        <v>926798</v>
      </c>
    </row>
    <row r="62" spans="1:9">
      <c r="A62" s="3" t="s">
        <v>1</v>
      </c>
      <c r="B62">
        <v>0</v>
      </c>
      <c r="C62">
        <v>0</v>
      </c>
      <c r="D62">
        <v>0</v>
      </c>
      <c r="E62">
        <v>0</v>
      </c>
      <c r="F62">
        <v>1813436</v>
      </c>
      <c r="H62">
        <f t="shared" si="6"/>
        <v>1813436</v>
      </c>
      <c r="I62" s="4">
        <f t="shared" si="5"/>
        <v>1813436</v>
      </c>
    </row>
    <row r="63" spans="1:9">
      <c r="A63" s="3" t="s">
        <v>2</v>
      </c>
      <c r="B63">
        <v>0</v>
      </c>
      <c r="C63">
        <v>0</v>
      </c>
      <c r="D63">
        <v>0</v>
      </c>
      <c r="E63">
        <v>0</v>
      </c>
      <c r="F63">
        <v>1302207</v>
      </c>
      <c r="H63">
        <f t="shared" si="6"/>
        <v>1302207</v>
      </c>
      <c r="I63" s="4">
        <f t="shared" si="5"/>
        <v>1302207</v>
      </c>
    </row>
    <row r="64" spans="1:9">
      <c r="A64" s="3" t="s">
        <v>3</v>
      </c>
      <c r="B64">
        <v>0</v>
      </c>
      <c r="C64">
        <v>730067</v>
      </c>
      <c r="D64">
        <v>0</v>
      </c>
      <c r="E64">
        <v>0</v>
      </c>
      <c r="F64">
        <v>0</v>
      </c>
      <c r="H64">
        <f t="shared" si="6"/>
        <v>730067</v>
      </c>
      <c r="I64" s="4">
        <f t="shared" si="5"/>
        <v>730067</v>
      </c>
    </row>
    <row r="65" spans="1:9">
      <c r="A65" s="3" t="s">
        <v>4</v>
      </c>
      <c r="B65">
        <v>0</v>
      </c>
      <c r="C65">
        <v>0</v>
      </c>
      <c r="D65">
        <v>0</v>
      </c>
      <c r="E65">
        <v>0</v>
      </c>
      <c r="F65">
        <v>1167651</v>
      </c>
      <c r="H65">
        <f t="shared" si="6"/>
        <v>1167651</v>
      </c>
      <c r="I65" s="4">
        <f t="shared" si="5"/>
        <v>1167651</v>
      </c>
    </row>
    <row r="66" spans="1:9">
      <c r="A66" s="3" t="s">
        <v>5</v>
      </c>
      <c r="B66">
        <v>0</v>
      </c>
      <c r="C66">
        <v>0</v>
      </c>
      <c r="D66">
        <v>0</v>
      </c>
      <c r="E66">
        <v>0</v>
      </c>
      <c r="F66">
        <v>1376499</v>
      </c>
      <c r="H66">
        <f t="shared" si="6"/>
        <v>1376499</v>
      </c>
      <c r="I66" s="4">
        <f t="shared" si="5"/>
        <v>1376499</v>
      </c>
    </row>
    <row r="67" spans="1:9">
      <c r="A67" s="3" t="s">
        <v>6</v>
      </c>
      <c r="B67">
        <v>0</v>
      </c>
      <c r="C67">
        <v>748012</v>
      </c>
      <c r="D67">
        <v>0</v>
      </c>
      <c r="E67">
        <v>0</v>
      </c>
      <c r="F67">
        <v>0</v>
      </c>
      <c r="H67">
        <f t="shared" si="6"/>
        <v>748012</v>
      </c>
      <c r="I67" s="4">
        <f t="shared" si="5"/>
        <v>748012</v>
      </c>
    </row>
    <row r="68" spans="1:9">
      <c r="I68">
        <f>SUM(I45:I67)</f>
        <v>27163459</v>
      </c>
    </row>
    <row r="69" spans="1:9">
      <c r="A69" s="3" t="s">
        <v>39</v>
      </c>
      <c r="B69">
        <f>SUM(B45:B67)</f>
        <v>0</v>
      </c>
      <c r="C69">
        <f t="shared" ref="C69:F69" si="7">SUM(C45:C67)</f>
        <v>8967065.5846000016</v>
      </c>
      <c r="D69">
        <f t="shared" si="7"/>
        <v>0</v>
      </c>
      <c r="E69">
        <f t="shared" si="7"/>
        <v>0</v>
      </c>
      <c r="F69">
        <f t="shared" si="7"/>
        <v>18196393.415399998</v>
      </c>
    </row>
    <row r="70" spans="1:9">
      <c r="A70" s="3" t="s">
        <v>38</v>
      </c>
      <c r="B70">
        <f>B35</f>
        <v>169217668.22999999</v>
      </c>
      <c r="C70">
        <f>C35</f>
        <v>32437049.1318</v>
      </c>
      <c r="D70">
        <f>D35</f>
        <v>73576721.201399997</v>
      </c>
      <c r="E70">
        <f>E35</f>
        <v>146010673.7342</v>
      </c>
      <c r="F70">
        <f>F35</f>
        <v>18196393.415399998</v>
      </c>
    </row>
    <row r="73" spans="1:9">
      <c r="A73" t="s">
        <v>40</v>
      </c>
      <c r="B73">
        <f>SUMPRODUCT(B12:F34,B45:F67)</f>
        <v>27906037998220.586</v>
      </c>
    </row>
  </sheetData>
  <mergeCells count="1">
    <mergeCell ref="B9:G10"/>
  </mergeCells>
  <phoneticPr fontId="1" type="noConversion"/>
  <conditionalFormatting sqref="B40:B43">
    <cfRule type="duplicateValues" dxfId="2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A589-B85C-4952-8CAD-A41EBE247371}">
  <dimension ref="A1:H179"/>
  <sheetViews>
    <sheetView showGridLines="0" topLeftCell="A3" workbookViewId="0"/>
  </sheetViews>
  <sheetFormatPr baseColWidth="10" defaultColWidth="8.7109375" defaultRowHeight="18"/>
  <cols>
    <col min="1" max="1" width="2.140625" customWidth="1"/>
    <col min="2" max="2" width="6.5703125" bestFit="1" customWidth="1"/>
    <col min="3" max="3" width="37.42578125" bestFit="1" customWidth="1"/>
    <col min="4" max="8" width="11.85546875" bestFit="1" customWidth="1"/>
  </cols>
  <sheetData>
    <row r="1" spans="1:8">
      <c r="A1" s="34" t="s">
        <v>77</v>
      </c>
    </row>
    <row r="2" spans="1:8">
      <c r="A2" s="34" t="s">
        <v>78</v>
      </c>
    </row>
    <row r="3" spans="1:8">
      <c r="A3" s="34" t="s">
        <v>79</v>
      </c>
    </row>
    <row r="6" spans="1:8" ht="19" thickBot="1">
      <c r="A6" t="s">
        <v>80</v>
      </c>
    </row>
    <row r="7" spans="1:8">
      <c r="B7" s="37"/>
      <c r="C7" s="37"/>
      <c r="D7" s="37" t="s">
        <v>83</v>
      </c>
      <c r="E7" s="37" t="s">
        <v>85</v>
      </c>
      <c r="F7" s="37" t="s">
        <v>87</v>
      </c>
      <c r="G7" s="37" t="s">
        <v>89</v>
      </c>
      <c r="H7" s="37" t="s">
        <v>89</v>
      </c>
    </row>
    <row r="8" spans="1:8" ht="19" thickBot="1">
      <c r="B8" s="38" t="s">
        <v>81</v>
      </c>
      <c r="C8" s="38" t="s">
        <v>82</v>
      </c>
      <c r="D8" s="38" t="s">
        <v>84</v>
      </c>
      <c r="E8" s="38" t="s">
        <v>86</v>
      </c>
      <c r="F8" s="38" t="s">
        <v>88</v>
      </c>
      <c r="G8" s="38" t="s">
        <v>90</v>
      </c>
      <c r="H8" s="38" t="s">
        <v>91</v>
      </c>
    </row>
    <row r="9" spans="1:8">
      <c r="B9" s="35" t="s">
        <v>96</v>
      </c>
      <c r="C9" s="35" t="s">
        <v>97</v>
      </c>
      <c r="D9" s="35">
        <v>0</v>
      </c>
      <c r="E9" s="35">
        <v>0.89866666666666362</v>
      </c>
      <c r="F9" s="35">
        <v>17.074666666666666</v>
      </c>
      <c r="G9" s="35">
        <v>1E+30</v>
      </c>
      <c r="H9" s="35">
        <v>0.89866666666666362</v>
      </c>
    </row>
    <row r="10" spans="1:8">
      <c r="B10" s="35" t="s">
        <v>98</v>
      </c>
      <c r="C10" s="35" t="s">
        <v>99</v>
      </c>
      <c r="D10" s="35">
        <v>0</v>
      </c>
      <c r="E10" s="35">
        <v>5.392000000000003</v>
      </c>
      <c r="F10" s="35">
        <v>21.568000000000005</v>
      </c>
      <c r="G10" s="35">
        <v>1E+30</v>
      </c>
      <c r="H10" s="35">
        <v>5.392000000000003</v>
      </c>
    </row>
    <row r="11" spans="1:8">
      <c r="B11" s="35" t="s">
        <v>100</v>
      </c>
      <c r="C11" s="35" t="s">
        <v>101</v>
      </c>
      <c r="D11" s="35">
        <v>2330637</v>
      </c>
      <c r="E11" s="35">
        <v>0</v>
      </c>
      <c r="F11" s="35">
        <v>16.176000000000002</v>
      </c>
      <c r="G11" s="35">
        <v>0.89866666666666362</v>
      </c>
      <c r="H11" s="35">
        <v>1E+30</v>
      </c>
    </row>
    <row r="12" spans="1:8">
      <c r="B12" s="35" t="s">
        <v>102</v>
      </c>
      <c r="C12" s="35" t="s">
        <v>103</v>
      </c>
      <c r="D12" s="35">
        <v>0</v>
      </c>
      <c r="E12" s="35">
        <v>55.268000000000001</v>
      </c>
      <c r="F12" s="35">
        <v>71.444000000000003</v>
      </c>
      <c r="G12" s="35">
        <v>1E+30</v>
      </c>
      <c r="H12" s="35">
        <v>55.268000000000001</v>
      </c>
    </row>
    <row r="13" spans="1:8">
      <c r="B13" s="35" t="s">
        <v>104</v>
      </c>
      <c r="C13" s="35" t="s">
        <v>105</v>
      </c>
      <c r="D13" s="35">
        <v>0</v>
      </c>
      <c r="E13" s="35">
        <v>35.49733333333333</v>
      </c>
      <c r="F13" s="35">
        <v>51.673333333333332</v>
      </c>
      <c r="G13" s="35">
        <v>1E+30</v>
      </c>
      <c r="H13" s="35">
        <v>35.49733333333333</v>
      </c>
    </row>
    <row r="14" spans="1:8">
      <c r="B14" s="35" t="s">
        <v>106</v>
      </c>
      <c r="C14" s="35" t="s">
        <v>107</v>
      </c>
      <c r="D14" s="35">
        <v>0</v>
      </c>
      <c r="E14" s="35">
        <v>21.568000000000332</v>
      </c>
      <c r="F14" s="35">
        <v>20.22</v>
      </c>
      <c r="G14" s="35">
        <v>1E+30</v>
      </c>
      <c r="H14" s="35">
        <v>21.568000000000332</v>
      </c>
    </row>
    <row r="15" spans="1:8">
      <c r="B15" s="35" t="s">
        <v>108</v>
      </c>
      <c r="C15" s="35" t="s">
        <v>109</v>
      </c>
      <c r="D15" s="35">
        <v>1246849</v>
      </c>
      <c r="E15" s="35">
        <v>0</v>
      </c>
      <c r="F15" s="35">
        <v>12.581333333333333</v>
      </c>
      <c r="G15" s="35">
        <v>4.9426666666666677</v>
      </c>
      <c r="H15" s="35">
        <v>1E+30</v>
      </c>
    </row>
    <row r="16" spans="1:8">
      <c r="B16" s="35" t="s">
        <v>110</v>
      </c>
      <c r="C16" s="35" t="s">
        <v>111</v>
      </c>
      <c r="D16" s="35">
        <v>0</v>
      </c>
      <c r="E16" s="35">
        <v>12.581333333333333</v>
      </c>
      <c r="F16" s="35">
        <v>25.162666666666667</v>
      </c>
      <c r="G16" s="35">
        <v>1E+30</v>
      </c>
      <c r="H16" s="35">
        <v>12.581333333333333</v>
      </c>
    </row>
    <row r="17" spans="2:8">
      <c r="B17" s="35" t="s">
        <v>112</v>
      </c>
      <c r="C17" s="35" t="s">
        <v>113</v>
      </c>
      <c r="D17" s="35">
        <v>0</v>
      </c>
      <c r="E17" s="35">
        <v>4.9426666666666677</v>
      </c>
      <c r="F17" s="35">
        <v>17.524000000000001</v>
      </c>
      <c r="G17" s="35">
        <v>1E+30</v>
      </c>
      <c r="H17" s="35">
        <v>4.9426666666666677</v>
      </c>
    </row>
    <row r="18" spans="2:8">
      <c r="B18" s="35" t="s">
        <v>114</v>
      </c>
      <c r="C18" s="35" t="s">
        <v>115</v>
      </c>
      <c r="D18" s="35">
        <v>0</v>
      </c>
      <c r="E18" s="35">
        <v>67.849333333333334</v>
      </c>
      <c r="F18" s="35">
        <v>80.430666666666667</v>
      </c>
      <c r="G18" s="35">
        <v>1E+30</v>
      </c>
      <c r="H18" s="35">
        <v>67.849333333333334</v>
      </c>
    </row>
    <row r="19" spans="2:8">
      <c r="B19" s="35" t="s">
        <v>116</v>
      </c>
      <c r="C19" s="35" t="s">
        <v>117</v>
      </c>
      <c r="D19" s="35">
        <v>0</v>
      </c>
      <c r="E19" s="35">
        <v>47.629333333333335</v>
      </c>
      <c r="F19" s="35">
        <v>60.210666666666668</v>
      </c>
      <c r="G19" s="35">
        <v>1E+30</v>
      </c>
      <c r="H19" s="35">
        <v>47.629333333333335</v>
      </c>
    </row>
    <row r="20" spans="2:8">
      <c r="B20" s="35" t="s">
        <v>118</v>
      </c>
      <c r="C20" s="35" t="s">
        <v>119</v>
      </c>
      <c r="D20" s="35">
        <v>0</v>
      </c>
      <c r="E20" s="35">
        <v>18.872000000000327</v>
      </c>
      <c r="F20" s="35">
        <v>13.929333333333318</v>
      </c>
      <c r="G20" s="35">
        <v>1E+30</v>
      </c>
      <c r="H20" s="35">
        <v>18.872000000000327</v>
      </c>
    </row>
    <row r="21" spans="2:8">
      <c r="B21" s="35" t="s">
        <v>120</v>
      </c>
      <c r="C21" s="35" t="s">
        <v>121</v>
      </c>
      <c r="D21" s="35">
        <v>0</v>
      </c>
      <c r="E21" s="35">
        <v>11.682666666666705</v>
      </c>
      <c r="F21" s="35">
        <v>23.365333333333353</v>
      </c>
      <c r="G21" s="35">
        <v>1E+30</v>
      </c>
      <c r="H21" s="35">
        <v>11.682666666666705</v>
      </c>
    </row>
    <row r="22" spans="2:8">
      <c r="B22" s="35" t="s">
        <v>122</v>
      </c>
      <c r="C22" s="35" t="s">
        <v>123</v>
      </c>
      <c r="D22" s="35">
        <v>0</v>
      </c>
      <c r="E22" s="35">
        <v>18.422666666666657</v>
      </c>
      <c r="F22" s="35">
        <v>30.105333333333306</v>
      </c>
      <c r="G22" s="35">
        <v>1E+30</v>
      </c>
      <c r="H22" s="35">
        <v>18.422666666666657</v>
      </c>
    </row>
    <row r="23" spans="2:8">
      <c r="B23" s="35" t="s">
        <v>124</v>
      </c>
      <c r="C23" s="35" t="s">
        <v>125</v>
      </c>
      <c r="D23" s="35">
        <v>1434618</v>
      </c>
      <c r="E23" s="35">
        <v>0</v>
      </c>
      <c r="F23" s="35">
        <v>11.682666666666648</v>
      </c>
      <c r="G23" s="35">
        <v>11.682666666666705</v>
      </c>
      <c r="H23" s="35">
        <v>1E+30</v>
      </c>
    </row>
    <row r="24" spans="2:8">
      <c r="B24" s="35" t="s">
        <v>126</v>
      </c>
      <c r="C24" s="35" t="s">
        <v>127</v>
      </c>
      <c r="D24" s="35">
        <v>0</v>
      </c>
      <c r="E24" s="35">
        <v>71.893333333333317</v>
      </c>
      <c r="F24" s="35">
        <v>83.575999999999965</v>
      </c>
      <c r="G24" s="35">
        <v>1E+30</v>
      </c>
      <c r="H24" s="35">
        <v>71.893333333333317</v>
      </c>
    </row>
    <row r="25" spans="2:8">
      <c r="B25" s="35" t="s">
        <v>128</v>
      </c>
      <c r="C25" s="35" t="s">
        <v>129</v>
      </c>
      <c r="D25" s="35">
        <v>0</v>
      </c>
      <c r="E25" s="35">
        <v>52.57200000000006</v>
      </c>
      <c r="F25" s="35">
        <v>64.254666666666708</v>
      </c>
      <c r="G25" s="35">
        <v>1E+30</v>
      </c>
      <c r="H25" s="35">
        <v>52.57200000000006</v>
      </c>
    </row>
    <row r="26" spans="2:8">
      <c r="B26" s="35" t="s">
        <v>130</v>
      </c>
      <c r="C26" s="35" t="s">
        <v>131</v>
      </c>
      <c r="D26" s="35">
        <v>0</v>
      </c>
      <c r="E26" s="35">
        <v>12.581333333333703</v>
      </c>
      <c r="F26" s="35">
        <v>6.7400000000000091</v>
      </c>
      <c r="G26" s="35">
        <v>1E+30</v>
      </c>
      <c r="H26" s="35">
        <v>12.581333333333703</v>
      </c>
    </row>
    <row r="27" spans="2:8">
      <c r="B27" s="35" t="s">
        <v>132</v>
      </c>
      <c r="C27" s="35" t="s">
        <v>133</v>
      </c>
      <c r="D27" s="35">
        <v>1058984</v>
      </c>
      <c r="E27" s="35">
        <v>0</v>
      </c>
      <c r="F27" s="35">
        <v>17.524000000000001</v>
      </c>
      <c r="G27" s="35">
        <v>3.594666666666626</v>
      </c>
      <c r="H27" s="35">
        <v>1E+30</v>
      </c>
    </row>
    <row r="28" spans="2:8">
      <c r="B28" s="35" t="s">
        <v>134</v>
      </c>
      <c r="C28" s="35" t="s">
        <v>135</v>
      </c>
      <c r="D28" s="35">
        <v>0</v>
      </c>
      <c r="E28" s="35">
        <v>13.480000000000018</v>
      </c>
      <c r="F28" s="35">
        <v>31.004000000000019</v>
      </c>
      <c r="G28" s="35">
        <v>1E+30</v>
      </c>
      <c r="H28" s="35">
        <v>13.480000000000018</v>
      </c>
    </row>
    <row r="29" spans="2:8">
      <c r="B29" s="35" t="s">
        <v>136</v>
      </c>
      <c r="C29" s="35" t="s">
        <v>137</v>
      </c>
      <c r="D29" s="35">
        <v>0</v>
      </c>
      <c r="E29" s="35">
        <v>3.594666666666626</v>
      </c>
      <c r="F29" s="35">
        <v>21.118666666666627</v>
      </c>
      <c r="G29" s="35">
        <v>1E+30</v>
      </c>
      <c r="H29" s="35">
        <v>3.594666666666626</v>
      </c>
    </row>
    <row r="30" spans="2:8">
      <c r="B30" s="35" t="s">
        <v>138</v>
      </c>
      <c r="C30" s="35" t="s">
        <v>139</v>
      </c>
      <c r="D30" s="35">
        <v>0</v>
      </c>
      <c r="E30" s="35">
        <v>67.399999999999977</v>
      </c>
      <c r="F30" s="35">
        <v>84.923999999999978</v>
      </c>
      <c r="G30" s="35">
        <v>1E+30</v>
      </c>
      <c r="H30" s="35">
        <v>67.399999999999977</v>
      </c>
    </row>
    <row r="31" spans="2:8">
      <c r="B31" s="35" t="s">
        <v>140</v>
      </c>
      <c r="C31" s="35" t="s">
        <v>141</v>
      </c>
      <c r="D31" s="35">
        <v>0</v>
      </c>
      <c r="E31" s="35">
        <v>47.629333333333307</v>
      </c>
      <c r="F31" s="35">
        <v>65.153333333333308</v>
      </c>
      <c r="G31" s="35">
        <v>1E+30</v>
      </c>
      <c r="H31" s="35">
        <v>47.629333333333307</v>
      </c>
    </row>
    <row r="32" spans="2:8">
      <c r="B32" s="35" t="s">
        <v>142</v>
      </c>
      <c r="C32" s="35" t="s">
        <v>143</v>
      </c>
      <c r="D32" s="35">
        <v>0</v>
      </c>
      <c r="E32" s="35">
        <v>10.784000000000333</v>
      </c>
      <c r="F32" s="35">
        <v>10.783999999999992</v>
      </c>
      <c r="G32" s="35">
        <v>1E+30</v>
      </c>
      <c r="H32" s="35">
        <v>10.784000000000333</v>
      </c>
    </row>
    <row r="33" spans="2:8">
      <c r="B33" s="35" t="s">
        <v>144</v>
      </c>
      <c r="C33" s="35" t="s">
        <v>145</v>
      </c>
      <c r="D33" s="35">
        <v>1309665</v>
      </c>
      <c r="E33" s="35">
        <v>0</v>
      </c>
      <c r="F33" s="35">
        <v>21.567999999999984</v>
      </c>
      <c r="G33" s="35">
        <v>4.0440000000003238</v>
      </c>
      <c r="H33" s="35">
        <v>1E+30</v>
      </c>
    </row>
    <row r="34" spans="2:8">
      <c r="B34" s="35" t="s">
        <v>146</v>
      </c>
      <c r="C34" s="35" t="s">
        <v>147</v>
      </c>
      <c r="D34" s="35">
        <v>0</v>
      </c>
      <c r="E34" s="35">
        <v>18.422666666666714</v>
      </c>
      <c r="F34" s="35">
        <v>39.990666666666698</v>
      </c>
      <c r="G34" s="35">
        <v>1E+30</v>
      </c>
      <c r="H34" s="35">
        <v>18.422666666666714</v>
      </c>
    </row>
    <row r="35" spans="2:8">
      <c r="B35" s="35" t="s">
        <v>148</v>
      </c>
      <c r="C35" s="35" t="s">
        <v>149</v>
      </c>
      <c r="D35" s="35">
        <v>0</v>
      </c>
      <c r="E35" s="35">
        <v>13.929333333333375</v>
      </c>
      <c r="F35" s="35">
        <v>35.497333333333358</v>
      </c>
      <c r="G35" s="35">
        <v>1E+30</v>
      </c>
      <c r="H35" s="35">
        <v>13.929333333333375</v>
      </c>
    </row>
    <row r="36" spans="2:8">
      <c r="B36" s="35" t="s">
        <v>150</v>
      </c>
      <c r="C36" s="35" t="s">
        <v>151</v>
      </c>
      <c r="D36" s="35">
        <v>0</v>
      </c>
      <c r="E36" s="35">
        <v>67.399999999999977</v>
      </c>
      <c r="F36" s="35">
        <v>88.967999999999961</v>
      </c>
      <c r="G36" s="35">
        <v>1E+30</v>
      </c>
      <c r="H36" s="35">
        <v>67.399999999999977</v>
      </c>
    </row>
    <row r="37" spans="2:8">
      <c r="B37" s="35" t="s">
        <v>152</v>
      </c>
      <c r="C37" s="35" t="s">
        <v>153</v>
      </c>
      <c r="D37" s="35">
        <v>0</v>
      </c>
      <c r="E37" s="35">
        <v>47.629333333333307</v>
      </c>
      <c r="F37" s="35">
        <v>69.19733333333329</v>
      </c>
      <c r="G37" s="35">
        <v>1E+30</v>
      </c>
      <c r="H37" s="35">
        <v>47.629333333333307</v>
      </c>
    </row>
    <row r="38" spans="2:8">
      <c r="B38" s="35" t="s">
        <v>154</v>
      </c>
      <c r="C38" s="35" t="s">
        <v>155</v>
      </c>
      <c r="D38" s="35">
        <v>0</v>
      </c>
      <c r="E38" s="35">
        <v>4.0440000000003238</v>
      </c>
      <c r="F38" s="35">
        <v>8.0879999999999654</v>
      </c>
      <c r="G38" s="35">
        <v>1E+30</v>
      </c>
      <c r="H38" s="35">
        <v>4.0440000000003238</v>
      </c>
    </row>
    <row r="39" spans="2:8">
      <c r="B39" s="35" t="s">
        <v>156</v>
      </c>
      <c r="C39" s="35" t="s">
        <v>157</v>
      </c>
      <c r="D39" s="35">
        <v>781203</v>
      </c>
      <c r="E39" s="35">
        <v>0</v>
      </c>
      <c r="F39" s="35">
        <v>24.263999999999896</v>
      </c>
      <c r="G39" s="35">
        <v>6.2906666666672209</v>
      </c>
      <c r="H39" s="35">
        <v>1E+30</v>
      </c>
    </row>
    <row r="40" spans="2:8">
      <c r="B40" s="35" t="s">
        <v>158</v>
      </c>
      <c r="C40" s="35" t="s">
        <v>159</v>
      </c>
      <c r="D40" s="35">
        <v>0</v>
      </c>
      <c r="E40" s="35">
        <v>17.973333333333358</v>
      </c>
      <c r="F40" s="35">
        <v>42.237333333333254</v>
      </c>
      <c r="G40" s="35">
        <v>1E+30</v>
      </c>
      <c r="H40" s="35">
        <v>17.973333333333358</v>
      </c>
    </row>
    <row r="41" spans="2:8">
      <c r="B41" s="35" t="s">
        <v>160</v>
      </c>
      <c r="C41" s="35" t="s">
        <v>161</v>
      </c>
      <c r="D41" s="35">
        <v>0</v>
      </c>
      <c r="E41" s="35">
        <v>8.9866666666666788</v>
      </c>
      <c r="F41" s="35">
        <v>33.250666666666575</v>
      </c>
      <c r="G41" s="35">
        <v>1E+30</v>
      </c>
      <c r="H41" s="35">
        <v>8.9866666666666788</v>
      </c>
    </row>
    <row r="42" spans="2:8">
      <c r="B42" s="35" t="s">
        <v>162</v>
      </c>
      <c r="C42" s="35" t="s">
        <v>163</v>
      </c>
      <c r="D42" s="35">
        <v>0</v>
      </c>
      <c r="E42" s="35">
        <v>66.950666666666848</v>
      </c>
      <c r="F42" s="35">
        <v>91.214666666666744</v>
      </c>
      <c r="G42" s="35">
        <v>1E+30</v>
      </c>
      <c r="H42" s="35">
        <v>66.950666666666848</v>
      </c>
    </row>
    <row r="43" spans="2:8">
      <c r="B43" s="35" t="s">
        <v>164</v>
      </c>
      <c r="C43" s="35" t="s">
        <v>165</v>
      </c>
      <c r="D43" s="35">
        <v>0</v>
      </c>
      <c r="E43" s="35">
        <v>47.629333333333534</v>
      </c>
      <c r="F43" s="35">
        <v>71.89333333333343</v>
      </c>
      <c r="G43" s="35">
        <v>1E+30</v>
      </c>
      <c r="H43" s="35">
        <v>47.629333333333534</v>
      </c>
    </row>
    <row r="44" spans="2:8">
      <c r="B44" s="35" t="s">
        <v>166</v>
      </c>
      <c r="C44" s="35" t="s">
        <v>167</v>
      </c>
      <c r="D44" s="35">
        <v>0</v>
      </c>
      <c r="E44" s="35">
        <v>6.2906666666672209</v>
      </c>
      <c r="F44" s="35">
        <v>13.030666666666775</v>
      </c>
      <c r="G44" s="35">
        <v>1E+30</v>
      </c>
      <c r="H44" s="35">
        <v>6.2906666666672209</v>
      </c>
    </row>
    <row r="45" spans="2:8">
      <c r="B45" s="35" t="s">
        <v>168</v>
      </c>
      <c r="C45" s="35" t="s">
        <v>169</v>
      </c>
      <c r="D45" s="35">
        <v>997095</v>
      </c>
      <c r="E45" s="35">
        <v>0</v>
      </c>
      <c r="F45" s="35">
        <v>21.567999999999984</v>
      </c>
      <c r="G45" s="35">
        <v>9.4360000000003765</v>
      </c>
      <c r="H45" s="35">
        <v>1E+30</v>
      </c>
    </row>
    <row r="46" spans="2:8">
      <c r="B46" s="35" t="s">
        <v>170</v>
      </c>
      <c r="C46" s="35" t="s">
        <v>171</v>
      </c>
      <c r="D46" s="35">
        <v>0</v>
      </c>
      <c r="E46" s="35">
        <v>17.973333333333358</v>
      </c>
      <c r="F46" s="35">
        <v>39.541333333333341</v>
      </c>
      <c r="G46" s="35">
        <v>1E+30</v>
      </c>
      <c r="H46" s="35">
        <v>17.973333333333358</v>
      </c>
    </row>
    <row r="47" spans="2:8">
      <c r="B47" s="35" t="s">
        <v>172</v>
      </c>
      <c r="C47" s="35" t="s">
        <v>173</v>
      </c>
      <c r="D47" s="35">
        <v>0</v>
      </c>
      <c r="E47" s="35">
        <v>13.480000000000018</v>
      </c>
      <c r="F47" s="35">
        <v>35.048000000000002</v>
      </c>
      <c r="G47" s="35">
        <v>1E+30</v>
      </c>
      <c r="H47" s="35">
        <v>13.480000000000018</v>
      </c>
    </row>
    <row r="48" spans="2:8">
      <c r="B48" s="35" t="s">
        <v>174</v>
      </c>
      <c r="C48" s="35" t="s">
        <v>175</v>
      </c>
      <c r="D48" s="35">
        <v>0</v>
      </c>
      <c r="E48" s="35">
        <v>66.950666666666621</v>
      </c>
      <c r="F48" s="35">
        <v>88.518666666666604</v>
      </c>
      <c r="G48" s="35">
        <v>1E+30</v>
      </c>
      <c r="H48" s="35">
        <v>66.950666666666621</v>
      </c>
    </row>
    <row r="49" spans="2:8">
      <c r="B49" s="35" t="s">
        <v>176</v>
      </c>
      <c r="C49" s="35" t="s">
        <v>177</v>
      </c>
      <c r="D49" s="35">
        <v>0</v>
      </c>
      <c r="E49" s="35">
        <v>47.629333333333307</v>
      </c>
      <c r="F49" s="35">
        <v>69.19733333333329</v>
      </c>
      <c r="G49" s="35">
        <v>1E+30</v>
      </c>
      <c r="H49" s="35">
        <v>47.629333333333307</v>
      </c>
    </row>
    <row r="50" spans="2:8">
      <c r="B50" s="35" t="s">
        <v>178</v>
      </c>
      <c r="C50" s="35" t="s">
        <v>179</v>
      </c>
      <c r="D50" s="35">
        <v>0</v>
      </c>
      <c r="E50" s="35">
        <v>9.4360000000003765</v>
      </c>
      <c r="F50" s="35">
        <v>13.480000000000018</v>
      </c>
      <c r="G50" s="35">
        <v>1E+30</v>
      </c>
      <c r="H50" s="35">
        <v>9.4360000000003765</v>
      </c>
    </row>
    <row r="51" spans="2:8">
      <c r="B51" s="35" t="s">
        <v>180</v>
      </c>
      <c r="C51" s="35" t="s">
        <v>181</v>
      </c>
      <c r="D51" s="35">
        <v>0</v>
      </c>
      <c r="E51" s="35">
        <v>11.233333333333348</v>
      </c>
      <c r="F51" s="35">
        <v>27.85866666666675</v>
      </c>
      <c r="G51" s="35">
        <v>1E+30</v>
      </c>
      <c r="H51" s="35">
        <v>11.233333333333348</v>
      </c>
    </row>
    <row r="52" spans="2:8">
      <c r="B52" s="35" t="s">
        <v>182</v>
      </c>
      <c r="C52" s="35" t="s">
        <v>183</v>
      </c>
      <c r="D52" s="35">
        <v>0</v>
      </c>
      <c r="E52" s="35">
        <v>14.827999999999975</v>
      </c>
      <c r="F52" s="35">
        <v>31.453333333333376</v>
      </c>
      <c r="G52" s="35">
        <v>1E+30</v>
      </c>
      <c r="H52" s="35">
        <v>14.827999999999975</v>
      </c>
    </row>
    <row r="53" spans="2:8">
      <c r="B53" s="35" t="s">
        <v>184</v>
      </c>
      <c r="C53" s="35" t="s">
        <v>185</v>
      </c>
      <c r="D53" s="35">
        <v>1115917</v>
      </c>
      <c r="E53" s="35">
        <v>0</v>
      </c>
      <c r="F53" s="35">
        <v>16.625333333333401</v>
      </c>
      <c r="G53" s="35">
        <v>4.4933333333335668</v>
      </c>
      <c r="H53" s="35">
        <v>1E+30</v>
      </c>
    </row>
    <row r="54" spans="2:8">
      <c r="B54" s="35" t="s">
        <v>186</v>
      </c>
      <c r="C54" s="35" t="s">
        <v>187</v>
      </c>
      <c r="D54" s="35">
        <v>0</v>
      </c>
      <c r="E54" s="35">
        <v>71.893333333333203</v>
      </c>
      <c r="F54" s="35">
        <v>88.518666666666604</v>
      </c>
      <c r="G54" s="35">
        <v>1E+30</v>
      </c>
      <c r="H54" s="35">
        <v>71.893333333333203</v>
      </c>
    </row>
    <row r="55" spans="2:8">
      <c r="B55" s="35" t="s">
        <v>188</v>
      </c>
      <c r="C55" s="35" t="s">
        <v>189</v>
      </c>
      <c r="D55" s="35">
        <v>0</v>
      </c>
      <c r="E55" s="35">
        <v>52.571999999999889</v>
      </c>
      <c r="F55" s="35">
        <v>69.19733333333329</v>
      </c>
      <c r="G55" s="35">
        <v>1E+30</v>
      </c>
      <c r="H55" s="35">
        <v>52.571999999999889</v>
      </c>
    </row>
    <row r="56" spans="2:8">
      <c r="B56" s="35" t="s">
        <v>190</v>
      </c>
      <c r="C56" s="35" t="s">
        <v>191</v>
      </c>
      <c r="D56" s="35">
        <v>0</v>
      </c>
      <c r="E56" s="35">
        <v>4.4933333333335668</v>
      </c>
      <c r="F56" s="35">
        <v>3.594666666666626</v>
      </c>
      <c r="G56" s="35">
        <v>1E+30</v>
      </c>
      <c r="H56" s="35">
        <v>4.4933333333335668</v>
      </c>
    </row>
    <row r="57" spans="2:8">
      <c r="B57" s="35" t="s">
        <v>192</v>
      </c>
      <c r="C57" s="35" t="s">
        <v>193</v>
      </c>
      <c r="D57" s="35">
        <v>1087254</v>
      </c>
      <c r="E57" s="35">
        <v>0</v>
      </c>
      <c r="F57" s="35">
        <v>13.929333333333261</v>
      </c>
      <c r="G57" s="35">
        <v>8.0879999999999654</v>
      </c>
      <c r="H57" s="35">
        <v>1E+30</v>
      </c>
    </row>
    <row r="58" spans="2:8">
      <c r="B58" s="35" t="s">
        <v>194</v>
      </c>
      <c r="C58" s="35" t="s">
        <v>195</v>
      </c>
      <c r="D58" s="35">
        <v>0</v>
      </c>
      <c r="E58" s="35">
        <v>17.973333333333358</v>
      </c>
      <c r="F58" s="35">
        <v>31.902666666666619</v>
      </c>
      <c r="G58" s="35">
        <v>1E+30</v>
      </c>
      <c r="H58" s="35">
        <v>17.973333333333358</v>
      </c>
    </row>
    <row r="59" spans="2:8">
      <c r="B59" s="35" t="s">
        <v>196</v>
      </c>
      <c r="C59" s="35" t="s">
        <v>197</v>
      </c>
      <c r="D59" s="35">
        <v>0</v>
      </c>
      <c r="E59" s="35">
        <v>8.0879999999999654</v>
      </c>
      <c r="F59" s="35">
        <v>22.017333333333227</v>
      </c>
      <c r="G59" s="35">
        <v>1E+30</v>
      </c>
      <c r="H59" s="35">
        <v>8.0879999999999654</v>
      </c>
    </row>
    <row r="60" spans="2:8">
      <c r="B60" s="35" t="s">
        <v>198</v>
      </c>
      <c r="C60" s="35" t="s">
        <v>199</v>
      </c>
      <c r="D60" s="35">
        <v>0</v>
      </c>
      <c r="E60" s="35">
        <v>67.399999999999864</v>
      </c>
      <c r="F60" s="35">
        <v>81.329333333333125</v>
      </c>
      <c r="G60" s="35">
        <v>1E+30</v>
      </c>
      <c r="H60" s="35">
        <v>67.399999999999864</v>
      </c>
    </row>
    <row r="61" spans="2:8">
      <c r="B61" s="35" t="s">
        <v>200</v>
      </c>
      <c r="C61" s="35" t="s">
        <v>201</v>
      </c>
      <c r="D61" s="35">
        <v>0</v>
      </c>
      <c r="E61" s="35">
        <v>47.629333333333534</v>
      </c>
      <c r="F61" s="35">
        <v>61.558666666666795</v>
      </c>
      <c r="G61" s="35">
        <v>1E+30</v>
      </c>
      <c r="H61" s="35">
        <v>47.629333333333534</v>
      </c>
    </row>
    <row r="62" spans="2:8">
      <c r="B62" s="35" t="s">
        <v>202</v>
      </c>
      <c r="C62" s="35" t="s">
        <v>203</v>
      </c>
      <c r="D62" s="35">
        <v>0</v>
      </c>
      <c r="E62" s="35">
        <v>14.378666666667186</v>
      </c>
      <c r="F62" s="35">
        <v>10.784000000000106</v>
      </c>
      <c r="G62" s="35">
        <v>1E+30</v>
      </c>
      <c r="H62" s="35">
        <v>14.378666666667186</v>
      </c>
    </row>
    <row r="63" spans="2:8">
      <c r="B63" s="35" t="s">
        <v>204</v>
      </c>
      <c r="C63" s="35" t="s">
        <v>205</v>
      </c>
      <c r="D63" s="35">
        <v>0</v>
      </c>
      <c r="E63" s="35">
        <v>13.929333333333489</v>
      </c>
      <c r="F63" s="35">
        <v>31.902666666666846</v>
      </c>
      <c r="G63" s="35">
        <v>1E+30</v>
      </c>
      <c r="H63" s="35">
        <v>13.929333333333489</v>
      </c>
    </row>
    <row r="64" spans="2:8">
      <c r="B64" s="35" t="s">
        <v>206</v>
      </c>
      <c r="C64" s="35" t="s">
        <v>207</v>
      </c>
      <c r="D64" s="35">
        <v>0</v>
      </c>
      <c r="E64" s="35">
        <v>18.422666666666828</v>
      </c>
      <c r="F64" s="35">
        <v>36.396000000000186</v>
      </c>
      <c r="G64" s="35">
        <v>1E+30</v>
      </c>
      <c r="H64" s="35">
        <v>18.422666666666828</v>
      </c>
    </row>
    <row r="65" spans="2:8">
      <c r="B65" s="35" t="s">
        <v>208</v>
      </c>
      <c r="C65" s="35" t="s">
        <v>209</v>
      </c>
      <c r="D65" s="35">
        <v>1178041</v>
      </c>
      <c r="E65" s="35">
        <v>0</v>
      </c>
      <c r="F65" s="35">
        <v>17.973333333333358</v>
      </c>
      <c r="G65" s="35">
        <v>10.33466666666709</v>
      </c>
      <c r="H65" s="35">
        <v>1E+30</v>
      </c>
    </row>
    <row r="66" spans="2:8">
      <c r="B66" s="35" t="s">
        <v>210</v>
      </c>
      <c r="C66" s="35" t="s">
        <v>211</v>
      </c>
      <c r="D66" s="35">
        <v>0</v>
      </c>
      <c r="E66" s="35">
        <v>75.038666666666813</v>
      </c>
      <c r="F66" s="35">
        <v>93.012000000000171</v>
      </c>
      <c r="G66" s="35">
        <v>1E+30</v>
      </c>
      <c r="H66" s="35">
        <v>75.038666666666813</v>
      </c>
    </row>
    <row r="67" spans="2:8">
      <c r="B67" s="35" t="s">
        <v>212</v>
      </c>
      <c r="C67" s="35" t="s">
        <v>213</v>
      </c>
      <c r="D67" s="35">
        <v>0</v>
      </c>
      <c r="E67" s="35">
        <v>55.268000000000029</v>
      </c>
      <c r="F67" s="35">
        <v>73.241333333333387</v>
      </c>
      <c r="G67" s="35">
        <v>1E+30</v>
      </c>
      <c r="H67" s="35">
        <v>55.268000000000029</v>
      </c>
    </row>
    <row r="68" spans="2:8">
      <c r="B68" s="35" t="s">
        <v>214</v>
      </c>
      <c r="C68" s="35" t="s">
        <v>215</v>
      </c>
      <c r="D68" s="35">
        <v>0</v>
      </c>
      <c r="E68" s="35">
        <v>10.33466666666709</v>
      </c>
      <c r="F68" s="35">
        <v>10.784000000000106</v>
      </c>
      <c r="G68" s="35">
        <v>1E+30</v>
      </c>
      <c r="H68" s="35">
        <v>10.33466666666709</v>
      </c>
    </row>
    <row r="69" spans="2:8">
      <c r="B69" s="35" t="s">
        <v>216</v>
      </c>
      <c r="C69" s="35" t="s">
        <v>217</v>
      </c>
      <c r="D69" s="35">
        <v>0</v>
      </c>
      <c r="E69" s="35">
        <v>11.682666666667046</v>
      </c>
      <c r="F69" s="35">
        <v>26.06133333333355</v>
      </c>
      <c r="G69" s="35">
        <v>1E+30</v>
      </c>
      <c r="H69" s="35">
        <v>11.682666666667046</v>
      </c>
    </row>
    <row r="70" spans="2:8">
      <c r="B70" s="35" t="s">
        <v>218</v>
      </c>
      <c r="C70" s="35" t="s">
        <v>219</v>
      </c>
      <c r="D70" s="35">
        <v>0</v>
      </c>
      <c r="E70" s="35">
        <v>18.422666666666828</v>
      </c>
      <c r="F70" s="35">
        <v>32.801333333333332</v>
      </c>
      <c r="G70" s="35">
        <v>1E+30</v>
      </c>
      <c r="H70" s="35">
        <v>18.422666666666828</v>
      </c>
    </row>
    <row r="71" spans="2:8">
      <c r="B71" s="35" t="s">
        <v>220</v>
      </c>
      <c r="C71" s="35" t="s">
        <v>221</v>
      </c>
      <c r="D71" s="35">
        <v>1324328</v>
      </c>
      <c r="E71" s="35">
        <v>0</v>
      </c>
      <c r="F71" s="35">
        <v>14.378666666666504</v>
      </c>
      <c r="G71" s="35">
        <v>6.2906666666672209</v>
      </c>
      <c r="H71" s="35">
        <v>1E+30</v>
      </c>
    </row>
    <row r="72" spans="2:8">
      <c r="B72" s="35" t="s">
        <v>222</v>
      </c>
      <c r="C72" s="35" t="s">
        <v>223</v>
      </c>
      <c r="D72" s="35">
        <v>0</v>
      </c>
      <c r="E72" s="35">
        <v>71.89333333333343</v>
      </c>
      <c r="F72" s="35">
        <v>86.271999999999935</v>
      </c>
      <c r="G72" s="35">
        <v>1E+30</v>
      </c>
      <c r="H72" s="35">
        <v>71.89333333333343</v>
      </c>
    </row>
    <row r="73" spans="2:8">
      <c r="B73" s="35" t="s">
        <v>224</v>
      </c>
      <c r="C73" s="35" t="s">
        <v>225</v>
      </c>
      <c r="D73" s="35">
        <v>0</v>
      </c>
      <c r="E73" s="35">
        <v>58.862666666666883</v>
      </c>
      <c r="F73" s="35">
        <v>73.241333333333387</v>
      </c>
      <c r="G73" s="35">
        <v>1E+30</v>
      </c>
      <c r="H73" s="35">
        <v>58.862666666666883</v>
      </c>
    </row>
    <row r="74" spans="2:8">
      <c r="B74" s="35" t="s">
        <v>226</v>
      </c>
      <c r="C74" s="35" t="s">
        <v>227</v>
      </c>
      <c r="D74" s="35">
        <v>0</v>
      </c>
      <c r="E74" s="35">
        <v>6.2906666666672209</v>
      </c>
      <c r="F74" s="35">
        <v>3.1453333333333831</v>
      </c>
      <c r="G74" s="35">
        <v>1E+30</v>
      </c>
      <c r="H74" s="35">
        <v>6.2906666666672209</v>
      </c>
    </row>
    <row r="75" spans="2:8">
      <c r="B75" s="35" t="s">
        <v>228</v>
      </c>
      <c r="C75" s="35" t="s">
        <v>229</v>
      </c>
      <c r="D75" s="35">
        <v>0</v>
      </c>
      <c r="E75" s="35">
        <v>6.7399999999997817</v>
      </c>
      <c r="F75" s="35">
        <v>23.365333333333183</v>
      </c>
      <c r="G75" s="35">
        <v>1E+30</v>
      </c>
      <c r="H75" s="35">
        <v>6.7399999999997817</v>
      </c>
    </row>
    <row r="76" spans="2:8">
      <c r="B76" s="35" t="s">
        <v>230</v>
      </c>
      <c r="C76" s="35" t="s">
        <v>231</v>
      </c>
      <c r="D76" s="35">
        <v>0</v>
      </c>
      <c r="E76" s="35">
        <v>11.233333333333121</v>
      </c>
      <c r="F76" s="35">
        <v>27.858666666666522</v>
      </c>
      <c r="G76" s="35">
        <v>1E+30</v>
      </c>
      <c r="H76" s="35">
        <v>11.233333333333121</v>
      </c>
    </row>
    <row r="77" spans="2:8">
      <c r="B77" s="35" t="s">
        <v>232</v>
      </c>
      <c r="C77" s="35" t="s">
        <v>233</v>
      </c>
      <c r="D77" s="35">
        <v>877226</v>
      </c>
      <c r="E77" s="35">
        <v>0</v>
      </c>
      <c r="F77" s="35">
        <v>16.625333333333401</v>
      </c>
      <c r="G77" s="35">
        <v>3.1453333333333831</v>
      </c>
      <c r="H77" s="35">
        <v>1E+30</v>
      </c>
    </row>
    <row r="78" spans="2:8">
      <c r="B78" s="35" t="s">
        <v>234</v>
      </c>
      <c r="C78" s="35" t="s">
        <v>235</v>
      </c>
      <c r="D78" s="35">
        <v>0</v>
      </c>
      <c r="E78" s="35">
        <v>66.950666666666621</v>
      </c>
      <c r="F78" s="35">
        <v>83.576000000000022</v>
      </c>
      <c r="G78" s="35">
        <v>1E+30</v>
      </c>
      <c r="H78" s="35">
        <v>66.950666666666621</v>
      </c>
    </row>
    <row r="79" spans="2:8">
      <c r="B79" s="35" t="s">
        <v>236</v>
      </c>
      <c r="C79" s="35" t="s">
        <v>237</v>
      </c>
      <c r="D79" s="35">
        <v>0</v>
      </c>
      <c r="E79" s="35">
        <v>53.470666666666602</v>
      </c>
      <c r="F79" s="35">
        <v>70.096000000000004</v>
      </c>
      <c r="G79" s="35">
        <v>1E+30</v>
      </c>
      <c r="H79" s="35">
        <v>53.470666666666602</v>
      </c>
    </row>
    <row r="80" spans="2:8">
      <c r="B80" s="35" t="s">
        <v>238</v>
      </c>
      <c r="C80" s="35" t="s">
        <v>239</v>
      </c>
      <c r="D80" s="35">
        <v>0</v>
      </c>
      <c r="E80" s="35">
        <v>3.1453333333333831</v>
      </c>
      <c r="F80" s="35">
        <v>2.2466666666664423</v>
      </c>
      <c r="G80" s="35">
        <v>1E+30</v>
      </c>
      <c r="H80" s="35">
        <v>3.1453333333333831</v>
      </c>
    </row>
    <row r="81" spans="2:8">
      <c r="B81" s="35" t="s">
        <v>240</v>
      </c>
      <c r="C81" s="35" t="s">
        <v>241</v>
      </c>
      <c r="D81" s="35">
        <v>0</v>
      </c>
      <c r="E81" s="35">
        <v>4.043999999999869</v>
      </c>
      <c r="F81" s="35">
        <v>28.307999999999993</v>
      </c>
      <c r="G81" s="35">
        <v>1E+30</v>
      </c>
      <c r="H81" s="35">
        <v>4.043999999999869</v>
      </c>
    </row>
    <row r="82" spans="2:8">
      <c r="B82" s="35" t="s">
        <v>242</v>
      </c>
      <c r="C82" s="35" t="s">
        <v>243</v>
      </c>
      <c r="D82" s="35">
        <v>0</v>
      </c>
      <c r="E82" s="35">
        <v>14.378666666666504</v>
      </c>
      <c r="F82" s="35">
        <v>38.642666666666628</v>
      </c>
      <c r="G82" s="35">
        <v>1E+30</v>
      </c>
      <c r="H82" s="35">
        <v>14.378666666666504</v>
      </c>
    </row>
    <row r="83" spans="2:8">
      <c r="B83" s="35" t="s">
        <v>244</v>
      </c>
      <c r="C83" s="35" t="s">
        <v>245</v>
      </c>
      <c r="D83" s="35">
        <v>41186.043478260981</v>
      </c>
      <c r="E83" s="35">
        <v>0</v>
      </c>
      <c r="F83" s="35">
        <v>24.264000000000124</v>
      </c>
      <c r="G83" s="35">
        <v>4.043999999999869</v>
      </c>
      <c r="H83" s="35">
        <v>2.6960000000003674</v>
      </c>
    </row>
    <row r="84" spans="2:8">
      <c r="B84" s="35" t="s">
        <v>246</v>
      </c>
      <c r="C84" s="35" t="s">
        <v>247</v>
      </c>
      <c r="D84" s="35">
        <v>0</v>
      </c>
      <c r="E84" s="35">
        <v>71.44399999999996</v>
      </c>
      <c r="F84" s="35">
        <v>95.708000000000084</v>
      </c>
      <c r="G84" s="35">
        <v>1E+30</v>
      </c>
      <c r="H84" s="35">
        <v>71.44399999999996</v>
      </c>
    </row>
    <row r="85" spans="2:8">
      <c r="B85" s="35" t="s">
        <v>248</v>
      </c>
      <c r="C85" s="35" t="s">
        <v>249</v>
      </c>
      <c r="D85" s="35">
        <v>0</v>
      </c>
      <c r="E85" s="35">
        <v>51.673333333333176</v>
      </c>
      <c r="F85" s="35">
        <v>75.937333333333299</v>
      </c>
      <c r="G85" s="35">
        <v>1E+30</v>
      </c>
      <c r="H85" s="35">
        <v>51.673333333333176</v>
      </c>
    </row>
    <row r="86" spans="2:8">
      <c r="B86" s="35" t="s">
        <v>250</v>
      </c>
      <c r="C86" s="35" t="s">
        <v>251</v>
      </c>
      <c r="D86" s="35">
        <v>1181019.956521739</v>
      </c>
      <c r="E86" s="35">
        <v>0</v>
      </c>
      <c r="F86" s="35">
        <v>6.7399999999997817</v>
      </c>
      <c r="G86" s="35">
        <v>2.6960000000003674</v>
      </c>
      <c r="H86" s="35">
        <v>1E+30</v>
      </c>
    </row>
    <row r="87" spans="2:8">
      <c r="B87" s="35" t="s">
        <v>252</v>
      </c>
      <c r="C87" s="35" t="s">
        <v>253</v>
      </c>
      <c r="D87" s="35">
        <v>960545</v>
      </c>
      <c r="E87" s="35">
        <v>0</v>
      </c>
      <c r="F87" s="35">
        <v>23.365333333333183</v>
      </c>
      <c r="G87" s="35">
        <v>8.5373333333336632</v>
      </c>
      <c r="H87" s="35">
        <v>1E+30</v>
      </c>
    </row>
    <row r="88" spans="2:8">
      <c r="B88" s="35" t="s">
        <v>254</v>
      </c>
      <c r="C88" s="35" t="s">
        <v>255</v>
      </c>
      <c r="D88" s="35">
        <v>0</v>
      </c>
      <c r="E88" s="35">
        <v>17.973333333333358</v>
      </c>
      <c r="F88" s="35">
        <v>41.338666666666541</v>
      </c>
      <c r="G88" s="35">
        <v>1E+30</v>
      </c>
      <c r="H88" s="35">
        <v>17.973333333333358</v>
      </c>
    </row>
    <row r="89" spans="2:8">
      <c r="B89" s="35" t="s">
        <v>256</v>
      </c>
      <c r="C89" s="35" t="s">
        <v>257</v>
      </c>
      <c r="D89" s="35">
        <v>0</v>
      </c>
      <c r="E89" s="35">
        <v>8.5373333333336632</v>
      </c>
      <c r="F89" s="35">
        <v>31.902666666666846</v>
      </c>
      <c r="G89" s="35">
        <v>1E+30</v>
      </c>
      <c r="H89" s="35">
        <v>8.5373333333336632</v>
      </c>
    </row>
    <row r="90" spans="2:8">
      <c r="B90" s="35" t="s">
        <v>258</v>
      </c>
      <c r="C90" s="35" t="s">
        <v>259</v>
      </c>
      <c r="D90" s="35">
        <v>0</v>
      </c>
      <c r="E90" s="35">
        <v>66.950666666666621</v>
      </c>
      <c r="F90" s="35">
        <v>90.315999999999804</v>
      </c>
      <c r="G90" s="35">
        <v>1E+30</v>
      </c>
      <c r="H90" s="35">
        <v>66.950666666666621</v>
      </c>
    </row>
    <row r="91" spans="2:8">
      <c r="B91" s="35" t="s">
        <v>260</v>
      </c>
      <c r="C91" s="35" t="s">
        <v>261</v>
      </c>
      <c r="D91" s="35">
        <v>0</v>
      </c>
      <c r="E91" s="35">
        <v>47.629333333333307</v>
      </c>
      <c r="F91" s="35">
        <v>70.99466666666649</v>
      </c>
      <c r="G91" s="35">
        <v>1E+30</v>
      </c>
      <c r="H91" s="35">
        <v>47.629333333333307</v>
      </c>
    </row>
    <row r="92" spans="2:8">
      <c r="B92" s="35" t="s">
        <v>262</v>
      </c>
      <c r="C92" s="35" t="s">
        <v>263</v>
      </c>
      <c r="D92" s="35">
        <v>0</v>
      </c>
      <c r="E92" s="35">
        <v>13.480000000000473</v>
      </c>
      <c r="F92" s="35">
        <v>19.321333333333314</v>
      </c>
      <c r="G92" s="35">
        <v>1E+30</v>
      </c>
      <c r="H92" s="35">
        <v>13.480000000000473</v>
      </c>
    </row>
    <row r="93" spans="2:8">
      <c r="B93" s="35" t="s">
        <v>264</v>
      </c>
      <c r="C93" s="35" t="s">
        <v>265</v>
      </c>
      <c r="D93" s="35">
        <v>0</v>
      </c>
      <c r="E93" s="35">
        <v>17.074666666666872</v>
      </c>
      <c r="F93" s="35">
        <v>34.598666666666759</v>
      </c>
      <c r="G93" s="35">
        <v>1E+30</v>
      </c>
      <c r="H93" s="35">
        <v>17.074666666666872</v>
      </c>
    </row>
    <row r="94" spans="2:8">
      <c r="B94" s="35" t="s">
        <v>266</v>
      </c>
      <c r="C94" s="35" t="s">
        <v>267</v>
      </c>
      <c r="D94" s="35">
        <v>0</v>
      </c>
      <c r="E94" s="35">
        <v>21.118666666666741</v>
      </c>
      <c r="F94" s="35">
        <v>38.642666666666628</v>
      </c>
      <c r="G94" s="35">
        <v>1E+30</v>
      </c>
      <c r="H94" s="35">
        <v>21.118666666666741</v>
      </c>
    </row>
    <row r="95" spans="2:8">
      <c r="B95" s="35" t="s">
        <v>268</v>
      </c>
      <c r="C95" s="35" t="s">
        <v>269</v>
      </c>
      <c r="D95" s="35">
        <v>590166</v>
      </c>
      <c r="E95" s="35">
        <v>0</v>
      </c>
      <c r="F95" s="35">
        <v>17.523999999999887</v>
      </c>
      <c r="G95" s="35">
        <v>2.6960000000003674</v>
      </c>
      <c r="H95" s="35">
        <v>1E+30</v>
      </c>
    </row>
    <row r="96" spans="2:8">
      <c r="B96" s="35" t="s">
        <v>270</v>
      </c>
      <c r="C96" s="35" t="s">
        <v>271</v>
      </c>
      <c r="D96" s="35">
        <v>0</v>
      </c>
      <c r="E96" s="35">
        <v>66.501333333333605</v>
      </c>
      <c r="F96" s="35">
        <v>84.025333333333492</v>
      </c>
      <c r="G96" s="35">
        <v>1E+30</v>
      </c>
      <c r="H96" s="35">
        <v>66.501333333333605</v>
      </c>
    </row>
    <row r="97" spans="2:8">
      <c r="B97" s="35" t="s">
        <v>272</v>
      </c>
      <c r="C97" s="35" t="s">
        <v>273</v>
      </c>
      <c r="D97" s="35">
        <v>0</v>
      </c>
      <c r="E97" s="35">
        <v>46.730666666666821</v>
      </c>
      <c r="F97" s="35">
        <v>64.254666666666708</v>
      </c>
      <c r="G97" s="35">
        <v>1E+30</v>
      </c>
      <c r="H97" s="35">
        <v>46.730666666666821</v>
      </c>
    </row>
    <row r="98" spans="2:8">
      <c r="B98" s="35" t="s">
        <v>274</v>
      </c>
      <c r="C98" s="35" t="s">
        <v>275</v>
      </c>
      <c r="D98" s="35">
        <v>0</v>
      </c>
      <c r="E98" s="35">
        <v>2.6960000000003674</v>
      </c>
      <c r="F98" s="35">
        <v>2.6959999999999127</v>
      </c>
      <c r="G98" s="35">
        <v>1E+30</v>
      </c>
      <c r="H98" s="35">
        <v>2.6960000000003674</v>
      </c>
    </row>
    <row r="99" spans="2:8">
      <c r="B99" s="35" t="s">
        <v>276</v>
      </c>
      <c r="C99" s="35" t="s">
        <v>277</v>
      </c>
      <c r="D99" s="35">
        <v>0</v>
      </c>
      <c r="E99" s="35">
        <v>3.5946666666668534</v>
      </c>
      <c r="F99" s="35">
        <v>21.568000000000211</v>
      </c>
      <c r="G99" s="35">
        <v>1E+30</v>
      </c>
      <c r="H99" s="35">
        <v>3.5946666666668534</v>
      </c>
    </row>
    <row r="100" spans="2:8">
      <c r="B100" s="35" t="s">
        <v>278</v>
      </c>
      <c r="C100" s="35" t="s">
        <v>279</v>
      </c>
      <c r="D100" s="35">
        <v>0</v>
      </c>
      <c r="E100" s="35">
        <v>3.1453333333333831</v>
      </c>
      <c r="F100" s="35">
        <v>21.118666666666741</v>
      </c>
      <c r="G100" s="35">
        <v>1E+30</v>
      </c>
      <c r="H100" s="35">
        <v>3.1453333333333831</v>
      </c>
    </row>
    <row r="101" spans="2:8">
      <c r="B101" s="35" t="s">
        <v>280</v>
      </c>
      <c r="C101" s="35" t="s">
        <v>281</v>
      </c>
      <c r="D101" s="35">
        <v>1584055</v>
      </c>
      <c r="E101" s="35">
        <v>0</v>
      </c>
      <c r="F101" s="35">
        <v>17.973333333333358</v>
      </c>
      <c r="G101" s="35">
        <v>3.1453333333333831</v>
      </c>
      <c r="H101" s="35">
        <v>1E+30</v>
      </c>
    </row>
    <row r="102" spans="2:8">
      <c r="B102" s="35" t="s">
        <v>282</v>
      </c>
      <c r="C102" s="35" t="s">
        <v>283</v>
      </c>
      <c r="D102" s="35">
        <v>0</v>
      </c>
      <c r="E102" s="35">
        <v>57.963999999999942</v>
      </c>
      <c r="F102" s="35">
        <v>75.937333333333299</v>
      </c>
      <c r="G102" s="35">
        <v>1E+30</v>
      </c>
      <c r="H102" s="35">
        <v>57.963999999999942</v>
      </c>
    </row>
    <row r="103" spans="2:8">
      <c r="B103" s="35" t="s">
        <v>284</v>
      </c>
      <c r="C103" s="35" t="s">
        <v>285</v>
      </c>
      <c r="D103" s="35">
        <v>0</v>
      </c>
      <c r="E103" s="35">
        <v>38.642666666666628</v>
      </c>
      <c r="F103" s="35">
        <v>56.615999999999985</v>
      </c>
      <c r="G103" s="35">
        <v>1E+30</v>
      </c>
      <c r="H103" s="35">
        <v>38.642666666666628</v>
      </c>
    </row>
    <row r="104" spans="2:8">
      <c r="B104" s="35" t="s">
        <v>286</v>
      </c>
      <c r="C104" s="35" t="s">
        <v>287</v>
      </c>
      <c r="D104" s="35">
        <v>0</v>
      </c>
      <c r="E104" s="35">
        <v>17.524000000000342</v>
      </c>
      <c r="F104" s="35">
        <v>17.973333333333358</v>
      </c>
      <c r="G104" s="35">
        <v>1E+30</v>
      </c>
      <c r="H104" s="35">
        <v>17.524000000000342</v>
      </c>
    </row>
    <row r="105" spans="2:8">
      <c r="B105" s="35" t="s">
        <v>288</v>
      </c>
      <c r="C105" s="35" t="s">
        <v>289</v>
      </c>
      <c r="D105" s="35">
        <v>0</v>
      </c>
      <c r="E105" s="35">
        <v>10.783999999999651</v>
      </c>
      <c r="F105" s="35">
        <v>33.699999999999818</v>
      </c>
      <c r="G105" s="35">
        <v>1E+30</v>
      </c>
      <c r="H105" s="35">
        <v>10.783999999999651</v>
      </c>
    </row>
    <row r="106" spans="2:8">
      <c r="B106" s="35" t="s">
        <v>290</v>
      </c>
      <c r="C106" s="35" t="s">
        <v>291</v>
      </c>
      <c r="D106" s="35">
        <v>0</v>
      </c>
      <c r="E106" s="35">
        <v>16.175999999999931</v>
      </c>
      <c r="F106" s="35">
        <v>39.092000000000098</v>
      </c>
      <c r="G106" s="35">
        <v>1E+30</v>
      </c>
      <c r="H106" s="35">
        <v>16.175999999999931</v>
      </c>
    </row>
    <row r="107" spans="2:8">
      <c r="B107" s="35" t="s">
        <v>292</v>
      </c>
      <c r="C107" s="35" t="s">
        <v>293</v>
      </c>
      <c r="D107" s="35">
        <v>926798</v>
      </c>
      <c r="E107" s="35">
        <v>0</v>
      </c>
      <c r="F107" s="35">
        <v>22.916000000000167</v>
      </c>
      <c r="G107" s="35">
        <v>3.1453333333338378</v>
      </c>
      <c r="H107" s="35">
        <v>1E+30</v>
      </c>
    </row>
    <row r="108" spans="2:8">
      <c r="B108" s="35" t="s">
        <v>294</v>
      </c>
      <c r="C108" s="35" t="s">
        <v>295</v>
      </c>
      <c r="D108" s="35">
        <v>0</v>
      </c>
      <c r="E108" s="35">
        <v>76.386666666666315</v>
      </c>
      <c r="F108" s="35">
        <v>99.302666666666482</v>
      </c>
      <c r="G108" s="35">
        <v>1E+30</v>
      </c>
      <c r="H108" s="35">
        <v>76.386666666666315</v>
      </c>
    </row>
    <row r="109" spans="2:8">
      <c r="B109" s="35" t="s">
        <v>296</v>
      </c>
      <c r="C109" s="35" t="s">
        <v>297</v>
      </c>
      <c r="D109" s="35">
        <v>0</v>
      </c>
      <c r="E109" s="35">
        <v>47.629333333332852</v>
      </c>
      <c r="F109" s="35">
        <v>70.545333333333019</v>
      </c>
      <c r="G109" s="35">
        <v>1E+30</v>
      </c>
      <c r="H109" s="35">
        <v>47.629333333332852</v>
      </c>
    </row>
    <row r="110" spans="2:8">
      <c r="B110" s="35" t="s">
        <v>298</v>
      </c>
      <c r="C110" s="35" t="s">
        <v>299</v>
      </c>
      <c r="D110" s="35">
        <v>0</v>
      </c>
      <c r="E110" s="35">
        <v>3.1453333333338378</v>
      </c>
      <c r="F110" s="35">
        <v>8.5373333333336632</v>
      </c>
      <c r="G110" s="35">
        <v>1E+30</v>
      </c>
      <c r="H110" s="35">
        <v>3.1453333333338378</v>
      </c>
    </row>
    <row r="111" spans="2:8">
      <c r="B111" s="35" t="s">
        <v>300</v>
      </c>
      <c r="C111" s="35" t="s">
        <v>301</v>
      </c>
      <c r="D111" s="35">
        <v>0</v>
      </c>
      <c r="E111" s="35">
        <v>10.334666666666635</v>
      </c>
      <c r="F111" s="35">
        <v>29.206666666666933</v>
      </c>
      <c r="G111" s="35">
        <v>1E+30</v>
      </c>
      <c r="H111" s="35">
        <v>10.334666666666635</v>
      </c>
    </row>
    <row r="112" spans="2:8">
      <c r="B112" s="35" t="s">
        <v>302</v>
      </c>
      <c r="C112" s="35" t="s">
        <v>303</v>
      </c>
      <c r="D112" s="35">
        <v>0</v>
      </c>
      <c r="E112" s="35">
        <v>15.726666666666461</v>
      </c>
      <c r="F112" s="35">
        <v>34.598666666666759</v>
      </c>
      <c r="G112" s="35">
        <v>1E+30</v>
      </c>
      <c r="H112" s="35">
        <v>15.726666666666461</v>
      </c>
    </row>
    <row r="113" spans="2:8">
      <c r="B113" s="35" t="s">
        <v>304</v>
      </c>
      <c r="C113" s="35" t="s">
        <v>305</v>
      </c>
      <c r="D113" s="35">
        <v>1813436</v>
      </c>
      <c r="E113" s="35">
        <v>0</v>
      </c>
      <c r="F113" s="35">
        <v>18.872000000000298</v>
      </c>
      <c r="G113" s="35">
        <v>5.8413333333337505</v>
      </c>
      <c r="H113" s="35">
        <v>1E+30</v>
      </c>
    </row>
    <row r="114" spans="2:8">
      <c r="B114" s="35" t="s">
        <v>306</v>
      </c>
      <c r="C114" s="35" t="s">
        <v>307</v>
      </c>
      <c r="D114" s="35">
        <v>0</v>
      </c>
      <c r="E114" s="35">
        <v>71.443999999999505</v>
      </c>
      <c r="F114" s="35">
        <v>90.315999999999804</v>
      </c>
      <c r="G114" s="35">
        <v>1E+30</v>
      </c>
      <c r="H114" s="35">
        <v>71.443999999999505</v>
      </c>
    </row>
    <row r="115" spans="2:8">
      <c r="B115" s="35" t="s">
        <v>308</v>
      </c>
      <c r="C115" s="35" t="s">
        <v>309</v>
      </c>
      <c r="D115" s="35">
        <v>0</v>
      </c>
      <c r="E115" s="35">
        <v>53.920000000000073</v>
      </c>
      <c r="F115" s="35">
        <v>72.792000000000371</v>
      </c>
      <c r="G115" s="35">
        <v>1E+30</v>
      </c>
      <c r="H115" s="35">
        <v>53.920000000000073</v>
      </c>
    </row>
    <row r="116" spans="2:8">
      <c r="B116" s="35" t="s">
        <v>310</v>
      </c>
      <c r="C116" s="35" t="s">
        <v>311</v>
      </c>
      <c r="D116" s="35">
        <v>0</v>
      </c>
      <c r="E116" s="35">
        <v>5.8413333333337505</v>
      </c>
      <c r="F116" s="35">
        <v>7.1893333333337068</v>
      </c>
      <c r="G116" s="35">
        <v>1E+30</v>
      </c>
      <c r="H116" s="35">
        <v>5.8413333333337505</v>
      </c>
    </row>
    <row r="117" spans="2:8">
      <c r="B117" s="35" t="s">
        <v>312</v>
      </c>
      <c r="C117" s="35" t="s">
        <v>313</v>
      </c>
      <c r="D117" s="35">
        <v>1302207</v>
      </c>
      <c r="E117" s="35">
        <v>0</v>
      </c>
      <c r="F117" s="35">
        <v>17.524000000000342</v>
      </c>
      <c r="G117" s="35">
        <v>8.9866666666666788</v>
      </c>
      <c r="H117" s="35">
        <v>1E+30</v>
      </c>
    </row>
    <row r="118" spans="2:8">
      <c r="B118" s="35" t="s">
        <v>314</v>
      </c>
      <c r="C118" s="35" t="s">
        <v>315</v>
      </c>
      <c r="D118" s="35">
        <v>0</v>
      </c>
      <c r="E118" s="35">
        <v>17.973333333333358</v>
      </c>
      <c r="F118" s="35">
        <v>35.4973333333337</v>
      </c>
      <c r="G118" s="35">
        <v>1E+30</v>
      </c>
      <c r="H118" s="35">
        <v>17.973333333333358</v>
      </c>
    </row>
    <row r="119" spans="2:8">
      <c r="B119" s="35" t="s">
        <v>316</v>
      </c>
      <c r="C119" s="35" t="s">
        <v>317</v>
      </c>
      <c r="D119" s="35">
        <v>0</v>
      </c>
      <c r="E119" s="35">
        <v>8.9866666666666788</v>
      </c>
      <c r="F119" s="35">
        <v>26.510666666667021</v>
      </c>
      <c r="G119" s="35">
        <v>1E+30</v>
      </c>
      <c r="H119" s="35">
        <v>8.9866666666666788</v>
      </c>
    </row>
    <row r="120" spans="2:8">
      <c r="B120" s="35" t="s">
        <v>318</v>
      </c>
      <c r="C120" s="35" t="s">
        <v>319</v>
      </c>
      <c r="D120" s="35">
        <v>0</v>
      </c>
      <c r="E120" s="35">
        <v>66.950666666666621</v>
      </c>
      <c r="F120" s="35">
        <v>84.474666666666963</v>
      </c>
      <c r="G120" s="35">
        <v>1E+30</v>
      </c>
      <c r="H120" s="35">
        <v>66.950666666666621</v>
      </c>
    </row>
    <row r="121" spans="2:8">
      <c r="B121" s="35" t="s">
        <v>320</v>
      </c>
      <c r="C121" s="35" t="s">
        <v>321</v>
      </c>
      <c r="D121" s="35">
        <v>0</v>
      </c>
      <c r="E121" s="35">
        <v>47.629333333333307</v>
      </c>
      <c r="F121" s="35">
        <v>65.153333333333649</v>
      </c>
      <c r="G121" s="35">
        <v>1E+30</v>
      </c>
      <c r="H121" s="35">
        <v>47.629333333333307</v>
      </c>
    </row>
    <row r="122" spans="2:8">
      <c r="B122" s="35" t="s">
        <v>322</v>
      </c>
      <c r="C122" s="35" t="s">
        <v>323</v>
      </c>
      <c r="D122" s="35">
        <v>0</v>
      </c>
      <c r="E122" s="35">
        <v>14.378666666666504</v>
      </c>
      <c r="F122" s="35">
        <v>14.378666666666504</v>
      </c>
      <c r="G122" s="35">
        <v>1E+30</v>
      </c>
      <c r="H122" s="35">
        <v>14.378666666666504</v>
      </c>
    </row>
    <row r="123" spans="2:8">
      <c r="B123" s="35" t="s">
        <v>324</v>
      </c>
      <c r="C123" s="35" t="s">
        <v>325</v>
      </c>
      <c r="D123" s="35">
        <v>730067</v>
      </c>
      <c r="E123" s="35">
        <v>0</v>
      </c>
      <c r="F123" s="35">
        <v>22.466666666666242</v>
      </c>
      <c r="G123" s="35">
        <v>8.5373333333336632</v>
      </c>
      <c r="H123" s="35">
        <v>1E+30</v>
      </c>
    </row>
    <row r="124" spans="2:8">
      <c r="B124" s="35" t="s">
        <v>326</v>
      </c>
      <c r="C124" s="35" t="s">
        <v>327</v>
      </c>
      <c r="D124" s="35">
        <v>0</v>
      </c>
      <c r="E124" s="35">
        <v>18.422666666667283</v>
      </c>
      <c r="F124" s="35">
        <v>40.889333333333525</v>
      </c>
      <c r="G124" s="35">
        <v>1E+30</v>
      </c>
      <c r="H124" s="35">
        <v>18.422666666667283</v>
      </c>
    </row>
    <row r="125" spans="2:8">
      <c r="B125" s="35" t="s">
        <v>328</v>
      </c>
      <c r="C125" s="35" t="s">
        <v>329</v>
      </c>
      <c r="D125" s="35">
        <v>0</v>
      </c>
      <c r="E125" s="35">
        <v>8.9866666666666788</v>
      </c>
      <c r="F125" s="35">
        <v>31.453333333332921</v>
      </c>
      <c r="G125" s="35">
        <v>1E+30</v>
      </c>
      <c r="H125" s="35">
        <v>8.9866666666666788</v>
      </c>
    </row>
    <row r="126" spans="2:8">
      <c r="B126" s="35" t="s">
        <v>330</v>
      </c>
      <c r="C126" s="35" t="s">
        <v>331</v>
      </c>
      <c r="D126" s="35">
        <v>0</v>
      </c>
      <c r="E126" s="35">
        <v>67.400000000000546</v>
      </c>
      <c r="F126" s="35">
        <v>89.866666666666788</v>
      </c>
      <c r="G126" s="35">
        <v>1E+30</v>
      </c>
      <c r="H126" s="35">
        <v>67.400000000000546</v>
      </c>
    </row>
    <row r="127" spans="2:8">
      <c r="B127" s="35" t="s">
        <v>332</v>
      </c>
      <c r="C127" s="35" t="s">
        <v>333</v>
      </c>
      <c r="D127" s="35">
        <v>0</v>
      </c>
      <c r="E127" s="35">
        <v>48.078666666667232</v>
      </c>
      <c r="F127" s="35">
        <v>70.545333333333474</v>
      </c>
      <c r="G127" s="35">
        <v>1E+30</v>
      </c>
      <c r="H127" s="35">
        <v>48.078666666667232</v>
      </c>
    </row>
    <row r="128" spans="2:8">
      <c r="B128" s="35" t="s">
        <v>334</v>
      </c>
      <c r="C128" s="35" t="s">
        <v>335</v>
      </c>
      <c r="D128" s="35">
        <v>0</v>
      </c>
      <c r="E128" s="35">
        <v>8.5373333333336632</v>
      </c>
      <c r="F128" s="35">
        <v>13.479999999999563</v>
      </c>
      <c r="G128" s="35">
        <v>1E+30</v>
      </c>
      <c r="H128" s="35">
        <v>8.5373333333336632</v>
      </c>
    </row>
    <row r="129" spans="2:8">
      <c r="B129" s="35" t="s">
        <v>336</v>
      </c>
      <c r="C129" s="35" t="s">
        <v>337</v>
      </c>
      <c r="D129" s="35">
        <v>0</v>
      </c>
      <c r="E129" s="35">
        <v>13.929333333332579</v>
      </c>
      <c r="F129" s="35">
        <v>31.453333333332921</v>
      </c>
      <c r="G129" s="35">
        <v>1E+30</v>
      </c>
      <c r="H129" s="35">
        <v>13.929333333332579</v>
      </c>
    </row>
    <row r="130" spans="2:8">
      <c r="B130" s="35" t="s">
        <v>338</v>
      </c>
      <c r="C130" s="35" t="s">
        <v>339</v>
      </c>
      <c r="D130" s="35">
        <v>0</v>
      </c>
      <c r="E130" s="35">
        <v>18.422666666666373</v>
      </c>
      <c r="F130" s="35">
        <v>35.946666666666715</v>
      </c>
      <c r="G130" s="35">
        <v>1E+30</v>
      </c>
      <c r="H130" s="35">
        <v>18.422666666666373</v>
      </c>
    </row>
    <row r="131" spans="2:8">
      <c r="B131" s="35" t="s">
        <v>340</v>
      </c>
      <c r="C131" s="35" t="s">
        <v>341</v>
      </c>
      <c r="D131" s="35">
        <v>1167651</v>
      </c>
      <c r="E131" s="35">
        <v>0</v>
      </c>
      <c r="F131" s="35">
        <v>17.524000000000342</v>
      </c>
      <c r="G131" s="35">
        <v>7.1893333333337068</v>
      </c>
      <c r="H131" s="35">
        <v>1E+30</v>
      </c>
    </row>
    <row r="132" spans="2:8">
      <c r="B132" s="35" t="s">
        <v>342</v>
      </c>
      <c r="C132" s="35" t="s">
        <v>343</v>
      </c>
      <c r="D132" s="35">
        <v>0</v>
      </c>
      <c r="E132" s="35">
        <v>75.038666666666359</v>
      </c>
      <c r="F132" s="35">
        <v>92.562666666666701</v>
      </c>
      <c r="G132" s="35">
        <v>1E+30</v>
      </c>
      <c r="H132" s="35">
        <v>75.038666666666359</v>
      </c>
    </row>
    <row r="133" spans="2:8">
      <c r="B133" s="35" t="s">
        <v>344</v>
      </c>
      <c r="C133" s="35" t="s">
        <v>345</v>
      </c>
      <c r="D133" s="35">
        <v>0</v>
      </c>
      <c r="E133" s="35">
        <v>52.571999999999207</v>
      </c>
      <c r="F133" s="35">
        <v>70.095999999999549</v>
      </c>
      <c r="G133" s="35">
        <v>1E+30</v>
      </c>
      <c r="H133" s="35">
        <v>52.571999999999207</v>
      </c>
    </row>
    <row r="134" spans="2:8">
      <c r="B134" s="35" t="s">
        <v>346</v>
      </c>
      <c r="C134" s="35" t="s">
        <v>347</v>
      </c>
      <c r="D134" s="35">
        <v>0</v>
      </c>
      <c r="E134" s="35">
        <v>7.1893333333337068</v>
      </c>
      <c r="F134" s="35">
        <v>7.1893333333337068</v>
      </c>
      <c r="G134" s="35">
        <v>1E+30</v>
      </c>
      <c r="H134" s="35">
        <v>7.1893333333337068</v>
      </c>
    </row>
    <row r="135" spans="2:8">
      <c r="B135" s="35" t="s">
        <v>348</v>
      </c>
      <c r="C135" s="35" t="s">
        <v>349</v>
      </c>
      <c r="D135" s="35">
        <v>0</v>
      </c>
      <c r="E135" s="35">
        <v>12.581333333333532</v>
      </c>
      <c r="F135" s="35">
        <v>29.206666666666933</v>
      </c>
      <c r="G135" s="35">
        <v>1E+30</v>
      </c>
      <c r="H135" s="35">
        <v>12.581333333333532</v>
      </c>
    </row>
    <row r="136" spans="2:8">
      <c r="B136" s="35" t="s">
        <v>350</v>
      </c>
      <c r="C136" s="35" t="s">
        <v>351</v>
      </c>
      <c r="D136" s="35">
        <v>0</v>
      </c>
      <c r="E136" s="35">
        <v>16.175999999999476</v>
      </c>
      <c r="F136" s="35">
        <v>32.801333333332877</v>
      </c>
      <c r="G136" s="35">
        <v>1E+30</v>
      </c>
      <c r="H136" s="35">
        <v>16.175999999999476</v>
      </c>
    </row>
    <row r="137" spans="2:8">
      <c r="B137" s="35" t="s">
        <v>352</v>
      </c>
      <c r="C137" s="35" t="s">
        <v>353</v>
      </c>
      <c r="D137" s="35">
        <v>1376499</v>
      </c>
      <c r="E137" s="35">
        <v>0</v>
      </c>
      <c r="F137" s="35">
        <v>16.625333333333401</v>
      </c>
      <c r="G137" s="35">
        <v>5.3919999999998254</v>
      </c>
      <c r="H137" s="35">
        <v>1E+30</v>
      </c>
    </row>
    <row r="138" spans="2:8">
      <c r="B138" s="35" t="s">
        <v>354</v>
      </c>
      <c r="C138" s="35" t="s">
        <v>355</v>
      </c>
      <c r="D138" s="35">
        <v>0</v>
      </c>
      <c r="E138" s="35">
        <v>71.89333333333343</v>
      </c>
      <c r="F138" s="35">
        <v>88.518666666666832</v>
      </c>
      <c r="G138" s="35">
        <v>1E+30</v>
      </c>
      <c r="H138" s="35">
        <v>71.89333333333343</v>
      </c>
    </row>
    <row r="139" spans="2:8">
      <c r="B139" s="35" t="s">
        <v>356</v>
      </c>
      <c r="C139" s="35" t="s">
        <v>357</v>
      </c>
      <c r="D139" s="35">
        <v>0</v>
      </c>
      <c r="E139" s="35">
        <v>53.920000000000073</v>
      </c>
      <c r="F139" s="35">
        <v>70.545333333333474</v>
      </c>
      <c r="G139" s="35">
        <v>1E+30</v>
      </c>
      <c r="H139" s="35">
        <v>53.920000000000073</v>
      </c>
    </row>
    <row r="140" spans="2:8">
      <c r="B140" s="35" t="s">
        <v>358</v>
      </c>
      <c r="C140" s="35" t="s">
        <v>359</v>
      </c>
      <c r="D140" s="35">
        <v>0</v>
      </c>
      <c r="E140" s="35">
        <v>5.3919999999998254</v>
      </c>
      <c r="F140" s="35">
        <v>4.4933333333328846</v>
      </c>
      <c r="G140" s="35">
        <v>1E+30</v>
      </c>
      <c r="H140" s="35">
        <v>5.3919999999998254</v>
      </c>
    </row>
    <row r="141" spans="2:8">
      <c r="B141" s="35" t="s">
        <v>360</v>
      </c>
      <c r="C141" s="35" t="s">
        <v>361</v>
      </c>
      <c r="D141" s="35">
        <v>0</v>
      </c>
      <c r="E141" s="35">
        <v>6.2906666666667661</v>
      </c>
      <c r="F141" s="35">
        <v>22.017333333333227</v>
      </c>
      <c r="G141" s="35">
        <v>1E+30</v>
      </c>
      <c r="H141" s="35">
        <v>6.2906666666667661</v>
      </c>
    </row>
    <row r="142" spans="2:8">
      <c r="B142" s="35" t="s">
        <v>362</v>
      </c>
      <c r="C142" s="35" t="s">
        <v>363</v>
      </c>
      <c r="D142" s="35">
        <v>0</v>
      </c>
      <c r="E142" s="35">
        <v>9.8853333333336195</v>
      </c>
      <c r="F142" s="35">
        <v>25.61200000000008</v>
      </c>
      <c r="G142" s="35">
        <v>1E+30</v>
      </c>
      <c r="H142" s="35">
        <v>9.8853333333336195</v>
      </c>
    </row>
    <row r="143" spans="2:8">
      <c r="B143" s="35" t="s">
        <v>364</v>
      </c>
      <c r="C143" s="35" t="s">
        <v>365</v>
      </c>
      <c r="D143" s="35">
        <v>748012</v>
      </c>
      <c r="E143" s="35">
        <v>0</v>
      </c>
      <c r="F143" s="35">
        <v>15.726666666666461</v>
      </c>
      <c r="G143" s="35">
        <v>5.8413333333337505</v>
      </c>
      <c r="H143" s="35">
        <v>1E+30</v>
      </c>
    </row>
    <row r="144" spans="2:8">
      <c r="B144" s="35" t="s">
        <v>366</v>
      </c>
      <c r="C144" s="35" t="s">
        <v>367</v>
      </c>
      <c r="D144" s="35">
        <v>0</v>
      </c>
      <c r="E144" s="35">
        <v>65.602666666666664</v>
      </c>
      <c r="F144" s="35">
        <v>81.329333333333125</v>
      </c>
      <c r="G144" s="35">
        <v>1E+30</v>
      </c>
      <c r="H144" s="35">
        <v>65.602666666666664</v>
      </c>
    </row>
    <row r="145" spans="1:8">
      <c r="B145" s="35" t="s">
        <v>368</v>
      </c>
      <c r="C145" s="35" t="s">
        <v>369</v>
      </c>
      <c r="D145" s="35">
        <v>0</v>
      </c>
      <c r="E145" s="35">
        <v>45.832000000000335</v>
      </c>
      <c r="F145" s="35">
        <v>61.558666666666795</v>
      </c>
      <c r="G145" s="35">
        <v>1E+30</v>
      </c>
      <c r="H145" s="35">
        <v>45.832000000000335</v>
      </c>
    </row>
    <row r="146" spans="1:8" ht="19" thickBot="1">
      <c r="B146" s="36" t="s">
        <v>370</v>
      </c>
      <c r="C146" s="36" t="s">
        <v>371</v>
      </c>
      <c r="D146" s="36">
        <v>0</v>
      </c>
      <c r="E146" s="36">
        <v>5.8413333333337505</v>
      </c>
      <c r="F146" s="36">
        <v>4.043999999999869</v>
      </c>
      <c r="G146" s="36">
        <v>1E+30</v>
      </c>
      <c r="H146" s="36">
        <v>5.8413333333337505</v>
      </c>
    </row>
    <row r="148" spans="1:8" ht="19" thickBot="1">
      <c r="A148" t="s">
        <v>92</v>
      </c>
    </row>
    <row r="149" spans="1:8">
      <c r="B149" s="37"/>
      <c r="C149" s="37"/>
      <c r="D149" s="37" t="s">
        <v>83</v>
      </c>
      <c r="E149" s="37" t="s">
        <v>93</v>
      </c>
      <c r="F149" s="37" t="s">
        <v>92</v>
      </c>
      <c r="G149" s="37" t="s">
        <v>89</v>
      </c>
      <c r="H149" s="37" t="s">
        <v>89</v>
      </c>
    </row>
    <row r="150" spans="1:8" ht="19" thickBot="1">
      <c r="B150" s="38" t="s">
        <v>81</v>
      </c>
      <c r="C150" s="38" t="s">
        <v>82</v>
      </c>
      <c r="D150" s="38" t="s">
        <v>84</v>
      </c>
      <c r="E150" s="38" t="s">
        <v>94</v>
      </c>
      <c r="F150" s="38" t="s">
        <v>95</v>
      </c>
      <c r="G150" s="38" t="s">
        <v>90</v>
      </c>
      <c r="H150" s="38" t="s">
        <v>91</v>
      </c>
    </row>
    <row r="151" spans="1:8">
      <c r="B151" s="35" t="s">
        <v>372</v>
      </c>
      <c r="C151" s="35" t="s">
        <v>373</v>
      </c>
      <c r="D151" s="35">
        <v>9473869</v>
      </c>
      <c r="E151" s="35">
        <v>0</v>
      </c>
      <c r="F151" s="35">
        <v>51600000</v>
      </c>
      <c r="G151" s="35">
        <v>1E+30</v>
      </c>
      <c r="H151" s="35">
        <v>42126131</v>
      </c>
    </row>
    <row r="152" spans="1:8">
      <c r="B152" s="35" t="s">
        <v>374</v>
      </c>
      <c r="C152" s="35" t="s">
        <v>375</v>
      </c>
      <c r="D152" s="35">
        <v>0</v>
      </c>
      <c r="E152" s="35">
        <v>0</v>
      </c>
      <c r="F152" s="35">
        <v>9891116.8831168823</v>
      </c>
      <c r="G152" s="35">
        <v>1E+30</v>
      </c>
      <c r="H152" s="35">
        <v>9891116.8831168823</v>
      </c>
    </row>
    <row r="153" spans="1:8">
      <c r="B153" s="35" t="s">
        <v>376</v>
      </c>
      <c r="C153" s="35" t="s">
        <v>377</v>
      </c>
      <c r="D153" s="35">
        <v>16508570.043478262</v>
      </c>
      <c r="E153" s="35">
        <v>0</v>
      </c>
      <c r="F153" s="35">
        <v>22435948.051948048</v>
      </c>
      <c r="G153" s="35">
        <v>1E+30</v>
      </c>
      <c r="H153" s="35">
        <v>5927378.0084697865</v>
      </c>
    </row>
    <row r="154" spans="1:8">
      <c r="B154" s="35" t="s">
        <v>378</v>
      </c>
      <c r="C154" s="35" t="s">
        <v>379</v>
      </c>
      <c r="D154" s="35">
        <v>0</v>
      </c>
      <c r="E154" s="35">
        <v>0</v>
      </c>
      <c r="F154" s="35">
        <v>17400000</v>
      </c>
      <c r="G154" s="35">
        <v>1E+30</v>
      </c>
      <c r="H154" s="35">
        <v>17400000</v>
      </c>
    </row>
    <row r="155" spans="1:8">
      <c r="B155" s="35" t="s">
        <v>380</v>
      </c>
      <c r="C155" s="35" t="s">
        <v>381</v>
      </c>
      <c r="D155" s="35">
        <v>0</v>
      </c>
      <c r="E155" s="35">
        <v>0</v>
      </c>
      <c r="F155" s="35">
        <v>2168452.7393136667</v>
      </c>
      <c r="G155" s="35">
        <v>1E+30</v>
      </c>
      <c r="H155" s="35">
        <v>2168452.7393136667</v>
      </c>
    </row>
    <row r="156" spans="1:8">
      <c r="B156" s="35" t="s">
        <v>382</v>
      </c>
      <c r="C156" s="35" t="s">
        <v>383</v>
      </c>
      <c r="D156" s="35">
        <v>1181019.956521739</v>
      </c>
      <c r="E156" s="35">
        <v>-17.524000000000342</v>
      </c>
      <c r="F156" s="35">
        <v>1181019.956521739</v>
      </c>
      <c r="G156" s="35">
        <v>41186.043478260981</v>
      </c>
      <c r="H156" s="35">
        <v>1181019.956521739</v>
      </c>
    </row>
    <row r="157" spans="1:8">
      <c r="B157" s="35" t="s">
        <v>384</v>
      </c>
      <c r="C157" s="35" t="s">
        <v>385</v>
      </c>
      <c r="D157" s="35">
        <v>2330637</v>
      </c>
      <c r="E157" s="35">
        <v>16.176000000000002</v>
      </c>
      <c r="F157" s="35">
        <v>2330637</v>
      </c>
      <c r="G157" s="35">
        <v>5927378.0084697865</v>
      </c>
      <c r="H157" s="35">
        <v>2330637</v>
      </c>
    </row>
    <row r="158" spans="1:8">
      <c r="B158" s="35" t="s">
        <v>386</v>
      </c>
      <c r="C158" s="35" t="s">
        <v>387</v>
      </c>
      <c r="D158" s="35">
        <v>1246849</v>
      </c>
      <c r="E158" s="35">
        <v>12.581333333333333</v>
      </c>
      <c r="F158" s="35">
        <v>1246849</v>
      </c>
      <c r="G158" s="35">
        <v>42126131</v>
      </c>
      <c r="H158" s="35">
        <v>1246849</v>
      </c>
    </row>
    <row r="159" spans="1:8">
      <c r="B159" s="35" t="s">
        <v>388</v>
      </c>
      <c r="C159" s="35" t="s">
        <v>389</v>
      </c>
      <c r="D159" s="35">
        <v>1434618</v>
      </c>
      <c r="E159" s="35">
        <v>11.682666666666648</v>
      </c>
      <c r="F159" s="35">
        <v>1434618</v>
      </c>
      <c r="G159" s="35">
        <v>5927378.0084697865</v>
      </c>
      <c r="H159" s="35">
        <v>1434618</v>
      </c>
    </row>
    <row r="160" spans="1:8">
      <c r="B160" s="35" t="s">
        <v>390</v>
      </c>
      <c r="C160" s="35" t="s">
        <v>391</v>
      </c>
      <c r="D160" s="35">
        <v>1058984</v>
      </c>
      <c r="E160" s="35">
        <v>17.524000000000001</v>
      </c>
      <c r="F160" s="35">
        <v>1058984</v>
      </c>
      <c r="G160" s="35">
        <v>42126131</v>
      </c>
      <c r="H160" s="35">
        <v>1058984</v>
      </c>
    </row>
    <row r="161" spans="2:8">
      <c r="B161" s="35" t="s">
        <v>392</v>
      </c>
      <c r="C161" s="35" t="s">
        <v>393</v>
      </c>
      <c r="D161" s="35">
        <v>1309665</v>
      </c>
      <c r="E161" s="35">
        <v>21.567999999999984</v>
      </c>
      <c r="F161" s="35">
        <v>1309665</v>
      </c>
      <c r="G161" s="35">
        <v>42126131</v>
      </c>
      <c r="H161" s="35">
        <v>1309665</v>
      </c>
    </row>
    <row r="162" spans="2:8">
      <c r="B162" s="35" t="s">
        <v>394</v>
      </c>
      <c r="C162" s="35" t="s">
        <v>395</v>
      </c>
      <c r="D162" s="35">
        <v>781203</v>
      </c>
      <c r="E162" s="35">
        <v>24.263999999999896</v>
      </c>
      <c r="F162" s="35">
        <v>781203</v>
      </c>
      <c r="G162" s="35">
        <v>42126131</v>
      </c>
      <c r="H162" s="35">
        <v>781203</v>
      </c>
    </row>
    <row r="163" spans="2:8">
      <c r="B163" s="35" t="s">
        <v>396</v>
      </c>
      <c r="C163" s="35" t="s">
        <v>397</v>
      </c>
      <c r="D163" s="35">
        <v>997095</v>
      </c>
      <c r="E163" s="35">
        <v>21.567999999999984</v>
      </c>
      <c r="F163" s="35">
        <v>997095</v>
      </c>
      <c r="G163" s="35">
        <v>42126131</v>
      </c>
      <c r="H163" s="35">
        <v>997095</v>
      </c>
    </row>
    <row r="164" spans="2:8">
      <c r="B164" s="35" t="s">
        <v>398</v>
      </c>
      <c r="C164" s="35" t="s">
        <v>399</v>
      </c>
      <c r="D164" s="35">
        <v>1115917</v>
      </c>
      <c r="E164" s="35">
        <v>16.625333333333401</v>
      </c>
      <c r="F164" s="35">
        <v>1115917</v>
      </c>
      <c r="G164" s="35">
        <v>5927378.0084697865</v>
      </c>
      <c r="H164" s="35">
        <v>1115917</v>
      </c>
    </row>
    <row r="165" spans="2:8">
      <c r="B165" s="35" t="s">
        <v>400</v>
      </c>
      <c r="C165" s="35" t="s">
        <v>401</v>
      </c>
      <c r="D165" s="35">
        <v>1087254</v>
      </c>
      <c r="E165" s="35">
        <v>13.929333333333261</v>
      </c>
      <c r="F165" s="35">
        <v>1087254</v>
      </c>
      <c r="G165" s="35">
        <v>42126131</v>
      </c>
      <c r="H165" s="35">
        <v>1087254</v>
      </c>
    </row>
    <row r="166" spans="2:8">
      <c r="B166" s="35" t="s">
        <v>402</v>
      </c>
      <c r="C166" s="35" t="s">
        <v>403</v>
      </c>
      <c r="D166" s="35">
        <v>1178041</v>
      </c>
      <c r="E166" s="35">
        <v>17.973333333333358</v>
      </c>
      <c r="F166" s="35">
        <v>1178041</v>
      </c>
      <c r="G166" s="35">
        <v>5927378.0084697865</v>
      </c>
      <c r="H166" s="35">
        <v>1178041</v>
      </c>
    </row>
    <row r="167" spans="2:8">
      <c r="B167" s="35" t="s">
        <v>404</v>
      </c>
      <c r="C167" s="35" t="s">
        <v>405</v>
      </c>
      <c r="D167" s="35">
        <v>1324328</v>
      </c>
      <c r="E167" s="35">
        <v>14.378666666666504</v>
      </c>
      <c r="F167" s="35">
        <v>1324328</v>
      </c>
      <c r="G167" s="35">
        <v>5927378.0084697865</v>
      </c>
      <c r="H167" s="35">
        <v>1324328</v>
      </c>
    </row>
    <row r="168" spans="2:8">
      <c r="B168" s="35" t="s">
        <v>406</v>
      </c>
      <c r="C168" s="35" t="s">
        <v>407</v>
      </c>
      <c r="D168" s="35">
        <v>877226</v>
      </c>
      <c r="E168" s="35">
        <v>16.625333333333401</v>
      </c>
      <c r="F168" s="35">
        <v>877226</v>
      </c>
      <c r="G168" s="35">
        <v>5927378.0084697865</v>
      </c>
      <c r="H168" s="35">
        <v>877226</v>
      </c>
    </row>
    <row r="169" spans="2:8">
      <c r="B169" s="35" t="s">
        <v>408</v>
      </c>
      <c r="C169" s="35" t="s">
        <v>409</v>
      </c>
      <c r="D169" s="35">
        <v>1222206</v>
      </c>
      <c r="E169" s="35">
        <v>24.264000000000124</v>
      </c>
      <c r="F169" s="35">
        <v>1222206</v>
      </c>
      <c r="G169" s="35">
        <v>5927378.0084697865</v>
      </c>
      <c r="H169" s="35">
        <v>41186.043478260981</v>
      </c>
    </row>
    <row r="170" spans="2:8">
      <c r="B170" s="35" t="s">
        <v>410</v>
      </c>
      <c r="C170" s="35" t="s">
        <v>411</v>
      </c>
      <c r="D170" s="35">
        <v>960545</v>
      </c>
      <c r="E170" s="35">
        <v>23.365333333333183</v>
      </c>
      <c r="F170" s="35">
        <v>960545</v>
      </c>
      <c r="G170" s="35">
        <v>42126131</v>
      </c>
      <c r="H170" s="35">
        <v>960545</v>
      </c>
    </row>
    <row r="171" spans="2:8">
      <c r="B171" s="35" t="s">
        <v>412</v>
      </c>
      <c r="C171" s="35" t="s">
        <v>413</v>
      </c>
      <c r="D171" s="35">
        <v>590166</v>
      </c>
      <c r="E171" s="35">
        <v>17.523999999999887</v>
      </c>
      <c r="F171" s="35">
        <v>590166</v>
      </c>
      <c r="G171" s="35">
        <v>5927378.0084697865</v>
      </c>
      <c r="H171" s="35">
        <v>590166</v>
      </c>
    </row>
    <row r="172" spans="2:8">
      <c r="B172" s="35" t="s">
        <v>414</v>
      </c>
      <c r="C172" s="35" t="s">
        <v>415</v>
      </c>
      <c r="D172" s="35">
        <v>1584055</v>
      </c>
      <c r="E172" s="35">
        <v>17.973333333333358</v>
      </c>
      <c r="F172" s="35">
        <v>1584055</v>
      </c>
      <c r="G172" s="35">
        <v>5927378.0084697865</v>
      </c>
      <c r="H172" s="35">
        <v>1584055</v>
      </c>
    </row>
    <row r="173" spans="2:8">
      <c r="B173" s="35" t="s">
        <v>416</v>
      </c>
      <c r="C173" s="35" t="s">
        <v>417</v>
      </c>
      <c r="D173" s="35">
        <v>926798</v>
      </c>
      <c r="E173" s="35">
        <v>22.916000000000167</v>
      </c>
      <c r="F173" s="35">
        <v>926798</v>
      </c>
      <c r="G173" s="35">
        <v>5927378.0084697865</v>
      </c>
      <c r="H173" s="35">
        <v>926798</v>
      </c>
    </row>
    <row r="174" spans="2:8">
      <c r="B174" s="35" t="s">
        <v>418</v>
      </c>
      <c r="C174" s="35" t="s">
        <v>419</v>
      </c>
      <c r="D174" s="35">
        <v>1813436</v>
      </c>
      <c r="E174" s="35">
        <v>18.872000000000298</v>
      </c>
      <c r="F174" s="35">
        <v>1813436</v>
      </c>
      <c r="G174" s="35">
        <v>5927378.0084697865</v>
      </c>
      <c r="H174" s="35">
        <v>1813436</v>
      </c>
    </row>
    <row r="175" spans="2:8">
      <c r="B175" s="35" t="s">
        <v>420</v>
      </c>
      <c r="C175" s="35" t="s">
        <v>421</v>
      </c>
      <c r="D175" s="35">
        <v>1302207</v>
      </c>
      <c r="E175" s="35">
        <v>17.524000000000342</v>
      </c>
      <c r="F175" s="35">
        <v>1302207</v>
      </c>
      <c r="G175" s="35">
        <v>42126131</v>
      </c>
      <c r="H175" s="35">
        <v>1302207</v>
      </c>
    </row>
    <row r="176" spans="2:8">
      <c r="B176" s="35" t="s">
        <v>422</v>
      </c>
      <c r="C176" s="35" t="s">
        <v>423</v>
      </c>
      <c r="D176" s="35">
        <v>730067</v>
      </c>
      <c r="E176" s="35">
        <v>22.466666666666242</v>
      </c>
      <c r="F176" s="35">
        <v>730067</v>
      </c>
      <c r="G176" s="35">
        <v>42126131</v>
      </c>
      <c r="H176" s="35">
        <v>730067</v>
      </c>
    </row>
    <row r="177" spans="2:8">
      <c r="B177" s="35" t="s">
        <v>424</v>
      </c>
      <c r="C177" s="35" t="s">
        <v>425</v>
      </c>
      <c r="D177" s="35">
        <v>1167651</v>
      </c>
      <c r="E177" s="35">
        <v>17.524000000000342</v>
      </c>
      <c r="F177" s="35">
        <v>1167651</v>
      </c>
      <c r="G177" s="35">
        <v>5927378.0084697865</v>
      </c>
      <c r="H177" s="35">
        <v>1167651</v>
      </c>
    </row>
    <row r="178" spans="2:8">
      <c r="B178" s="35" t="s">
        <v>426</v>
      </c>
      <c r="C178" s="35" t="s">
        <v>427</v>
      </c>
      <c r="D178" s="35">
        <v>1376499</v>
      </c>
      <c r="E178" s="35">
        <v>16.625333333333401</v>
      </c>
      <c r="F178" s="35">
        <v>1376499</v>
      </c>
      <c r="G178" s="35">
        <v>5927378.0084697865</v>
      </c>
      <c r="H178" s="35">
        <v>1376499</v>
      </c>
    </row>
    <row r="179" spans="2:8" ht="19" thickBot="1">
      <c r="B179" s="36" t="s">
        <v>428</v>
      </c>
      <c r="C179" s="36" t="s">
        <v>429</v>
      </c>
      <c r="D179" s="36">
        <v>748012</v>
      </c>
      <c r="E179" s="36">
        <v>15.726666666666461</v>
      </c>
      <c r="F179" s="36">
        <v>748012</v>
      </c>
      <c r="G179" s="36">
        <v>5927378.0084697865</v>
      </c>
      <c r="H179" s="36">
        <v>748012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E6D9-E937-4C9D-9192-107220E6548C}">
  <dimension ref="A1:H173"/>
  <sheetViews>
    <sheetView showGridLines="0" workbookViewId="0"/>
  </sheetViews>
  <sheetFormatPr baseColWidth="10" defaultColWidth="8.7109375" defaultRowHeight="18"/>
  <cols>
    <col min="1" max="1" width="2.140625" customWidth="1"/>
    <col min="2" max="2" width="6.5703125" bestFit="1" customWidth="1"/>
    <col min="3" max="3" width="22.7109375" bestFit="1" customWidth="1"/>
    <col min="4" max="4" width="7.85546875" bestFit="1" customWidth="1"/>
    <col min="5" max="8" width="11.85546875" bestFit="1" customWidth="1"/>
  </cols>
  <sheetData>
    <row r="1" spans="1:8">
      <c r="A1" s="34" t="s">
        <v>77</v>
      </c>
    </row>
    <row r="2" spans="1:8">
      <c r="A2" s="34" t="s">
        <v>78</v>
      </c>
    </row>
    <row r="3" spans="1:8">
      <c r="A3" s="34" t="s">
        <v>430</v>
      </c>
    </row>
    <row r="6" spans="1:8" ht="19" thickBot="1">
      <c r="A6" t="s">
        <v>80</v>
      </c>
    </row>
    <row r="7" spans="1:8">
      <c r="B7" s="37"/>
      <c r="C7" s="37"/>
      <c r="D7" s="37" t="s">
        <v>83</v>
      </c>
      <c r="E7" s="37" t="s">
        <v>85</v>
      </c>
      <c r="F7" s="37" t="s">
        <v>87</v>
      </c>
      <c r="G7" s="37" t="s">
        <v>89</v>
      </c>
      <c r="H7" s="37" t="s">
        <v>89</v>
      </c>
    </row>
    <row r="8" spans="1:8" ht="19" thickBot="1">
      <c r="B8" s="38" t="s">
        <v>81</v>
      </c>
      <c r="C8" s="38" t="s">
        <v>82</v>
      </c>
      <c r="D8" s="38" t="s">
        <v>84</v>
      </c>
      <c r="E8" s="38" t="s">
        <v>86</v>
      </c>
      <c r="F8" s="38" t="s">
        <v>88</v>
      </c>
      <c r="G8" s="38" t="s">
        <v>90</v>
      </c>
      <c r="H8" s="38" t="s">
        <v>91</v>
      </c>
    </row>
    <row r="9" spans="1:8">
      <c r="B9" s="35" t="s">
        <v>96</v>
      </c>
      <c r="C9" s="35" t="s">
        <v>97</v>
      </c>
      <c r="D9" s="35">
        <v>0</v>
      </c>
      <c r="E9" s="35">
        <v>0.89866666666666362</v>
      </c>
      <c r="F9" s="35">
        <v>17.074666666666666</v>
      </c>
      <c r="G9" s="35">
        <v>1E+30</v>
      </c>
      <c r="H9" s="35">
        <v>0.89866666666666362</v>
      </c>
    </row>
    <row r="10" spans="1:8">
      <c r="B10" s="35" t="s">
        <v>98</v>
      </c>
      <c r="C10" s="35" t="s">
        <v>99</v>
      </c>
      <c r="D10" s="35">
        <v>0</v>
      </c>
      <c r="E10" s="35">
        <v>5.392000000000003</v>
      </c>
      <c r="F10" s="35">
        <v>21.568000000000005</v>
      </c>
      <c r="G10" s="35">
        <v>1E+30</v>
      </c>
      <c r="H10" s="35">
        <v>5.392000000000003</v>
      </c>
    </row>
    <row r="11" spans="1:8">
      <c r="B11" s="35" t="s">
        <v>100</v>
      </c>
      <c r="C11" s="35" t="s">
        <v>101</v>
      </c>
      <c r="D11" s="35">
        <v>2330637</v>
      </c>
      <c r="E11" s="35">
        <v>0</v>
      </c>
      <c r="F11" s="35">
        <v>16.176000000000002</v>
      </c>
      <c r="G11" s="35">
        <v>0.89866666666666362</v>
      </c>
      <c r="H11" s="35">
        <v>1E+30</v>
      </c>
    </row>
    <row r="12" spans="1:8">
      <c r="B12" s="35" t="s">
        <v>102</v>
      </c>
      <c r="C12" s="35" t="s">
        <v>103</v>
      </c>
      <c r="D12" s="35">
        <v>0</v>
      </c>
      <c r="E12" s="35">
        <v>55.268000000000001</v>
      </c>
      <c r="F12" s="35">
        <v>71.444000000000003</v>
      </c>
      <c r="G12" s="35">
        <v>1E+30</v>
      </c>
      <c r="H12" s="35">
        <v>55.268000000000001</v>
      </c>
    </row>
    <row r="13" spans="1:8">
      <c r="B13" s="35" t="s">
        <v>104</v>
      </c>
      <c r="C13" s="35" t="s">
        <v>105</v>
      </c>
      <c r="D13" s="35">
        <v>0</v>
      </c>
      <c r="E13" s="35">
        <v>35.49733333333333</v>
      </c>
      <c r="F13" s="35">
        <v>51.673333333333332</v>
      </c>
      <c r="G13" s="35">
        <v>1E+30</v>
      </c>
      <c r="H13" s="35">
        <v>35.49733333333333</v>
      </c>
    </row>
    <row r="14" spans="1:8">
      <c r="B14" s="35" t="s">
        <v>106</v>
      </c>
      <c r="C14" s="35" t="s">
        <v>107</v>
      </c>
      <c r="D14" s="35">
        <v>0</v>
      </c>
      <c r="E14" s="35">
        <v>4.0439999999999969</v>
      </c>
      <c r="F14" s="35">
        <v>20.22</v>
      </c>
      <c r="G14" s="35">
        <v>1E+30</v>
      </c>
      <c r="H14" s="35">
        <v>4.0439999999999969</v>
      </c>
    </row>
    <row r="15" spans="1:8">
      <c r="B15" s="35" t="s">
        <v>108</v>
      </c>
      <c r="C15" s="35" t="s">
        <v>109</v>
      </c>
      <c r="D15" s="35">
        <v>1246849</v>
      </c>
      <c r="E15" s="35">
        <v>0</v>
      </c>
      <c r="F15" s="35">
        <v>12.581333333333333</v>
      </c>
      <c r="G15" s="35">
        <v>1.3479999999999848</v>
      </c>
      <c r="H15" s="35">
        <v>1E+30</v>
      </c>
    </row>
    <row r="16" spans="1:8">
      <c r="B16" s="35" t="s">
        <v>110</v>
      </c>
      <c r="C16" s="35" t="s">
        <v>111</v>
      </c>
      <c r="D16" s="35">
        <v>0</v>
      </c>
      <c r="E16" s="35">
        <v>12.581333333333333</v>
      </c>
      <c r="F16" s="35">
        <v>25.162666666666667</v>
      </c>
      <c r="G16" s="35">
        <v>1E+30</v>
      </c>
      <c r="H16" s="35">
        <v>12.581333333333333</v>
      </c>
    </row>
    <row r="17" spans="2:8">
      <c r="B17" s="35" t="s">
        <v>112</v>
      </c>
      <c r="C17" s="35" t="s">
        <v>113</v>
      </c>
      <c r="D17" s="35">
        <v>0</v>
      </c>
      <c r="E17" s="35">
        <v>4.9426666666666677</v>
      </c>
      <c r="F17" s="35">
        <v>17.524000000000001</v>
      </c>
      <c r="G17" s="35">
        <v>1E+30</v>
      </c>
      <c r="H17" s="35">
        <v>4.9426666666666677</v>
      </c>
    </row>
    <row r="18" spans="2:8">
      <c r="B18" s="35" t="s">
        <v>114</v>
      </c>
      <c r="C18" s="35" t="s">
        <v>115</v>
      </c>
      <c r="D18" s="35">
        <v>0</v>
      </c>
      <c r="E18" s="35">
        <v>67.849333333333334</v>
      </c>
      <c r="F18" s="35">
        <v>80.430666666666667</v>
      </c>
      <c r="G18" s="35">
        <v>1E+30</v>
      </c>
      <c r="H18" s="35">
        <v>67.849333333333334</v>
      </c>
    </row>
    <row r="19" spans="2:8">
      <c r="B19" s="35" t="s">
        <v>116</v>
      </c>
      <c r="C19" s="35" t="s">
        <v>117</v>
      </c>
      <c r="D19" s="35">
        <v>0</v>
      </c>
      <c r="E19" s="35">
        <v>47.629333333333335</v>
      </c>
      <c r="F19" s="35">
        <v>60.210666666666668</v>
      </c>
      <c r="G19" s="35">
        <v>1E+30</v>
      </c>
      <c r="H19" s="35">
        <v>47.629333333333335</v>
      </c>
    </row>
    <row r="20" spans="2:8">
      <c r="B20" s="35" t="s">
        <v>118</v>
      </c>
      <c r="C20" s="35" t="s">
        <v>119</v>
      </c>
      <c r="D20" s="35">
        <v>0</v>
      </c>
      <c r="E20" s="35">
        <v>1.3479999999999848</v>
      </c>
      <c r="F20" s="35">
        <v>13.929333333333318</v>
      </c>
      <c r="G20" s="35">
        <v>1E+30</v>
      </c>
      <c r="H20" s="35">
        <v>1.3479999999999848</v>
      </c>
    </row>
    <row r="21" spans="2:8">
      <c r="B21" s="35" t="s">
        <v>120</v>
      </c>
      <c r="C21" s="35" t="s">
        <v>121</v>
      </c>
      <c r="D21" s="35">
        <v>0</v>
      </c>
      <c r="E21" s="35">
        <v>16.625333333333344</v>
      </c>
      <c r="F21" s="35">
        <v>23.365333333333353</v>
      </c>
      <c r="G21" s="35">
        <v>1E+30</v>
      </c>
      <c r="H21" s="35">
        <v>16.625333333333344</v>
      </c>
    </row>
    <row r="22" spans="2:8">
      <c r="B22" s="35" t="s">
        <v>122</v>
      </c>
      <c r="C22" s="35" t="s">
        <v>123</v>
      </c>
      <c r="D22" s="35">
        <v>0</v>
      </c>
      <c r="E22" s="35">
        <v>23.365333333333297</v>
      </c>
      <c r="F22" s="35">
        <v>30.105333333333306</v>
      </c>
      <c r="G22" s="35">
        <v>1E+30</v>
      </c>
      <c r="H22" s="35">
        <v>23.365333333333297</v>
      </c>
    </row>
    <row r="23" spans="2:8">
      <c r="B23" s="35" t="s">
        <v>124</v>
      </c>
      <c r="C23" s="35" t="s">
        <v>125</v>
      </c>
      <c r="D23" s="35">
        <v>0</v>
      </c>
      <c r="E23" s="35">
        <v>4.9426666666666392</v>
      </c>
      <c r="F23" s="35">
        <v>11.682666666666648</v>
      </c>
      <c r="G23" s="35">
        <v>1E+30</v>
      </c>
      <c r="H23" s="35">
        <v>4.9426666666666392</v>
      </c>
    </row>
    <row r="24" spans="2:8">
      <c r="B24" s="35" t="s">
        <v>126</v>
      </c>
      <c r="C24" s="35" t="s">
        <v>127</v>
      </c>
      <c r="D24" s="35">
        <v>0</v>
      </c>
      <c r="E24" s="35">
        <v>76.835999999999956</v>
      </c>
      <c r="F24" s="35">
        <v>83.575999999999965</v>
      </c>
      <c r="G24" s="35">
        <v>1E+30</v>
      </c>
      <c r="H24" s="35">
        <v>76.835999999999956</v>
      </c>
    </row>
    <row r="25" spans="2:8">
      <c r="B25" s="35" t="s">
        <v>128</v>
      </c>
      <c r="C25" s="35" t="s">
        <v>129</v>
      </c>
      <c r="D25" s="35">
        <v>0</v>
      </c>
      <c r="E25" s="35">
        <v>57.514666666666699</v>
      </c>
      <c r="F25" s="35">
        <v>64.254666666666708</v>
      </c>
      <c r="G25" s="35">
        <v>1E+30</v>
      </c>
      <c r="H25" s="35">
        <v>57.514666666666699</v>
      </c>
    </row>
    <row r="26" spans="2:8">
      <c r="B26" s="35" t="s">
        <v>130</v>
      </c>
      <c r="C26" s="35" t="s">
        <v>131</v>
      </c>
      <c r="D26" s="35">
        <v>1434618</v>
      </c>
      <c r="E26" s="35">
        <v>0</v>
      </c>
      <c r="F26" s="35">
        <v>6.7400000000000091</v>
      </c>
      <c r="G26" s="35">
        <v>4.9426666666666392</v>
      </c>
      <c r="H26" s="35">
        <v>1E+30</v>
      </c>
    </row>
    <row r="27" spans="2:8">
      <c r="B27" s="35" t="s">
        <v>132</v>
      </c>
      <c r="C27" s="35" t="s">
        <v>133</v>
      </c>
      <c r="D27" s="35">
        <v>0</v>
      </c>
      <c r="E27" s="35">
        <v>6.7400000000000091</v>
      </c>
      <c r="F27" s="35">
        <v>17.524000000000001</v>
      </c>
      <c r="G27" s="35">
        <v>1E+30</v>
      </c>
      <c r="H27" s="35">
        <v>6.7400000000000091</v>
      </c>
    </row>
    <row r="28" spans="2:8">
      <c r="B28" s="35" t="s">
        <v>134</v>
      </c>
      <c r="C28" s="35" t="s">
        <v>135</v>
      </c>
      <c r="D28" s="35">
        <v>0</v>
      </c>
      <c r="E28" s="35">
        <v>20.220000000000027</v>
      </c>
      <c r="F28" s="35">
        <v>31.004000000000019</v>
      </c>
      <c r="G28" s="35">
        <v>1E+30</v>
      </c>
      <c r="H28" s="35">
        <v>20.220000000000027</v>
      </c>
    </row>
    <row r="29" spans="2:8">
      <c r="B29" s="35" t="s">
        <v>136</v>
      </c>
      <c r="C29" s="35" t="s">
        <v>137</v>
      </c>
      <c r="D29" s="35">
        <v>0</v>
      </c>
      <c r="E29" s="35">
        <v>10.334666666666635</v>
      </c>
      <c r="F29" s="35">
        <v>21.118666666666627</v>
      </c>
      <c r="G29" s="35">
        <v>1E+30</v>
      </c>
      <c r="H29" s="35">
        <v>10.334666666666635</v>
      </c>
    </row>
    <row r="30" spans="2:8">
      <c r="B30" s="35" t="s">
        <v>138</v>
      </c>
      <c r="C30" s="35" t="s">
        <v>139</v>
      </c>
      <c r="D30" s="35">
        <v>0</v>
      </c>
      <c r="E30" s="35">
        <v>74.139999999999986</v>
      </c>
      <c r="F30" s="35">
        <v>84.923999999999978</v>
      </c>
      <c r="G30" s="35">
        <v>1E+30</v>
      </c>
      <c r="H30" s="35">
        <v>74.139999999999986</v>
      </c>
    </row>
    <row r="31" spans="2:8">
      <c r="B31" s="35" t="s">
        <v>140</v>
      </c>
      <c r="C31" s="35" t="s">
        <v>141</v>
      </c>
      <c r="D31" s="35">
        <v>0</v>
      </c>
      <c r="E31" s="35">
        <v>54.369333333333316</v>
      </c>
      <c r="F31" s="35">
        <v>65.153333333333308</v>
      </c>
      <c r="G31" s="35">
        <v>1E+30</v>
      </c>
      <c r="H31" s="35">
        <v>54.369333333333316</v>
      </c>
    </row>
    <row r="32" spans="2:8">
      <c r="B32" s="35" t="s">
        <v>142</v>
      </c>
      <c r="C32" s="35" t="s">
        <v>143</v>
      </c>
      <c r="D32" s="35">
        <v>1058984</v>
      </c>
      <c r="E32" s="35">
        <v>0</v>
      </c>
      <c r="F32" s="35">
        <v>10.783999999999992</v>
      </c>
      <c r="G32" s="35">
        <v>6.7400000000000091</v>
      </c>
      <c r="H32" s="35">
        <v>1E+30</v>
      </c>
    </row>
    <row r="33" spans="2:8">
      <c r="B33" s="35" t="s">
        <v>144</v>
      </c>
      <c r="C33" s="35" t="s">
        <v>145</v>
      </c>
      <c r="D33" s="35">
        <v>0</v>
      </c>
      <c r="E33" s="35">
        <v>13.480000000000018</v>
      </c>
      <c r="F33" s="35">
        <v>21.567999999999984</v>
      </c>
      <c r="G33" s="35">
        <v>1E+30</v>
      </c>
      <c r="H33" s="35">
        <v>13.480000000000018</v>
      </c>
    </row>
    <row r="34" spans="2:8">
      <c r="B34" s="35" t="s">
        <v>146</v>
      </c>
      <c r="C34" s="35" t="s">
        <v>147</v>
      </c>
      <c r="D34" s="35">
        <v>0</v>
      </c>
      <c r="E34" s="35">
        <v>31.902666666666732</v>
      </c>
      <c r="F34" s="35">
        <v>39.990666666666698</v>
      </c>
      <c r="G34" s="35">
        <v>1E+30</v>
      </c>
      <c r="H34" s="35">
        <v>31.902666666666732</v>
      </c>
    </row>
    <row r="35" spans="2:8">
      <c r="B35" s="35" t="s">
        <v>148</v>
      </c>
      <c r="C35" s="35" t="s">
        <v>149</v>
      </c>
      <c r="D35" s="35">
        <v>0</v>
      </c>
      <c r="E35" s="35">
        <v>27.409333333333393</v>
      </c>
      <c r="F35" s="35">
        <v>35.497333333333358</v>
      </c>
      <c r="G35" s="35">
        <v>1E+30</v>
      </c>
      <c r="H35" s="35">
        <v>27.409333333333393</v>
      </c>
    </row>
    <row r="36" spans="2:8">
      <c r="B36" s="35" t="s">
        <v>150</v>
      </c>
      <c r="C36" s="35" t="s">
        <v>151</v>
      </c>
      <c r="D36" s="35">
        <v>0</v>
      </c>
      <c r="E36" s="35">
        <v>80.88</v>
      </c>
      <c r="F36" s="35">
        <v>88.967999999999961</v>
      </c>
      <c r="G36" s="35">
        <v>1E+30</v>
      </c>
      <c r="H36" s="35">
        <v>80.88</v>
      </c>
    </row>
    <row r="37" spans="2:8">
      <c r="B37" s="35" t="s">
        <v>152</v>
      </c>
      <c r="C37" s="35" t="s">
        <v>153</v>
      </c>
      <c r="D37" s="35">
        <v>0</v>
      </c>
      <c r="E37" s="35">
        <v>61.109333333333325</v>
      </c>
      <c r="F37" s="35">
        <v>69.19733333333329</v>
      </c>
      <c r="G37" s="35">
        <v>1E+30</v>
      </c>
      <c r="H37" s="35">
        <v>61.109333333333325</v>
      </c>
    </row>
    <row r="38" spans="2:8">
      <c r="B38" s="35" t="s">
        <v>154</v>
      </c>
      <c r="C38" s="35" t="s">
        <v>155</v>
      </c>
      <c r="D38" s="35">
        <v>1309665</v>
      </c>
      <c r="E38" s="35">
        <v>0</v>
      </c>
      <c r="F38" s="35">
        <v>8.0879999999999654</v>
      </c>
      <c r="G38" s="35">
        <v>13.480000000000018</v>
      </c>
      <c r="H38" s="35">
        <v>1E+30</v>
      </c>
    </row>
    <row r="39" spans="2:8">
      <c r="B39" s="35" t="s">
        <v>156</v>
      </c>
      <c r="C39" s="35" t="s">
        <v>157</v>
      </c>
      <c r="D39" s="35">
        <v>0</v>
      </c>
      <c r="E39" s="35">
        <v>11.233333333333121</v>
      </c>
      <c r="F39" s="35">
        <v>24.263999999999896</v>
      </c>
      <c r="G39" s="35">
        <v>1E+30</v>
      </c>
      <c r="H39" s="35">
        <v>11.233333333333121</v>
      </c>
    </row>
    <row r="40" spans="2:8">
      <c r="B40" s="35" t="s">
        <v>158</v>
      </c>
      <c r="C40" s="35" t="s">
        <v>159</v>
      </c>
      <c r="D40" s="35">
        <v>0</v>
      </c>
      <c r="E40" s="35">
        <v>29.206666666666479</v>
      </c>
      <c r="F40" s="35">
        <v>42.237333333333254</v>
      </c>
      <c r="G40" s="35">
        <v>1E+30</v>
      </c>
      <c r="H40" s="35">
        <v>29.206666666666479</v>
      </c>
    </row>
    <row r="41" spans="2:8">
      <c r="B41" s="35" t="s">
        <v>160</v>
      </c>
      <c r="C41" s="35" t="s">
        <v>161</v>
      </c>
      <c r="D41" s="35">
        <v>0</v>
      </c>
      <c r="E41" s="35">
        <v>20.2199999999998</v>
      </c>
      <c r="F41" s="35">
        <v>33.250666666666575</v>
      </c>
      <c r="G41" s="35">
        <v>1E+30</v>
      </c>
      <c r="H41" s="35">
        <v>20.2199999999998</v>
      </c>
    </row>
    <row r="42" spans="2:8">
      <c r="B42" s="35" t="s">
        <v>162</v>
      </c>
      <c r="C42" s="35" t="s">
        <v>163</v>
      </c>
      <c r="D42" s="35">
        <v>0</v>
      </c>
      <c r="E42" s="35">
        <v>78.183999999999969</v>
      </c>
      <c r="F42" s="35">
        <v>91.214666666666744</v>
      </c>
      <c r="G42" s="35">
        <v>1E+30</v>
      </c>
      <c r="H42" s="35">
        <v>78.183999999999969</v>
      </c>
    </row>
    <row r="43" spans="2:8">
      <c r="B43" s="35" t="s">
        <v>164</v>
      </c>
      <c r="C43" s="35" t="s">
        <v>165</v>
      </c>
      <c r="D43" s="35">
        <v>0</v>
      </c>
      <c r="E43" s="35">
        <v>58.862666666666655</v>
      </c>
      <c r="F43" s="35">
        <v>71.89333333333343</v>
      </c>
      <c r="G43" s="35">
        <v>1E+30</v>
      </c>
      <c r="H43" s="35">
        <v>58.862666666666655</v>
      </c>
    </row>
    <row r="44" spans="2:8">
      <c r="B44" s="35" t="s">
        <v>166</v>
      </c>
      <c r="C44" s="35" t="s">
        <v>167</v>
      </c>
      <c r="D44" s="35">
        <v>781203</v>
      </c>
      <c r="E44" s="35">
        <v>0</v>
      </c>
      <c r="F44" s="35">
        <v>13.030666666666775</v>
      </c>
      <c r="G44" s="35">
        <v>11.233333333333121</v>
      </c>
      <c r="H44" s="35">
        <v>1E+30</v>
      </c>
    </row>
    <row r="45" spans="2:8">
      <c r="B45" s="35" t="s">
        <v>168</v>
      </c>
      <c r="C45" s="35" t="s">
        <v>169</v>
      </c>
      <c r="D45" s="35">
        <v>0</v>
      </c>
      <c r="E45" s="35">
        <v>8.0879999999999654</v>
      </c>
      <c r="F45" s="35">
        <v>21.567999999999984</v>
      </c>
      <c r="G45" s="35">
        <v>1E+30</v>
      </c>
      <c r="H45" s="35">
        <v>8.0879999999999654</v>
      </c>
    </row>
    <row r="46" spans="2:8">
      <c r="B46" s="35" t="s">
        <v>170</v>
      </c>
      <c r="C46" s="35" t="s">
        <v>171</v>
      </c>
      <c r="D46" s="35">
        <v>0</v>
      </c>
      <c r="E46" s="35">
        <v>26.061333333333323</v>
      </c>
      <c r="F46" s="35">
        <v>39.541333333333341</v>
      </c>
      <c r="G46" s="35">
        <v>1E+30</v>
      </c>
      <c r="H46" s="35">
        <v>26.061333333333323</v>
      </c>
    </row>
    <row r="47" spans="2:8">
      <c r="B47" s="35" t="s">
        <v>172</v>
      </c>
      <c r="C47" s="35" t="s">
        <v>173</v>
      </c>
      <c r="D47" s="35">
        <v>0</v>
      </c>
      <c r="E47" s="35">
        <v>21.567999999999984</v>
      </c>
      <c r="F47" s="35">
        <v>35.048000000000002</v>
      </c>
      <c r="G47" s="35">
        <v>1E+30</v>
      </c>
      <c r="H47" s="35">
        <v>21.567999999999984</v>
      </c>
    </row>
    <row r="48" spans="2:8">
      <c r="B48" s="35" t="s">
        <v>174</v>
      </c>
      <c r="C48" s="35" t="s">
        <v>175</v>
      </c>
      <c r="D48" s="35">
        <v>0</v>
      </c>
      <c r="E48" s="35">
        <v>75.038666666666586</v>
      </c>
      <c r="F48" s="35">
        <v>88.518666666666604</v>
      </c>
      <c r="G48" s="35">
        <v>1E+30</v>
      </c>
      <c r="H48" s="35">
        <v>75.038666666666586</v>
      </c>
    </row>
    <row r="49" spans="2:8">
      <c r="B49" s="35" t="s">
        <v>176</v>
      </c>
      <c r="C49" s="35" t="s">
        <v>177</v>
      </c>
      <c r="D49" s="35">
        <v>0</v>
      </c>
      <c r="E49" s="35">
        <v>55.717333333333272</v>
      </c>
      <c r="F49" s="35">
        <v>69.19733333333329</v>
      </c>
      <c r="G49" s="35">
        <v>1E+30</v>
      </c>
      <c r="H49" s="35">
        <v>55.717333333333272</v>
      </c>
    </row>
    <row r="50" spans="2:8">
      <c r="B50" s="35" t="s">
        <v>178</v>
      </c>
      <c r="C50" s="35" t="s">
        <v>179</v>
      </c>
      <c r="D50" s="35">
        <v>997095</v>
      </c>
      <c r="E50" s="35">
        <v>0</v>
      </c>
      <c r="F50" s="35">
        <v>13.480000000000018</v>
      </c>
      <c r="G50" s="35">
        <v>8.0879999999999654</v>
      </c>
      <c r="H50" s="35">
        <v>1E+30</v>
      </c>
    </row>
    <row r="51" spans="2:8">
      <c r="B51" s="35" t="s">
        <v>180</v>
      </c>
      <c r="C51" s="35" t="s">
        <v>181</v>
      </c>
      <c r="D51" s="35">
        <v>0</v>
      </c>
      <c r="E51" s="35">
        <v>24.264000000000124</v>
      </c>
      <c r="F51" s="35">
        <v>27.85866666666675</v>
      </c>
      <c r="G51" s="35">
        <v>1E+30</v>
      </c>
      <c r="H51" s="35">
        <v>24.264000000000124</v>
      </c>
    </row>
    <row r="52" spans="2:8">
      <c r="B52" s="35" t="s">
        <v>182</v>
      </c>
      <c r="C52" s="35" t="s">
        <v>183</v>
      </c>
      <c r="D52" s="35">
        <v>0</v>
      </c>
      <c r="E52" s="35">
        <v>27.85866666666675</v>
      </c>
      <c r="F52" s="35">
        <v>31.453333333333376</v>
      </c>
      <c r="G52" s="35">
        <v>1E+30</v>
      </c>
      <c r="H52" s="35">
        <v>27.85866666666675</v>
      </c>
    </row>
    <row r="53" spans="2:8">
      <c r="B53" s="35" t="s">
        <v>184</v>
      </c>
      <c r="C53" s="35" t="s">
        <v>185</v>
      </c>
      <c r="D53" s="35">
        <v>0</v>
      </c>
      <c r="E53" s="35">
        <v>13.030666666666775</v>
      </c>
      <c r="F53" s="35">
        <v>16.625333333333401</v>
      </c>
      <c r="G53" s="35">
        <v>1E+30</v>
      </c>
      <c r="H53" s="35">
        <v>13.030666666666775</v>
      </c>
    </row>
    <row r="54" spans="2:8">
      <c r="B54" s="35" t="s">
        <v>186</v>
      </c>
      <c r="C54" s="35" t="s">
        <v>187</v>
      </c>
      <c r="D54" s="35">
        <v>0</v>
      </c>
      <c r="E54" s="35">
        <v>84.923999999999978</v>
      </c>
      <c r="F54" s="35">
        <v>88.518666666666604</v>
      </c>
      <c r="G54" s="35">
        <v>1E+30</v>
      </c>
      <c r="H54" s="35">
        <v>84.923999999999978</v>
      </c>
    </row>
    <row r="55" spans="2:8">
      <c r="B55" s="35" t="s">
        <v>188</v>
      </c>
      <c r="C55" s="35" t="s">
        <v>189</v>
      </c>
      <c r="D55" s="35">
        <v>0</v>
      </c>
      <c r="E55" s="35">
        <v>65.602666666666664</v>
      </c>
      <c r="F55" s="35">
        <v>69.19733333333329</v>
      </c>
      <c r="G55" s="35">
        <v>1E+30</v>
      </c>
      <c r="H55" s="35">
        <v>65.602666666666664</v>
      </c>
    </row>
    <row r="56" spans="2:8">
      <c r="B56" s="35" t="s">
        <v>190</v>
      </c>
      <c r="C56" s="35" t="s">
        <v>191</v>
      </c>
      <c r="D56" s="35">
        <v>1115917</v>
      </c>
      <c r="E56" s="35">
        <v>0</v>
      </c>
      <c r="F56" s="35">
        <v>3.594666666666626</v>
      </c>
      <c r="G56" s="35">
        <v>13.030666666666775</v>
      </c>
      <c r="H56" s="35">
        <v>1E+30</v>
      </c>
    </row>
    <row r="57" spans="2:8">
      <c r="B57" s="35" t="s">
        <v>192</v>
      </c>
      <c r="C57" s="35" t="s">
        <v>193</v>
      </c>
      <c r="D57" s="35">
        <v>0</v>
      </c>
      <c r="E57" s="35">
        <v>3.1453333333331557</v>
      </c>
      <c r="F57" s="35">
        <v>13.929333333333261</v>
      </c>
      <c r="G57" s="35">
        <v>1E+30</v>
      </c>
      <c r="H57" s="35">
        <v>3.1453333333331557</v>
      </c>
    </row>
    <row r="58" spans="2:8">
      <c r="B58" s="35" t="s">
        <v>194</v>
      </c>
      <c r="C58" s="35" t="s">
        <v>195</v>
      </c>
      <c r="D58" s="35">
        <v>0</v>
      </c>
      <c r="E58" s="35">
        <v>21.118666666666513</v>
      </c>
      <c r="F58" s="35">
        <v>31.902666666666619</v>
      </c>
      <c r="G58" s="35">
        <v>1E+30</v>
      </c>
      <c r="H58" s="35">
        <v>21.118666666666513</v>
      </c>
    </row>
    <row r="59" spans="2:8">
      <c r="B59" s="35" t="s">
        <v>196</v>
      </c>
      <c r="C59" s="35" t="s">
        <v>197</v>
      </c>
      <c r="D59" s="35">
        <v>0</v>
      </c>
      <c r="E59" s="35">
        <v>11.233333333333121</v>
      </c>
      <c r="F59" s="35">
        <v>22.017333333333227</v>
      </c>
      <c r="G59" s="35">
        <v>1E+30</v>
      </c>
      <c r="H59" s="35">
        <v>11.233333333333121</v>
      </c>
    </row>
    <row r="60" spans="2:8">
      <c r="B60" s="35" t="s">
        <v>198</v>
      </c>
      <c r="C60" s="35" t="s">
        <v>199</v>
      </c>
      <c r="D60" s="35">
        <v>0</v>
      </c>
      <c r="E60" s="35">
        <v>70.545333333333019</v>
      </c>
      <c r="F60" s="35">
        <v>81.329333333333125</v>
      </c>
      <c r="G60" s="35">
        <v>1E+30</v>
      </c>
      <c r="H60" s="35">
        <v>70.545333333333019</v>
      </c>
    </row>
    <row r="61" spans="2:8">
      <c r="B61" s="35" t="s">
        <v>200</v>
      </c>
      <c r="C61" s="35" t="s">
        <v>201</v>
      </c>
      <c r="D61" s="35">
        <v>0</v>
      </c>
      <c r="E61" s="35">
        <v>50.77466666666669</v>
      </c>
      <c r="F61" s="35">
        <v>61.558666666666795</v>
      </c>
      <c r="G61" s="35">
        <v>1E+30</v>
      </c>
      <c r="H61" s="35">
        <v>50.77466666666669</v>
      </c>
    </row>
    <row r="62" spans="2:8">
      <c r="B62" s="35" t="s">
        <v>202</v>
      </c>
      <c r="C62" s="35" t="s">
        <v>203</v>
      </c>
      <c r="D62" s="35">
        <v>1087254</v>
      </c>
      <c r="E62" s="35">
        <v>0</v>
      </c>
      <c r="F62" s="35">
        <v>10.784000000000106</v>
      </c>
      <c r="G62" s="35">
        <v>3.1453333333331557</v>
      </c>
      <c r="H62" s="35">
        <v>1E+30</v>
      </c>
    </row>
    <row r="63" spans="2:8">
      <c r="B63" s="35" t="s">
        <v>204</v>
      </c>
      <c r="C63" s="35" t="s">
        <v>205</v>
      </c>
      <c r="D63" s="35">
        <v>0</v>
      </c>
      <c r="E63" s="35">
        <v>21.118666666666741</v>
      </c>
      <c r="F63" s="35">
        <v>31.902666666666846</v>
      </c>
      <c r="G63" s="35">
        <v>1E+30</v>
      </c>
      <c r="H63" s="35">
        <v>21.118666666666741</v>
      </c>
    </row>
    <row r="64" spans="2:8">
      <c r="B64" s="35" t="s">
        <v>206</v>
      </c>
      <c r="C64" s="35" t="s">
        <v>207</v>
      </c>
      <c r="D64" s="35">
        <v>0</v>
      </c>
      <c r="E64" s="35">
        <v>25.61200000000008</v>
      </c>
      <c r="F64" s="35">
        <v>36.396000000000186</v>
      </c>
      <c r="G64" s="35">
        <v>1E+30</v>
      </c>
      <c r="H64" s="35">
        <v>25.61200000000008</v>
      </c>
    </row>
    <row r="65" spans="2:8">
      <c r="B65" s="35" t="s">
        <v>208</v>
      </c>
      <c r="C65" s="35" t="s">
        <v>209</v>
      </c>
      <c r="D65" s="35">
        <v>0</v>
      </c>
      <c r="E65" s="35">
        <v>7.1893333333332521</v>
      </c>
      <c r="F65" s="35">
        <v>17.973333333333358</v>
      </c>
      <c r="G65" s="35">
        <v>1E+30</v>
      </c>
      <c r="H65" s="35">
        <v>7.1893333333332521</v>
      </c>
    </row>
    <row r="66" spans="2:8">
      <c r="B66" s="35" t="s">
        <v>210</v>
      </c>
      <c r="C66" s="35" t="s">
        <v>211</v>
      </c>
      <c r="D66" s="35">
        <v>0</v>
      </c>
      <c r="E66" s="35">
        <v>82.228000000000065</v>
      </c>
      <c r="F66" s="35">
        <v>93.012000000000171</v>
      </c>
      <c r="G66" s="35">
        <v>1E+30</v>
      </c>
      <c r="H66" s="35">
        <v>82.228000000000065</v>
      </c>
    </row>
    <row r="67" spans="2:8">
      <c r="B67" s="35" t="s">
        <v>212</v>
      </c>
      <c r="C67" s="35" t="s">
        <v>213</v>
      </c>
      <c r="D67" s="35">
        <v>0</v>
      </c>
      <c r="E67" s="35">
        <v>62.457333333333281</v>
      </c>
      <c r="F67" s="35">
        <v>73.241333333333387</v>
      </c>
      <c r="G67" s="35">
        <v>1E+30</v>
      </c>
      <c r="H67" s="35">
        <v>62.457333333333281</v>
      </c>
    </row>
    <row r="68" spans="2:8">
      <c r="B68" s="35" t="s">
        <v>214</v>
      </c>
      <c r="C68" s="35" t="s">
        <v>215</v>
      </c>
      <c r="D68" s="35">
        <v>1178041</v>
      </c>
      <c r="E68" s="35">
        <v>0</v>
      </c>
      <c r="F68" s="35">
        <v>10.784000000000106</v>
      </c>
      <c r="G68" s="35">
        <v>7.1893333333332521</v>
      </c>
      <c r="H68" s="35">
        <v>1E+30</v>
      </c>
    </row>
    <row r="69" spans="2:8">
      <c r="B69" s="35" t="s">
        <v>216</v>
      </c>
      <c r="C69" s="35" t="s">
        <v>217</v>
      </c>
      <c r="D69" s="35">
        <v>0</v>
      </c>
      <c r="E69" s="35">
        <v>22.916000000000167</v>
      </c>
      <c r="F69" s="35">
        <v>26.06133333333355</v>
      </c>
      <c r="G69" s="35">
        <v>1E+30</v>
      </c>
      <c r="H69" s="35">
        <v>22.916000000000167</v>
      </c>
    </row>
    <row r="70" spans="2:8">
      <c r="B70" s="35" t="s">
        <v>218</v>
      </c>
      <c r="C70" s="35" t="s">
        <v>219</v>
      </c>
      <c r="D70" s="35">
        <v>0</v>
      </c>
      <c r="E70" s="35">
        <v>29.655999999999949</v>
      </c>
      <c r="F70" s="35">
        <v>32.801333333333332</v>
      </c>
      <c r="G70" s="35">
        <v>1E+30</v>
      </c>
      <c r="H70" s="35">
        <v>29.655999999999949</v>
      </c>
    </row>
    <row r="71" spans="2:8">
      <c r="B71" s="35" t="s">
        <v>220</v>
      </c>
      <c r="C71" s="35" t="s">
        <v>221</v>
      </c>
      <c r="D71" s="35">
        <v>0</v>
      </c>
      <c r="E71" s="35">
        <v>11.233333333333121</v>
      </c>
      <c r="F71" s="35">
        <v>14.378666666666504</v>
      </c>
      <c r="G71" s="35">
        <v>1E+30</v>
      </c>
      <c r="H71" s="35">
        <v>11.233333333333121</v>
      </c>
    </row>
    <row r="72" spans="2:8">
      <c r="B72" s="35" t="s">
        <v>222</v>
      </c>
      <c r="C72" s="35" t="s">
        <v>223</v>
      </c>
      <c r="D72" s="35">
        <v>0</v>
      </c>
      <c r="E72" s="35">
        <v>83.126666666666551</v>
      </c>
      <c r="F72" s="35">
        <v>86.271999999999935</v>
      </c>
      <c r="G72" s="35">
        <v>1E+30</v>
      </c>
      <c r="H72" s="35">
        <v>83.126666666666551</v>
      </c>
    </row>
    <row r="73" spans="2:8">
      <c r="B73" s="35" t="s">
        <v>224</v>
      </c>
      <c r="C73" s="35" t="s">
        <v>225</v>
      </c>
      <c r="D73" s="35">
        <v>0</v>
      </c>
      <c r="E73" s="35">
        <v>70.096000000000004</v>
      </c>
      <c r="F73" s="35">
        <v>73.241333333333387</v>
      </c>
      <c r="G73" s="35">
        <v>1E+30</v>
      </c>
      <c r="H73" s="35">
        <v>70.096000000000004</v>
      </c>
    </row>
    <row r="74" spans="2:8">
      <c r="B74" s="35" t="s">
        <v>226</v>
      </c>
      <c r="C74" s="35" t="s">
        <v>227</v>
      </c>
      <c r="D74" s="35">
        <v>1324328</v>
      </c>
      <c r="E74" s="35">
        <v>0</v>
      </c>
      <c r="F74" s="35">
        <v>3.1453333333333831</v>
      </c>
      <c r="G74" s="35">
        <v>11.233333333333121</v>
      </c>
      <c r="H74" s="35">
        <v>1E+30</v>
      </c>
    </row>
    <row r="75" spans="2:8">
      <c r="B75" s="35" t="s">
        <v>228</v>
      </c>
      <c r="C75" s="35" t="s">
        <v>229</v>
      </c>
      <c r="D75" s="35">
        <v>0</v>
      </c>
      <c r="E75" s="35">
        <v>21.118666666666741</v>
      </c>
      <c r="F75" s="35">
        <v>23.365333333333183</v>
      </c>
      <c r="G75" s="35">
        <v>1E+30</v>
      </c>
      <c r="H75" s="35">
        <v>21.118666666666741</v>
      </c>
    </row>
    <row r="76" spans="2:8">
      <c r="B76" s="35" t="s">
        <v>230</v>
      </c>
      <c r="C76" s="35" t="s">
        <v>231</v>
      </c>
      <c r="D76" s="35">
        <v>0</v>
      </c>
      <c r="E76" s="35">
        <v>25.61200000000008</v>
      </c>
      <c r="F76" s="35">
        <v>27.858666666666522</v>
      </c>
      <c r="G76" s="35">
        <v>1E+30</v>
      </c>
      <c r="H76" s="35">
        <v>25.61200000000008</v>
      </c>
    </row>
    <row r="77" spans="2:8">
      <c r="B77" s="35" t="s">
        <v>232</v>
      </c>
      <c r="C77" s="35" t="s">
        <v>233</v>
      </c>
      <c r="D77" s="35">
        <v>0</v>
      </c>
      <c r="E77" s="35">
        <v>14.378666666666959</v>
      </c>
      <c r="F77" s="35">
        <v>16.625333333333401</v>
      </c>
      <c r="G77" s="35">
        <v>1E+30</v>
      </c>
      <c r="H77" s="35">
        <v>14.378666666666959</v>
      </c>
    </row>
    <row r="78" spans="2:8">
      <c r="B78" s="35" t="s">
        <v>234</v>
      </c>
      <c r="C78" s="35" t="s">
        <v>235</v>
      </c>
      <c r="D78" s="35">
        <v>0</v>
      </c>
      <c r="E78" s="35">
        <v>81.32933333333358</v>
      </c>
      <c r="F78" s="35">
        <v>83.576000000000022</v>
      </c>
      <c r="G78" s="35">
        <v>1E+30</v>
      </c>
      <c r="H78" s="35">
        <v>81.32933333333358</v>
      </c>
    </row>
    <row r="79" spans="2:8">
      <c r="B79" s="35" t="s">
        <v>236</v>
      </c>
      <c r="C79" s="35" t="s">
        <v>237</v>
      </c>
      <c r="D79" s="35">
        <v>0</v>
      </c>
      <c r="E79" s="35">
        <v>67.849333333333561</v>
      </c>
      <c r="F79" s="35">
        <v>70.096000000000004</v>
      </c>
      <c r="G79" s="35">
        <v>1E+30</v>
      </c>
      <c r="H79" s="35">
        <v>67.849333333333561</v>
      </c>
    </row>
    <row r="80" spans="2:8">
      <c r="B80" s="35" t="s">
        <v>238</v>
      </c>
      <c r="C80" s="35" t="s">
        <v>239</v>
      </c>
      <c r="D80" s="35">
        <v>877226</v>
      </c>
      <c r="E80" s="35">
        <v>0</v>
      </c>
      <c r="F80" s="35">
        <v>2.2466666666664423</v>
      </c>
      <c r="G80" s="35">
        <v>14.378666666666959</v>
      </c>
      <c r="H80" s="35">
        <v>1E+30</v>
      </c>
    </row>
    <row r="81" spans="2:8">
      <c r="B81" s="35" t="s">
        <v>240</v>
      </c>
      <c r="C81" s="35" t="s">
        <v>241</v>
      </c>
      <c r="D81" s="35">
        <v>0</v>
      </c>
      <c r="E81" s="35">
        <v>21.568000000000211</v>
      </c>
      <c r="F81" s="35">
        <v>28.307999999999993</v>
      </c>
      <c r="G81" s="35">
        <v>1E+30</v>
      </c>
      <c r="H81" s="35">
        <v>21.568000000000211</v>
      </c>
    </row>
    <row r="82" spans="2:8">
      <c r="B82" s="35" t="s">
        <v>242</v>
      </c>
      <c r="C82" s="35" t="s">
        <v>243</v>
      </c>
      <c r="D82" s="35">
        <v>0</v>
      </c>
      <c r="E82" s="35">
        <v>31.902666666666846</v>
      </c>
      <c r="F82" s="35">
        <v>38.642666666666628</v>
      </c>
      <c r="G82" s="35">
        <v>1E+30</v>
      </c>
      <c r="H82" s="35">
        <v>31.902666666666846</v>
      </c>
    </row>
    <row r="83" spans="2:8">
      <c r="B83" s="35" t="s">
        <v>244</v>
      </c>
      <c r="C83" s="35" t="s">
        <v>245</v>
      </c>
      <c r="D83" s="35">
        <v>0</v>
      </c>
      <c r="E83" s="35">
        <v>17.524000000000342</v>
      </c>
      <c r="F83" s="35">
        <v>24.264000000000124</v>
      </c>
      <c r="G83" s="35">
        <v>1E+30</v>
      </c>
      <c r="H83" s="35">
        <v>17.524000000000342</v>
      </c>
    </row>
    <row r="84" spans="2:8">
      <c r="B84" s="35" t="s">
        <v>246</v>
      </c>
      <c r="C84" s="35" t="s">
        <v>247</v>
      </c>
      <c r="D84" s="35">
        <v>0</v>
      </c>
      <c r="E84" s="35">
        <v>88.968000000000302</v>
      </c>
      <c r="F84" s="35">
        <v>95.708000000000084</v>
      </c>
      <c r="G84" s="35">
        <v>1E+30</v>
      </c>
      <c r="H84" s="35">
        <v>88.968000000000302</v>
      </c>
    </row>
    <row r="85" spans="2:8">
      <c r="B85" s="35" t="s">
        <v>248</v>
      </c>
      <c r="C85" s="35" t="s">
        <v>249</v>
      </c>
      <c r="D85" s="35">
        <v>0</v>
      </c>
      <c r="E85" s="35">
        <v>69.197333333333518</v>
      </c>
      <c r="F85" s="35">
        <v>75.937333333333299</v>
      </c>
      <c r="G85" s="35">
        <v>1E+30</v>
      </c>
      <c r="H85" s="35">
        <v>69.197333333333518</v>
      </c>
    </row>
    <row r="86" spans="2:8">
      <c r="B86" s="35" t="s">
        <v>250</v>
      </c>
      <c r="C86" s="35" t="s">
        <v>251</v>
      </c>
      <c r="D86" s="35">
        <v>1222206</v>
      </c>
      <c r="E86" s="35">
        <v>0</v>
      </c>
      <c r="F86" s="35">
        <v>6.7399999999997817</v>
      </c>
      <c r="G86" s="35">
        <v>17.524000000000342</v>
      </c>
      <c r="H86" s="35">
        <v>1E+30</v>
      </c>
    </row>
    <row r="87" spans="2:8">
      <c r="B87" s="35" t="s">
        <v>252</v>
      </c>
      <c r="C87" s="35" t="s">
        <v>253</v>
      </c>
      <c r="D87" s="35">
        <v>0</v>
      </c>
      <c r="E87" s="35">
        <v>4.043999999999869</v>
      </c>
      <c r="F87" s="35">
        <v>23.365333333333183</v>
      </c>
      <c r="G87" s="35">
        <v>1E+30</v>
      </c>
      <c r="H87" s="35">
        <v>4.043999999999869</v>
      </c>
    </row>
    <row r="88" spans="2:8">
      <c r="B88" s="35" t="s">
        <v>254</v>
      </c>
      <c r="C88" s="35" t="s">
        <v>255</v>
      </c>
      <c r="D88" s="35">
        <v>0</v>
      </c>
      <c r="E88" s="35">
        <v>22.017333333333227</v>
      </c>
      <c r="F88" s="35">
        <v>41.338666666666541</v>
      </c>
      <c r="G88" s="35">
        <v>1E+30</v>
      </c>
      <c r="H88" s="35">
        <v>22.017333333333227</v>
      </c>
    </row>
    <row r="89" spans="2:8">
      <c r="B89" s="35" t="s">
        <v>256</v>
      </c>
      <c r="C89" s="35" t="s">
        <v>257</v>
      </c>
      <c r="D89" s="35">
        <v>0</v>
      </c>
      <c r="E89" s="35">
        <v>12.581333333333532</v>
      </c>
      <c r="F89" s="35">
        <v>31.902666666666846</v>
      </c>
      <c r="G89" s="35">
        <v>1E+30</v>
      </c>
      <c r="H89" s="35">
        <v>12.581333333333532</v>
      </c>
    </row>
    <row r="90" spans="2:8">
      <c r="B90" s="35" t="s">
        <v>258</v>
      </c>
      <c r="C90" s="35" t="s">
        <v>259</v>
      </c>
      <c r="D90" s="35">
        <v>0</v>
      </c>
      <c r="E90" s="35">
        <v>70.99466666666649</v>
      </c>
      <c r="F90" s="35">
        <v>90.315999999999804</v>
      </c>
      <c r="G90" s="35">
        <v>1E+30</v>
      </c>
      <c r="H90" s="35">
        <v>70.99466666666649</v>
      </c>
    </row>
    <row r="91" spans="2:8">
      <c r="B91" s="35" t="s">
        <v>260</v>
      </c>
      <c r="C91" s="35" t="s">
        <v>261</v>
      </c>
      <c r="D91" s="35">
        <v>0</v>
      </c>
      <c r="E91" s="35">
        <v>51.673333333333176</v>
      </c>
      <c r="F91" s="35">
        <v>70.99466666666649</v>
      </c>
      <c r="G91" s="35">
        <v>1E+30</v>
      </c>
      <c r="H91" s="35">
        <v>51.673333333333176</v>
      </c>
    </row>
    <row r="92" spans="2:8">
      <c r="B92" s="35" t="s">
        <v>262</v>
      </c>
      <c r="C92" s="35" t="s">
        <v>263</v>
      </c>
      <c r="D92" s="35">
        <v>960545</v>
      </c>
      <c r="E92" s="35">
        <v>0</v>
      </c>
      <c r="F92" s="35">
        <v>19.321333333333314</v>
      </c>
      <c r="G92" s="35">
        <v>4.043999999999869</v>
      </c>
      <c r="H92" s="35">
        <v>1E+30</v>
      </c>
    </row>
    <row r="93" spans="2:8">
      <c r="B93" s="35" t="s">
        <v>264</v>
      </c>
      <c r="C93" s="35" t="s">
        <v>265</v>
      </c>
      <c r="D93" s="35">
        <v>0</v>
      </c>
      <c r="E93" s="35">
        <v>31.902666666666846</v>
      </c>
      <c r="F93" s="35">
        <v>34.598666666666759</v>
      </c>
      <c r="G93" s="35">
        <v>1E+30</v>
      </c>
      <c r="H93" s="35">
        <v>31.902666666666846</v>
      </c>
    </row>
    <row r="94" spans="2:8">
      <c r="B94" s="35" t="s">
        <v>266</v>
      </c>
      <c r="C94" s="35" t="s">
        <v>267</v>
      </c>
      <c r="D94" s="35">
        <v>0</v>
      </c>
      <c r="E94" s="35">
        <v>35.946666666666715</v>
      </c>
      <c r="F94" s="35">
        <v>38.642666666666628</v>
      </c>
      <c r="G94" s="35">
        <v>1E+30</v>
      </c>
      <c r="H94" s="35">
        <v>35.946666666666715</v>
      </c>
    </row>
    <row r="95" spans="2:8">
      <c r="B95" s="35" t="s">
        <v>268</v>
      </c>
      <c r="C95" s="35" t="s">
        <v>269</v>
      </c>
      <c r="D95" s="35">
        <v>0</v>
      </c>
      <c r="E95" s="35">
        <v>14.827999999999975</v>
      </c>
      <c r="F95" s="35">
        <v>17.523999999999887</v>
      </c>
      <c r="G95" s="35">
        <v>1E+30</v>
      </c>
      <c r="H95" s="35">
        <v>14.827999999999975</v>
      </c>
    </row>
    <row r="96" spans="2:8">
      <c r="B96" s="35" t="s">
        <v>270</v>
      </c>
      <c r="C96" s="35" t="s">
        <v>271</v>
      </c>
      <c r="D96" s="35">
        <v>0</v>
      </c>
      <c r="E96" s="35">
        <v>81.32933333333358</v>
      </c>
      <c r="F96" s="35">
        <v>84.025333333333492</v>
      </c>
      <c r="G96" s="35">
        <v>1E+30</v>
      </c>
      <c r="H96" s="35">
        <v>81.32933333333358</v>
      </c>
    </row>
    <row r="97" spans="2:8">
      <c r="B97" s="35" t="s">
        <v>272</v>
      </c>
      <c r="C97" s="35" t="s">
        <v>273</v>
      </c>
      <c r="D97" s="35">
        <v>0</v>
      </c>
      <c r="E97" s="35">
        <v>61.558666666666795</v>
      </c>
      <c r="F97" s="35">
        <v>64.254666666666708</v>
      </c>
      <c r="G97" s="35">
        <v>1E+30</v>
      </c>
      <c r="H97" s="35">
        <v>61.558666666666795</v>
      </c>
    </row>
    <row r="98" spans="2:8">
      <c r="B98" s="35" t="s">
        <v>274</v>
      </c>
      <c r="C98" s="35" t="s">
        <v>275</v>
      </c>
      <c r="D98" s="35">
        <v>590166</v>
      </c>
      <c r="E98" s="35">
        <v>0</v>
      </c>
      <c r="F98" s="35">
        <v>2.6959999999999127</v>
      </c>
      <c r="G98" s="35">
        <v>14.827999999999975</v>
      </c>
      <c r="H98" s="35">
        <v>1E+30</v>
      </c>
    </row>
    <row r="99" spans="2:8">
      <c r="B99" s="35" t="s">
        <v>276</v>
      </c>
      <c r="C99" s="35" t="s">
        <v>277</v>
      </c>
      <c r="D99" s="35">
        <v>0</v>
      </c>
      <c r="E99" s="35">
        <v>3.5946666666668534</v>
      </c>
      <c r="F99" s="35">
        <v>21.568000000000211</v>
      </c>
      <c r="G99" s="35">
        <v>1E+30</v>
      </c>
      <c r="H99" s="35">
        <v>3.5946666666668534</v>
      </c>
    </row>
    <row r="100" spans="2:8">
      <c r="B100" s="35" t="s">
        <v>278</v>
      </c>
      <c r="C100" s="35" t="s">
        <v>279</v>
      </c>
      <c r="D100" s="35">
        <v>0</v>
      </c>
      <c r="E100" s="35">
        <v>3.1453333333333831</v>
      </c>
      <c r="F100" s="35">
        <v>21.118666666666741</v>
      </c>
      <c r="G100" s="35">
        <v>1E+30</v>
      </c>
      <c r="H100" s="35">
        <v>3.1453333333333831</v>
      </c>
    </row>
    <row r="101" spans="2:8">
      <c r="B101" s="35" t="s">
        <v>280</v>
      </c>
      <c r="C101" s="35" t="s">
        <v>281</v>
      </c>
      <c r="D101" s="35">
        <v>1584055</v>
      </c>
      <c r="E101" s="35">
        <v>0</v>
      </c>
      <c r="F101" s="35">
        <v>17.973333333333358</v>
      </c>
      <c r="G101" s="35">
        <v>0</v>
      </c>
      <c r="H101" s="35">
        <v>1E+30</v>
      </c>
    </row>
    <row r="102" spans="2:8">
      <c r="B102" s="35" t="s">
        <v>282</v>
      </c>
      <c r="C102" s="35" t="s">
        <v>283</v>
      </c>
      <c r="D102" s="35">
        <v>0</v>
      </c>
      <c r="E102" s="35">
        <v>57.963999999999942</v>
      </c>
      <c r="F102" s="35">
        <v>75.937333333333299</v>
      </c>
      <c r="G102" s="35">
        <v>1E+30</v>
      </c>
      <c r="H102" s="35">
        <v>57.963999999999942</v>
      </c>
    </row>
    <row r="103" spans="2:8">
      <c r="B103" s="35" t="s">
        <v>284</v>
      </c>
      <c r="C103" s="35" t="s">
        <v>285</v>
      </c>
      <c r="D103" s="35">
        <v>0</v>
      </c>
      <c r="E103" s="35">
        <v>38.642666666666628</v>
      </c>
      <c r="F103" s="35">
        <v>56.615999999999985</v>
      </c>
      <c r="G103" s="35">
        <v>1E+30</v>
      </c>
      <c r="H103" s="35">
        <v>38.642666666666628</v>
      </c>
    </row>
    <row r="104" spans="2:8">
      <c r="B104" s="35" t="s">
        <v>286</v>
      </c>
      <c r="C104" s="35" t="s">
        <v>287</v>
      </c>
      <c r="D104" s="35">
        <v>0</v>
      </c>
      <c r="E104" s="35">
        <v>0</v>
      </c>
      <c r="F104" s="35">
        <v>17.973333333333358</v>
      </c>
      <c r="G104" s="35">
        <v>1E+30</v>
      </c>
      <c r="H104" s="35">
        <v>0</v>
      </c>
    </row>
    <row r="105" spans="2:8">
      <c r="B105" s="35" t="s">
        <v>288</v>
      </c>
      <c r="C105" s="35" t="s">
        <v>289</v>
      </c>
      <c r="D105" s="35">
        <v>0</v>
      </c>
      <c r="E105" s="35">
        <v>25.162666666666155</v>
      </c>
      <c r="F105" s="35">
        <v>33.699999999999818</v>
      </c>
      <c r="G105" s="35">
        <v>1E+30</v>
      </c>
      <c r="H105" s="35">
        <v>25.162666666666155</v>
      </c>
    </row>
    <row r="106" spans="2:8">
      <c r="B106" s="35" t="s">
        <v>290</v>
      </c>
      <c r="C106" s="35" t="s">
        <v>291</v>
      </c>
      <c r="D106" s="35">
        <v>0</v>
      </c>
      <c r="E106" s="35">
        <v>30.554666666666435</v>
      </c>
      <c r="F106" s="35">
        <v>39.092000000000098</v>
      </c>
      <c r="G106" s="35">
        <v>1E+30</v>
      </c>
      <c r="H106" s="35">
        <v>30.554666666666435</v>
      </c>
    </row>
    <row r="107" spans="2:8">
      <c r="B107" s="35" t="s">
        <v>292</v>
      </c>
      <c r="C107" s="35" t="s">
        <v>293</v>
      </c>
      <c r="D107" s="35">
        <v>0</v>
      </c>
      <c r="E107" s="35">
        <v>14.378666666666504</v>
      </c>
      <c r="F107" s="35">
        <v>22.916000000000167</v>
      </c>
      <c r="G107" s="35">
        <v>1E+30</v>
      </c>
      <c r="H107" s="35">
        <v>14.378666666666504</v>
      </c>
    </row>
    <row r="108" spans="2:8">
      <c r="B108" s="35" t="s">
        <v>294</v>
      </c>
      <c r="C108" s="35" t="s">
        <v>295</v>
      </c>
      <c r="D108" s="35">
        <v>0</v>
      </c>
      <c r="E108" s="35">
        <v>90.765333333332819</v>
      </c>
      <c r="F108" s="35">
        <v>99.302666666666482</v>
      </c>
      <c r="G108" s="35">
        <v>1E+30</v>
      </c>
      <c r="H108" s="35">
        <v>90.765333333332819</v>
      </c>
    </row>
    <row r="109" spans="2:8">
      <c r="B109" s="35" t="s">
        <v>296</v>
      </c>
      <c r="C109" s="35" t="s">
        <v>297</v>
      </c>
      <c r="D109" s="35">
        <v>0</v>
      </c>
      <c r="E109" s="35">
        <v>62.007999999999356</v>
      </c>
      <c r="F109" s="35">
        <v>70.545333333333019</v>
      </c>
      <c r="G109" s="35">
        <v>1E+30</v>
      </c>
      <c r="H109" s="35">
        <v>62.007999999999356</v>
      </c>
    </row>
    <row r="110" spans="2:8">
      <c r="B110" s="35" t="s">
        <v>298</v>
      </c>
      <c r="C110" s="35" t="s">
        <v>299</v>
      </c>
      <c r="D110" s="35">
        <v>926798</v>
      </c>
      <c r="E110" s="35">
        <v>0</v>
      </c>
      <c r="F110" s="35">
        <v>8.5373333333336632</v>
      </c>
      <c r="G110" s="35">
        <v>14.378666666666504</v>
      </c>
      <c r="H110" s="35">
        <v>1E+30</v>
      </c>
    </row>
    <row r="111" spans="2:8">
      <c r="B111" s="35" t="s">
        <v>300</v>
      </c>
      <c r="C111" s="35" t="s">
        <v>301</v>
      </c>
      <c r="D111" s="35">
        <v>0</v>
      </c>
      <c r="E111" s="35">
        <v>22.017333333333227</v>
      </c>
      <c r="F111" s="35">
        <v>29.206666666666933</v>
      </c>
      <c r="G111" s="35">
        <v>1E+30</v>
      </c>
      <c r="H111" s="35">
        <v>22.017333333333227</v>
      </c>
    </row>
    <row r="112" spans="2:8">
      <c r="B112" s="35" t="s">
        <v>302</v>
      </c>
      <c r="C112" s="35" t="s">
        <v>303</v>
      </c>
      <c r="D112" s="35">
        <v>0</v>
      </c>
      <c r="E112" s="35">
        <v>27.409333333333052</v>
      </c>
      <c r="F112" s="35">
        <v>34.598666666666759</v>
      </c>
      <c r="G112" s="35">
        <v>1E+30</v>
      </c>
      <c r="H112" s="35">
        <v>27.409333333333052</v>
      </c>
    </row>
    <row r="113" spans="2:8">
      <c r="B113" s="35" t="s">
        <v>304</v>
      </c>
      <c r="C113" s="35" t="s">
        <v>305</v>
      </c>
      <c r="D113" s="35">
        <v>0</v>
      </c>
      <c r="E113" s="35">
        <v>11.682666666666591</v>
      </c>
      <c r="F113" s="35">
        <v>18.872000000000298</v>
      </c>
      <c r="G113" s="35">
        <v>1E+30</v>
      </c>
      <c r="H113" s="35">
        <v>11.682666666666591</v>
      </c>
    </row>
    <row r="114" spans="2:8">
      <c r="B114" s="35" t="s">
        <v>306</v>
      </c>
      <c r="C114" s="35" t="s">
        <v>307</v>
      </c>
      <c r="D114" s="35">
        <v>0</v>
      </c>
      <c r="E114" s="35">
        <v>83.126666666666097</v>
      </c>
      <c r="F114" s="35">
        <v>90.315999999999804</v>
      </c>
      <c r="G114" s="35">
        <v>1E+30</v>
      </c>
      <c r="H114" s="35">
        <v>83.126666666666097</v>
      </c>
    </row>
    <row r="115" spans="2:8">
      <c r="B115" s="35" t="s">
        <v>308</v>
      </c>
      <c r="C115" s="35" t="s">
        <v>309</v>
      </c>
      <c r="D115" s="35">
        <v>0</v>
      </c>
      <c r="E115" s="35">
        <v>65.602666666666664</v>
      </c>
      <c r="F115" s="35">
        <v>72.792000000000371</v>
      </c>
      <c r="G115" s="35">
        <v>1E+30</v>
      </c>
      <c r="H115" s="35">
        <v>65.602666666666664</v>
      </c>
    </row>
    <row r="116" spans="2:8">
      <c r="B116" s="35" t="s">
        <v>310</v>
      </c>
      <c r="C116" s="35" t="s">
        <v>311</v>
      </c>
      <c r="D116" s="35">
        <v>1813436</v>
      </c>
      <c r="E116" s="35">
        <v>0</v>
      </c>
      <c r="F116" s="35">
        <v>7.1893333333337068</v>
      </c>
      <c r="G116" s="35">
        <v>11.682666666666591</v>
      </c>
      <c r="H116" s="35">
        <v>1E+30</v>
      </c>
    </row>
    <row r="117" spans="2:8">
      <c r="B117" s="35" t="s">
        <v>312</v>
      </c>
      <c r="C117" s="35" t="s">
        <v>313</v>
      </c>
      <c r="D117" s="35">
        <v>0</v>
      </c>
      <c r="E117" s="35">
        <v>3.1453333333338378</v>
      </c>
      <c r="F117" s="35">
        <v>17.524000000000342</v>
      </c>
      <c r="G117" s="35">
        <v>1E+30</v>
      </c>
      <c r="H117" s="35">
        <v>3.1453333333338378</v>
      </c>
    </row>
    <row r="118" spans="2:8">
      <c r="B118" s="35" t="s">
        <v>314</v>
      </c>
      <c r="C118" s="35" t="s">
        <v>315</v>
      </c>
      <c r="D118" s="35">
        <v>0</v>
      </c>
      <c r="E118" s="35">
        <v>21.118666666667195</v>
      </c>
      <c r="F118" s="35">
        <v>35.4973333333337</v>
      </c>
      <c r="G118" s="35">
        <v>1E+30</v>
      </c>
      <c r="H118" s="35">
        <v>21.118666666667195</v>
      </c>
    </row>
    <row r="119" spans="2:8">
      <c r="B119" s="35" t="s">
        <v>316</v>
      </c>
      <c r="C119" s="35" t="s">
        <v>317</v>
      </c>
      <c r="D119" s="35">
        <v>0</v>
      </c>
      <c r="E119" s="35">
        <v>12.132000000000517</v>
      </c>
      <c r="F119" s="35">
        <v>26.510666666667021</v>
      </c>
      <c r="G119" s="35">
        <v>1E+30</v>
      </c>
      <c r="H119" s="35">
        <v>12.132000000000517</v>
      </c>
    </row>
    <row r="120" spans="2:8">
      <c r="B120" s="35" t="s">
        <v>318</v>
      </c>
      <c r="C120" s="35" t="s">
        <v>319</v>
      </c>
      <c r="D120" s="35">
        <v>0</v>
      </c>
      <c r="E120" s="35">
        <v>70.096000000000458</v>
      </c>
      <c r="F120" s="35">
        <v>84.474666666666963</v>
      </c>
      <c r="G120" s="35">
        <v>1E+30</v>
      </c>
      <c r="H120" s="35">
        <v>70.096000000000458</v>
      </c>
    </row>
    <row r="121" spans="2:8">
      <c r="B121" s="35" t="s">
        <v>320</v>
      </c>
      <c r="C121" s="35" t="s">
        <v>321</v>
      </c>
      <c r="D121" s="35">
        <v>0</v>
      </c>
      <c r="E121" s="35">
        <v>50.774666666667144</v>
      </c>
      <c r="F121" s="35">
        <v>65.153333333333649</v>
      </c>
      <c r="G121" s="35">
        <v>1E+30</v>
      </c>
      <c r="H121" s="35">
        <v>50.774666666667144</v>
      </c>
    </row>
    <row r="122" spans="2:8">
      <c r="B122" s="35" t="s">
        <v>322</v>
      </c>
      <c r="C122" s="35" t="s">
        <v>323</v>
      </c>
      <c r="D122" s="35">
        <v>1302207</v>
      </c>
      <c r="E122" s="35">
        <v>0</v>
      </c>
      <c r="F122" s="35">
        <v>14.378666666666504</v>
      </c>
      <c r="G122" s="35">
        <v>3.1453333333338378</v>
      </c>
      <c r="H122" s="35">
        <v>1E+30</v>
      </c>
    </row>
    <row r="123" spans="2:8">
      <c r="B123" s="35" t="s">
        <v>324</v>
      </c>
      <c r="C123" s="35" t="s">
        <v>325</v>
      </c>
      <c r="D123" s="35">
        <v>0</v>
      </c>
      <c r="E123" s="35">
        <v>8.9866666666666788</v>
      </c>
      <c r="F123" s="35">
        <v>22.466666666666242</v>
      </c>
      <c r="G123" s="35">
        <v>1E+30</v>
      </c>
      <c r="H123" s="35">
        <v>8.9866666666666788</v>
      </c>
    </row>
    <row r="124" spans="2:8">
      <c r="B124" s="35" t="s">
        <v>326</v>
      </c>
      <c r="C124" s="35" t="s">
        <v>327</v>
      </c>
      <c r="D124" s="35">
        <v>0</v>
      </c>
      <c r="E124" s="35">
        <v>27.409333333333961</v>
      </c>
      <c r="F124" s="35">
        <v>40.889333333333525</v>
      </c>
      <c r="G124" s="35">
        <v>1E+30</v>
      </c>
      <c r="H124" s="35">
        <v>27.409333333333961</v>
      </c>
    </row>
    <row r="125" spans="2:8">
      <c r="B125" s="35" t="s">
        <v>328</v>
      </c>
      <c r="C125" s="35" t="s">
        <v>329</v>
      </c>
      <c r="D125" s="35">
        <v>0</v>
      </c>
      <c r="E125" s="35">
        <v>17.973333333333358</v>
      </c>
      <c r="F125" s="35">
        <v>31.453333333332921</v>
      </c>
      <c r="G125" s="35">
        <v>1E+30</v>
      </c>
      <c r="H125" s="35">
        <v>17.973333333333358</v>
      </c>
    </row>
    <row r="126" spans="2:8">
      <c r="B126" s="35" t="s">
        <v>330</v>
      </c>
      <c r="C126" s="35" t="s">
        <v>331</v>
      </c>
      <c r="D126" s="35">
        <v>0</v>
      </c>
      <c r="E126" s="35">
        <v>76.386666666667224</v>
      </c>
      <c r="F126" s="35">
        <v>89.866666666666788</v>
      </c>
      <c r="G126" s="35">
        <v>1E+30</v>
      </c>
      <c r="H126" s="35">
        <v>76.386666666667224</v>
      </c>
    </row>
    <row r="127" spans="2:8">
      <c r="B127" s="35" t="s">
        <v>332</v>
      </c>
      <c r="C127" s="35" t="s">
        <v>333</v>
      </c>
      <c r="D127" s="35">
        <v>0</v>
      </c>
      <c r="E127" s="35">
        <v>57.065333333333911</v>
      </c>
      <c r="F127" s="35">
        <v>70.545333333333474</v>
      </c>
      <c r="G127" s="35">
        <v>1E+30</v>
      </c>
      <c r="H127" s="35">
        <v>57.065333333333911</v>
      </c>
    </row>
    <row r="128" spans="2:8">
      <c r="B128" s="35" t="s">
        <v>334</v>
      </c>
      <c r="C128" s="35" t="s">
        <v>335</v>
      </c>
      <c r="D128" s="35">
        <v>730067</v>
      </c>
      <c r="E128" s="35">
        <v>0</v>
      </c>
      <c r="F128" s="35">
        <v>13.479999999999563</v>
      </c>
      <c r="G128" s="35">
        <v>8.9866666666666788</v>
      </c>
      <c r="H128" s="35">
        <v>1E+30</v>
      </c>
    </row>
    <row r="129" spans="2:8">
      <c r="B129" s="35" t="s">
        <v>336</v>
      </c>
      <c r="C129" s="35" t="s">
        <v>337</v>
      </c>
      <c r="D129" s="35">
        <v>0</v>
      </c>
      <c r="E129" s="35">
        <v>24.263999999999214</v>
      </c>
      <c r="F129" s="35">
        <v>31.453333333332921</v>
      </c>
      <c r="G129" s="35">
        <v>1E+30</v>
      </c>
      <c r="H129" s="35">
        <v>24.263999999999214</v>
      </c>
    </row>
    <row r="130" spans="2:8">
      <c r="B130" s="35" t="s">
        <v>338</v>
      </c>
      <c r="C130" s="35" t="s">
        <v>339</v>
      </c>
      <c r="D130" s="35">
        <v>0</v>
      </c>
      <c r="E130" s="35">
        <v>28.757333333333008</v>
      </c>
      <c r="F130" s="35">
        <v>35.946666666666715</v>
      </c>
      <c r="G130" s="35">
        <v>1E+30</v>
      </c>
      <c r="H130" s="35">
        <v>28.757333333333008</v>
      </c>
    </row>
    <row r="131" spans="2:8">
      <c r="B131" s="35" t="s">
        <v>340</v>
      </c>
      <c r="C131" s="35" t="s">
        <v>341</v>
      </c>
      <c r="D131" s="35">
        <v>0</v>
      </c>
      <c r="E131" s="35">
        <v>10.334666666666635</v>
      </c>
      <c r="F131" s="35">
        <v>17.524000000000342</v>
      </c>
      <c r="G131" s="35">
        <v>1E+30</v>
      </c>
      <c r="H131" s="35">
        <v>10.334666666666635</v>
      </c>
    </row>
    <row r="132" spans="2:8">
      <c r="B132" s="35" t="s">
        <v>342</v>
      </c>
      <c r="C132" s="35" t="s">
        <v>343</v>
      </c>
      <c r="D132" s="35">
        <v>0</v>
      </c>
      <c r="E132" s="35">
        <v>85.373333333332994</v>
      </c>
      <c r="F132" s="35">
        <v>92.562666666666701</v>
      </c>
      <c r="G132" s="35">
        <v>1E+30</v>
      </c>
      <c r="H132" s="35">
        <v>85.373333333332994</v>
      </c>
    </row>
    <row r="133" spans="2:8">
      <c r="B133" s="35" t="s">
        <v>344</v>
      </c>
      <c r="C133" s="35" t="s">
        <v>345</v>
      </c>
      <c r="D133" s="35">
        <v>0</v>
      </c>
      <c r="E133" s="35">
        <v>62.906666666665842</v>
      </c>
      <c r="F133" s="35">
        <v>70.095999999999549</v>
      </c>
      <c r="G133" s="35">
        <v>1E+30</v>
      </c>
      <c r="H133" s="35">
        <v>62.906666666665842</v>
      </c>
    </row>
    <row r="134" spans="2:8">
      <c r="B134" s="35" t="s">
        <v>346</v>
      </c>
      <c r="C134" s="35" t="s">
        <v>347</v>
      </c>
      <c r="D134" s="35">
        <v>1167651</v>
      </c>
      <c r="E134" s="35">
        <v>0</v>
      </c>
      <c r="F134" s="35">
        <v>7.1893333333337068</v>
      </c>
      <c r="G134" s="35">
        <v>10.334666666666635</v>
      </c>
      <c r="H134" s="35">
        <v>1E+30</v>
      </c>
    </row>
    <row r="135" spans="2:8">
      <c r="B135" s="35" t="s">
        <v>348</v>
      </c>
      <c r="C135" s="35" t="s">
        <v>349</v>
      </c>
      <c r="D135" s="35">
        <v>0</v>
      </c>
      <c r="E135" s="35">
        <v>24.713333333334049</v>
      </c>
      <c r="F135" s="35">
        <v>29.206666666666933</v>
      </c>
      <c r="G135" s="35">
        <v>1E+30</v>
      </c>
      <c r="H135" s="35">
        <v>24.713333333334049</v>
      </c>
    </row>
    <row r="136" spans="2:8">
      <c r="B136" s="35" t="s">
        <v>350</v>
      </c>
      <c r="C136" s="35" t="s">
        <v>351</v>
      </c>
      <c r="D136" s="35">
        <v>0</v>
      </c>
      <c r="E136" s="35">
        <v>28.307999999999993</v>
      </c>
      <c r="F136" s="35">
        <v>32.801333333332877</v>
      </c>
      <c r="G136" s="35">
        <v>1E+30</v>
      </c>
      <c r="H136" s="35">
        <v>28.307999999999993</v>
      </c>
    </row>
    <row r="137" spans="2:8">
      <c r="B137" s="35" t="s">
        <v>352</v>
      </c>
      <c r="C137" s="35" t="s">
        <v>353</v>
      </c>
      <c r="D137" s="35">
        <v>0</v>
      </c>
      <c r="E137" s="35">
        <v>12.132000000000517</v>
      </c>
      <c r="F137" s="35">
        <v>16.625333333333401</v>
      </c>
      <c r="G137" s="35">
        <v>1E+30</v>
      </c>
      <c r="H137" s="35">
        <v>12.132000000000517</v>
      </c>
    </row>
    <row r="138" spans="2:8">
      <c r="B138" s="35" t="s">
        <v>354</v>
      </c>
      <c r="C138" s="35" t="s">
        <v>355</v>
      </c>
      <c r="D138" s="35">
        <v>0</v>
      </c>
      <c r="E138" s="35">
        <v>84.025333333333947</v>
      </c>
      <c r="F138" s="35">
        <v>88.518666666666832</v>
      </c>
      <c r="G138" s="35">
        <v>1E+30</v>
      </c>
      <c r="H138" s="35">
        <v>84.025333333333947</v>
      </c>
    </row>
    <row r="139" spans="2:8">
      <c r="B139" s="35" t="s">
        <v>356</v>
      </c>
      <c r="C139" s="35" t="s">
        <v>357</v>
      </c>
      <c r="D139" s="35">
        <v>0</v>
      </c>
      <c r="E139" s="35">
        <v>66.052000000000589</v>
      </c>
      <c r="F139" s="35">
        <v>70.545333333333474</v>
      </c>
      <c r="G139" s="35">
        <v>1E+30</v>
      </c>
      <c r="H139" s="35">
        <v>66.052000000000589</v>
      </c>
    </row>
    <row r="140" spans="2:8">
      <c r="B140" s="35" t="s">
        <v>358</v>
      </c>
      <c r="C140" s="35" t="s">
        <v>359</v>
      </c>
      <c r="D140" s="35">
        <v>1376499</v>
      </c>
      <c r="E140" s="35">
        <v>0</v>
      </c>
      <c r="F140" s="35">
        <v>4.4933333333328846</v>
      </c>
      <c r="G140" s="35">
        <v>12.132000000000517</v>
      </c>
      <c r="H140" s="35">
        <v>1E+30</v>
      </c>
    </row>
    <row r="141" spans="2:8">
      <c r="B141" s="35" t="s">
        <v>360</v>
      </c>
      <c r="C141" s="35" t="s">
        <v>361</v>
      </c>
      <c r="D141" s="35">
        <v>0</v>
      </c>
      <c r="E141" s="35">
        <v>17.973333333333358</v>
      </c>
      <c r="F141" s="35">
        <v>22.017333333333227</v>
      </c>
      <c r="G141" s="35">
        <v>1E+30</v>
      </c>
      <c r="H141" s="35">
        <v>17.973333333333358</v>
      </c>
    </row>
    <row r="142" spans="2:8">
      <c r="B142" s="35" t="s">
        <v>362</v>
      </c>
      <c r="C142" s="35" t="s">
        <v>363</v>
      </c>
      <c r="D142" s="35">
        <v>0</v>
      </c>
      <c r="E142" s="35">
        <v>21.568000000000211</v>
      </c>
      <c r="F142" s="35">
        <v>25.61200000000008</v>
      </c>
      <c r="G142" s="35">
        <v>1E+30</v>
      </c>
      <c r="H142" s="35">
        <v>21.568000000000211</v>
      </c>
    </row>
    <row r="143" spans="2:8">
      <c r="B143" s="35" t="s">
        <v>364</v>
      </c>
      <c r="C143" s="35" t="s">
        <v>365</v>
      </c>
      <c r="D143" s="35">
        <v>0</v>
      </c>
      <c r="E143" s="35">
        <v>11.682666666666591</v>
      </c>
      <c r="F143" s="35">
        <v>15.726666666666461</v>
      </c>
      <c r="G143" s="35">
        <v>1E+30</v>
      </c>
      <c r="H143" s="35">
        <v>11.682666666666591</v>
      </c>
    </row>
    <row r="144" spans="2:8">
      <c r="B144" s="35" t="s">
        <v>366</v>
      </c>
      <c r="C144" s="35" t="s">
        <v>367</v>
      </c>
      <c r="D144" s="35">
        <v>0</v>
      </c>
      <c r="E144" s="35">
        <v>77.285333333333256</v>
      </c>
      <c r="F144" s="35">
        <v>81.329333333333125</v>
      </c>
      <c r="G144" s="35">
        <v>1E+30</v>
      </c>
      <c r="H144" s="35">
        <v>77.285333333333256</v>
      </c>
    </row>
    <row r="145" spans="1:8">
      <c r="B145" s="35" t="s">
        <v>368</v>
      </c>
      <c r="C145" s="35" t="s">
        <v>369</v>
      </c>
      <c r="D145" s="35">
        <v>0</v>
      </c>
      <c r="E145" s="35">
        <v>57.514666666666926</v>
      </c>
      <c r="F145" s="35">
        <v>61.558666666666795</v>
      </c>
      <c r="G145" s="35">
        <v>1E+30</v>
      </c>
      <c r="H145" s="35">
        <v>57.514666666666926</v>
      </c>
    </row>
    <row r="146" spans="1:8" ht="19" thickBot="1">
      <c r="B146" s="36" t="s">
        <v>370</v>
      </c>
      <c r="C146" s="36" t="s">
        <v>371</v>
      </c>
      <c r="D146" s="36">
        <v>748012</v>
      </c>
      <c r="E146" s="36">
        <v>0</v>
      </c>
      <c r="F146" s="36">
        <v>4.043999999999869</v>
      </c>
      <c r="G146" s="36">
        <v>11.682666666666591</v>
      </c>
      <c r="H146" s="36">
        <v>1E+30</v>
      </c>
    </row>
    <row r="148" spans="1:8" ht="19" thickBot="1">
      <c r="A148" t="s">
        <v>92</v>
      </c>
    </row>
    <row r="149" spans="1:8">
      <c r="B149" s="37"/>
      <c r="C149" s="37"/>
      <c r="D149" s="37" t="s">
        <v>83</v>
      </c>
      <c r="E149" s="37" t="s">
        <v>93</v>
      </c>
      <c r="F149" s="37" t="s">
        <v>92</v>
      </c>
      <c r="G149" s="37" t="s">
        <v>89</v>
      </c>
      <c r="H149" s="37" t="s">
        <v>89</v>
      </c>
    </row>
    <row r="150" spans="1:8" ht="19" thickBot="1">
      <c r="B150" s="38" t="s">
        <v>81</v>
      </c>
      <c r="C150" s="38" t="s">
        <v>82</v>
      </c>
      <c r="D150" s="38" t="s">
        <v>84</v>
      </c>
      <c r="E150" s="38" t="s">
        <v>94</v>
      </c>
      <c r="F150" s="38" t="s">
        <v>95</v>
      </c>
      <c r="G150" s="38" t="s">
        <v>90</v>
      </c>
      <c r="H150" s="38" t="s">
        <v>91</v>
      </c>
    </row>
    <row r="151" spans="1:8">
      <c r="B151" s="35" t="s">
        <v>384</v>
      </c>
      <c r="C151" s="35" t="s">
        <v>385</v>
      </c>
      <c r="D151" s="35">
        <v>2330637</v>
      </c>
      <c r="E151" s="35">
        <v>16.176000000000002</v>
      </c>
      <c r="F151" s="35">
        <v>2330637</v>
      </c>
      <c r="G151" s="35">
        <v>1E+30</v>
      </c>
      <c r="H151" s="35">
        <v>2330637</v>
      </c>
    </row>
    <row r="152" spans="1:8">
      <c r="B152" s="35" t="s">
        <v>386</v>
      </c>
      <c r="C152" s="35" t="s">
        <v>387</v>
      </c>
      <c r="D152" s="35">
        <v>1246849</v>
      </c>
      <c r="E152" s="35">
        <v>12.581333333333333</v>
      </c>
      <c r="F152" s="35">
        <v>1246849</v>
      </c>
      <c r="G152" s="35">
        <v>1E+30</v>
      </c>
      <c r="H152" s="35">
        <v>1246849</v>
      </c>
    </row>
    <row r="153" spans="1:8">
      <c r="B153" s="35" t="s">
        <v>388</v>
      </c>
      <c r="C153" s="35" t="s">
        <v>389</v>
      </c>
      <c r="D153" s="35">
        <v>1434618</v>
      </c>
      <c r="E153" s="35">
        <v>6.7400000000000091</v>
      </c>
      <c r="F153" s="35">
        <v>1434618</v>
      </c>
      <c r="G153" s="35">
        <v>1E+30</v>
      </c>
      <c r="H153" s="35">
        <v>1434618</v>
      </c>
    </row>
    <row r="154" spans="1:8">
      <c r="B154" s="35" t="s">
        <v>390</v>
      </c>
      <c r="C154" s="35" t="s">
        <v>391</v>
      </c>
      <c r="D154" s="35">
        <v>1058984</v>
      </c>
      <c r="E154" s="35">
        <v>10.783999999999992</v>
      </c>
      <c r="F154" s="35">
        <v>1058984</v>
      </c>
      <c r="G154" s="35">
        <v>1E+30</v>
      </c>
      <c r="H154" s="35">
        <v>1058984</v>
      </c>
    </row>
    <row r="155" spans="1:8">
      <c r="B155" s="35" t="s">
        <v>392</v>
      </c>
      <c r="C155" s="35" t="s">
        <v>393</v>
      </c>
      <c r="D155" s="35">
        <v>1309665</v>
      </c>
      <c r="E155" s="35">
        <v>8.0879999999999654</v>
      </c>
      <c r="F155" s="35">
        <v>1309665</v>
      </c>
      <c r="G155" s="35">
        <v>1E+30</v>
      </c>
      <c r="H155" s="35">
        <v>1309665</v>
      </c>
    </row>
    <row r="156" spans="1:8">
      <c r="B156" s="35" t="s">
        <v>394</v>
      </c>
      <c r="C156" s="35" t="s">
        <v>395</v>
      </c>
      <c r="D156" s="35">
        <v>781203</v>
      </c>
      <c r="E156" s="35">
        <v>13.030666666666775</v>
      </c>
      <c r="F156" s="35">
        <v>781203</v>
      </c>
      <c r="G156" s="35">
        <v>1E+30</v>
      </c>
      <c r="H156" s="35">
        <v>781203</v>
      </c>
    </row>
    <row r="157" spans="1:8">
      <c r="B157" s="35" t="s">
        <v>396</v>
      </c>
      <c r="C157" s="35" t="s">
        <v>397</v>
      </c>
      <c r="D157" s="35">
        <v>997095</v>
      </c>
      <c r="E157" s="35">
        <v>13.480000000000018</v>
      </c>
      <c r="F157" s="35">
        <v>997095</v>
      </c>
      <c r="G157" s="35">
        <v>1E+30</v>
      </c>
      <c r="H157" s="35">
        <v>997095</v>
      </c>
    </row>
    <row r="158" spans="1:8">
      <c r="B158" s="35" t="s">
        <v>398</v>
      </c>
      <c r="C158" s="35" t="s">
        <v>399</v>
      </c>
      <c r="D158" s="35">
        <v>1115917</v>
      </c>
      <c r="E158" s="35">
        <v>3.594666666666626</v>
      </c>
      <c r="F158" s="35">
        <v>1115917</v>
      </c>
      <c r="G158" s="35">
        <v>1E+30</v>
      </c>
      <c r="H158" s="35">
        <v>1115917</v>
      </c>
    </row>
    <row r="159" spans="1:8">
      <c r="B159" s="35" t="s">
        <v>400</v>
      </c>
      <c r="C159" s="35" t="s">
        <v>401</v>
      </c>
      <c r="D159" s="35">
        <v>1087254</v>
      </c>
      <c r="E159" s="35">
        <v>10.784000000000106</v>
      </c>
      <c r="F159" s="35">
        <v>1087254</v>
      </c>
      <c r="G159" s="35">
        <v>1E+30</v>
      </c>
      <c r="H159" s="35">
        <v>1087254</v>
      </c>
    </row>
    <row r="160" spans="1:8">
      <c r="B160" s="35" t="s">
        <v>402</v>
      </c>
      <c r="C160" s="35" t="s">
        <v>403</v>
      </c>
      <c r="D160" s="35">
        <v>1178041</v>
      </c>
      <c r="E160" s="35">
        <v>10.784000000000106</v>
      </c>
      <c r="F160" s="35">
        <v>1178041</v>
      </c>
      <c r="G160" s="35">
        <v>1E+30</v>
      </c>
      <c r="H160" s="35">
        <v>1178041</v>
      </c>
    </row>
    <row r="161" spans="2:8">
      <c r="B161" s="35" t="s">
        <v>404</v>
      </c>
      <c r="C161" s="35" t="s">
        <v>405</v>
      </c>
      <c r="D161" s="35">
        <v>1324328</v>
      </c>
      <c r="E161" s="35">
        <v>3.1453333333333831</v>
      </c>
      <c r="F161" s="35">
        <v>1324328</v>
      </c>
      <c r="G161" s="35">
        <v>1E+30</v>
      </c>
      <c r="H161" s="35">
        <v>1324328</v>
      </c>
    </row>
    <row r="162" spans="2:8">
      <c r="B162" s="35" t="s">
        <v>406</v>
      </c>
      <c r="C162" s="35" t="s">
        <v>407</v>
      </c>
      <c r="D162" s="35">
        <v>877226</v>
      </c>
      <c r="E162" s="35">
        <v>2.2466666666664423</v>
      </c>
      <c r="F162" s="35">
        <v>877226</v>
      </c>
      <c r="G162" s="35">
        <v>1E+30</v>
      </c>
      <c r="H162" s="35">
        <v>877226</v>
      </c>
    </row>
    <row r="163" spans="2:8">
      <c r="B163" s="35" t="s">
        <v>408</v>
      </c>
      <c r="C163" s="35" t="s">
        <v>409</v>
      </c>
      <c r="D163" s="35">
        <v>1222206</v>
      </c>
      <c r="E163" s="35">
        <v>6.7399999999997817</v>
      </c>
      <c r="F163" s="35">
        <v>1222206</v>
      </c>
      <c r="G163" s="35">
        <v>1E+30</v>
      </c>
      <c r="H163" s="35">
        <v>1222206</v>
      </c>
    </row>
    <row r="164" spans="2:8">
      <c r="B164" s="35" t="s">
        <v>410</v>
      </c>
      <c r="C164" s="35" t="s">
        <v>411</v>
      </c>
      <c r="D164" s="35">
        <v>960545</v>
      </c>
      <c r="E164" s="35">
        <v>19.321333333333314</v>
      </c>
      <c r="F164" s="35">
        <v>960545</v>
      </c>
      <c r="G164" s="35">
        <v>1E+30</v>
      </c>
      <c r="H164" s="35">
        <v>960545</v>
      </c>
    </row>
    <row r="165" spans="2:8">
      <c r="B165" s="35" t="s">
        <v>412</v>
      </c>
      <c r="C165" s="35" t="s">
        <v>413</v>
      </c>
      <c r="D165" s="35">
        <v>590166</v>
      </c>
      <c r="E165" s="35">
        <v>2.6959999999999127</v>
      </c>
      <c r="F165" s="35">
        <v>590166</v>
      </c>
      <c r="G165" s="35">
        <v>1E+30</v>
      </c>
      <c r="H165" s="35">
        <v>590166</v>
      </c>
    </row>
    <row r="166" spans="2:8">
      <c r="B166" s="35" t="s">
        <v>414</v>
      </c>
      <c r="C166" s="35" t="s">
        <v>415</v>
      </c>
      <c r="D166" s="35">
        <v>1584055</v>
      </c>
      <c r="E166" s="35">
        <v>17.973333333333358</v>
      </c>
      <c r="F166" s="35">
        <v>1584055</v>
      </c>
      <c r="G166" s="35">
        <v>1E+30</v>
      </c>
      <c r="H166" s="35">
        <v>1584055</v>
      </c>
    </row>
    <row r="167" spans="2:8">
      <c r="B167" s="35" t="s">
        <v>416</v>
      </c>
      <c r="C167" s="35" t="s">
        <v>417</v>
      </c>
      <c r="D167" s="35">
        <v>926798</v>
      </c>
      <c r="E167" s="35">
        <v>8.5373333333336632</v>
      </c>
      <c r="F167" s="35">
        <v>926798</v>
      </c>
      <c r="G167" s="35">
        <v>1E+30</v>
      </c>
      <c r="H167" s="35">
        <v>926798</v>
      </c>
    </row>
    <row r="168" spans="2:8">
      <c r="B168" s="35" t="s">
        <v>418</v>
      </c>
      <c r="C168" s="35" t="s">
        <v>419</v>
      </c>
      <c r="D168" s="35">
        <v>1813436</v>
      </c>
      <c r="E168" s="35">
        <v>7.1893333333337068</v>
      </c>
      <c r="F168" s="35">
        <v>1813436</v>
      </c>
      <c r="G168" s="35">
        <v>1E+30</v>
      </c>
      <c r="H168" s="35">
        <v>1813436</v>
      </c>
    </row>
    <row r="169" spans="2:8">
      <c r="B169" s="35" t="s">
        <v>420</v>
      </c>
      <c r="C169" s="35" t="s">
        <v>421</v>
      </c>
      <c r="D169" s="35">
        <v>1302207</v>
      </c>
      <c r="E169" s="35">
        <v>14.378666666666504</v>
      </c>
      <c r="F169" s="35">
        <v>1302207</v>
      </c>
      <c r="G169" s="35">
        <v>1E+30</v>
      </c>
      <c r="H169" s="35">
        <v>1302207</v>
      </c>
    </row>
    <row r="170" spans="2:8">
      <c r="B170" s="35" t="s">
        <v>422</v>
      </c>
      <c r="C170" s="35" t="s">
        <v>423</v>
      </c>
      <c r="D170" s="35">
        <v>730067</v>
      </c>
      <c r="E170" s="35">
        <v>13.479999999999563</v>
      </c>
      <c r="F170" s="35">
        <v>730067</v>
      </c>
      <c r="G170" s="35">
        <v>1E+30</v>
      </c>
      <c r="H170" s="35">
        <v>730067</v>
      </c>
    </row>
    <row r="171" spans="2:8">
      <c r="B171" s="35" t="s">
        <v>424</v>
      </c>
      <c r="C171" s="35" t="s">
        <v>425</v>
      </c>
      <c r="D171" s="35">
        <v>1167651</v>
      </c>
      <c r="E171" s="35">
        <v>7.1893333333337068</v>
      </c>
      <c r="F171" s="35">
        <v>1167651</v>
      </c>
      <c r="G171" s="35">
        <v>1E+30</v>
      </c>
      <c r="H171" s="35">
        <v>1167651</v>
      </c>
    </row>
    <row r="172" spans="2:8">
      <c r="B172" s="35" t="s">
        <v>426</v>
      </c>
      <c r="C172" s="35" t="s">
        <v>427</v>
      </c>
      <c r="D172" s="35">
        <v>1376499</v>
      </c>
      <c r="E172" s="35">
        <v>4.4933333333328846</v>
      </c>
      <c r="F172" s="35">
        <v>1376499</v>
      </c>
      <c r="G172" s="35">
        <v>1E+30</v>
      </c>
      <c r="H172" s="35">
        <v>1376499</v>
      </c>
    </row>
    <row r="173" spans="2:8" ht="19" thickBot="1">
      <c r="B173" s="36" t="s">
        <v>428</v>
      </c>
      <c r="C173" s="36" t="s">
        <v>429</v>
      </c>
      <c r="D173" s="36">
        <v>748012</v>
      </c>
      <c r="E173" s="36">
        <v>4.043999999999869</v>
      </c>
      <c r="F173" s="36">
        <v>748012</v>
      </c>
      <c r="G173" s="36">
        <v>1E+30</v>
      </c>
      <c r="H173" s="36">
        <v>748012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7275-D4BA-4F2D-B31C-3880580F7A75}">
  <dimension ref="A2:AM73"/>
  <sheetViews>
    <sheetView topLeftCell="B1" zoomScale="75" zoomScaleNormal="70" workbookViewId="0">
      <selection activeCell="J73" sqref="J73"/>
    </sheetView>
  </sheetViews>
  <sheetFormatPr baseColWidth="10" defaultColWidth="8.7109375" defaultRowHeight="18"/>
  <cols>
    <col min="9" max="9" width="28.42578125" customWidth="1"/>
    <col min="10" max="10" width="12.7109375" bestFit="1" customWidth="1"/>
    <col min="11" max="11" width="9.140625" bestFit="1" customWidth="1"/>
    <col min="12" max="12" width="12.140625" bestFit="1" customWidth="1"/>
    <col min="13" max="13" width="10" bestFit="1" customWidth="1"/>
    <col min="14" max="14" width="11" bestFit="1" customWidth="1"/>
    <col min="15" max="15" width="12.140625" bestFit="1" customWidth="1"/>
    <col min="16" max="16" width="15.5703125" customWidth="1"/>
    <col min="17" max="17" width="10" bestFit="1" customWidth="1"/>
    <col min="19" max="24" width="9.140625" bestFit="1" customWidth="1"/>
    <col min="29" max="29" width="18.7109375" customWidth="1"/>
    <col min="30" max="30" width="22.5703125" customWidth="1"/>
  </cols>
  <sheetData>
    <row r="2" spans="1:30">
      <c r="J2" t="s">
        <v>476</v>
      </c>
    </row>
    <row r="3" spans="1:30" ht="19" thickBot="1">
      <c r="B3" s="46" t="s">
        <v>67</v>
      </c>
      <c r="C3" s="46"/>
      <c r="D3" s="46"/>
      <c r="E3" s="46"/>
      <c r="F3" s="46"/>
      <c r="J3" s="46" t="s">
        <v>67</v>
      </c>
      <c r="K3" s="46"/>
      <c r="L3" s="46"/>
      <c r="M3" s="46"/>
      <c r="N3" s="46"/>
      <c r="O3" s="46"/>
      <c r="AC3" t="s">
        <v>460</v>
      </c>
      <c r="AD3" t="s">
        <v>459</v>
      </c>
    </row>
    <row r="4" spans="1:30">
      <c r="A4" s="7" t="s">
        <v>29</v>
      </c>
      <c r="B4" s="5" t="s">
        <v>24</v>
      </c>
      <c r="C4" s="5" t="s">
        <v>25</v>
      </c>
      <c r="D4" s="5" t="s">
        <v>27</v>
      </c>
      <c r="E4" s="5" t="s">
        <v>26</v>
      </c>
      <c r="F4" s="5" t="s">
        <v>28</v>
      </c>
      <c r="G4" s="11" t="s">
        <v>31</v>
      </c>
      <c r="I4" s="7" t="s">
        <v>29</v>
      </c>
      <c r="J4" s="43" t="s">
        <v>461</v>
      </c>
      <c r="K4" s="43" t="s">
        <v>462</v>
      </c>
      <c r="L4" s="43" t="s">
        <v>463</v>
      </c>
      <c r="M4" s="43" t="s">
        <v>464</v>
      </c>
      <c r="N4" s="43" t="s">
        <v>465</v>
      </c>
      <c r="O4" s="43" t="s">
        <v>66</v>
      </c>
      <c r="P4" s="11" t="s">
        <v>31</v>
      </c>
      <c r="AB4" t="s">
        <v>24</v>
      </c>
      <c r="AC4">
        <f>443411000000*0.385/51600000</f>
        <v>3308.3960271317828</v>
      </c>
      <c r="AD4">
        <f>1020877*0.385</f>
        <v>393037.64500000002</v>
      </c>
    </row>
    <row r="5" spans="1:30">
      <c r="A5" s="8" t="s">
        <v>7</v>
      </c>
      <c r="G5" s="12">
        <v>2330637</v>
      </c>
      <c r="I5" s="8" t="s">
        <v>7</v>
      </c>
      <c r="J5" s="44">
        <v>0.39427645289405877</v>
      </c>
      <c r="K5" s="44">
        <v>4.540464462290679E-2</v>
      </c>
      <c r="L5" s="44">
        <v>1.1886792451958679</v>
      </c>
      <c r="M5" s="44">
        <v>1.0275277599999999</v>
      </c>
      <c r="N5" s="44">
        <v>1</v>
      </c>
      <c r="O5" s="44">
        <v>1.21936752</v>
      </c>
      <c r="P5" s="12">
        <v>2330637</v>
      </c>
      <c r="Q5" s="44"/>
      <c r="AB5" t="s">
        <v>25</v>
      </c>
      <c r="AC5">
        <f>443411000000*0.0738/9891117</f>
        <v>3308.3959880365387</v>
      </c>
      <c r="AD5">
        <f>930588*0.0738</f>
        <v>68677.394400000005</v>
      </c>
    </row>
    <row r="6" spans="1:30">
      <c r="A6" s="8" t="s">
        <v>8</v>
      </c>
      <c r="G6" s="12">
        <v>1246849</v>
      </c>
      <c r="I6" s="8" t="s">
        <v>8</v>
      </c>
      <c r="J6" s="44">
        <v>0.19019481999999999</v>
      </c>
      <c r="K6" s="44">
        <v>0.21561762215083699</v>
      </c>
      <c r="L6" s="44">
        <v>1.2452830187966193</v>
      </c>
      <c r="M6" s="44">
        <v>1.3501084132667192</v>
      </c>
      <c r="N6" s="44">
        <v>1.3518518545994063</v>
      </c>
      <c r="O6" s="44">
        <v>0.86936751980804905</v>
      </c>
      <c r="P6" s="12">
        <v>1246849</v>
      </c>
      <c r="Q6" s="44"/>
      <c r="AB6" t="s">
        <v>27</v>
      </c>
      <c r="AC6">
        <f>443411000000*0.1674/22435948.05</f>
        <v>3308.3960274190417</v>
      </c>
      <c r="AD6">
        <f>11796548*0.1674</f>
        <v>1974742.1351999999</v>
      </c>
    </row>
    <row r="7" spans="1:30">
      <c r="A7" s="8" t="s">
        <v>9</v>
      </c>
      <c r="G7" s="12">
        <v>1434618</v>
      </c>
      <c r="I7" s="8" t="s">
        <v>9</v>
      </c>
      <c r="J7" s="44">
        <v>0.67999073821904066</v>
      </c>
      <c r="K7" s="44">
        <v>0.44965993354748818</v>
      </c>
      <c r="L7" s="44">
        <v>1</v>
      </c>
      <c r="M7" s="44">
        <v>1.4630116257571082</v>
      </c>
      <c r="N7" s="44">
        <v>1.5185185212660732</v>
      </c>
      <c r="O7" s="44">
        <v>0.4693675199860905</v>
      </c>
      <c r="P7" s="12">
        <v>1434618</v>
      </c>
      <c r="Q7" s="44"/>
      <c r="R7" t="s">
        <v>36</v>
      </c>
      <c r="AB7" t="s">
        <v>26</v>
      </c>
      <c r="AC7">
        <f>443411000000*0.3322/17400000</f>
        <v>8465.5824252873572</v>
      </c>
      <c r="AD7">
        <f>226724*0.3322</f>
        <v>75317.712799999994</v>
      </c>
    </row>
    <row r="8" spans="1:30">
      <c r="A8" s="8" t="s">
        <v>10</v>
      </c>
      <c r="G8" s="12">
        <v>1058984</v>
      </c>
      <c r="I8" s="8" t="s">
        <v>10</v>
      </c>
      <c r="J8" s="44">
        <v>0.41468461600178957</v>
      </c>
      <c r="K8" s="44">
        <v>0.49221329630819372</v>
      </c>
      <c r="L8" s="44">
        <v>1.3962264152052593</v>
      </c>
      <c r="M8" s="44">
        <v>1.511398721952343</v>
      </c>
      <c r="N8" s="44">
        <v>1.5555555555555554</v>
      </c>
      <c r="O8" s="44">
        <v>0.69436751999026347</v>
      </c>
      <c r="P8" s="12">
        <v>1058984</v>
      </c>
      <c r="Q8" s="44"/>
      <c r="V8" t="s">
        <v>68</v>
      </c>
      <c r="AB8" t="s">
        <v>28</v>
      </c>
      <c r="AC8">
        <f>443411000000*0.0414/2168452.74</f>
        <v>8465.5824226079276</v>
      </c>
      <c r="AD8">
        <f>520547*0.0414</f>
        <v>21550.645799999998</v>
      </c>
    </row>
    <row r="9" spans="1:30">
      <c r="A9" s="8" t="s">
        <v>11</v>
      </c>
      <c r="G9" s="12">
        <v>1309665</v>
      </c>
      <c r="I9" s="8" t="s">
        <v>11</v>
      </c>
      <c r="J9" s="44">
        <v>0.59835808533392998</v>
      </c>
      <c r="K9" s="44">
        <v>0.9177455033705737</v>
      </c>
      <c r="L9" s="44">
        <v>2</v>
      </c>
      <c r="M9" s="44">
        <v>1.6565600105380462</v>
      </c>
      <c r="N9" s="44">
        <v>1.7222222222222219</v>
      </c>
      <c r="O9" s="44">
        <v>0.54436751998748134</v>
      </c>
      <c r="P9" s="12">
        <v>1309665</v>
      </c>
      <c r="Q9" s="44"/>
      <c r="R9" t="s">
        <v>37</v>
      </c>
    </row>
    <row r="10" spans="1:30">
      <c r="A10" s="8" t="s">
        <v>12</v>
      </c>
      <c r="G10" s="12">
        <v>781203</v>
      </c>
      <c r="I10" s="8" t="s">
        <v>12</v>
      </c>
      <c r="J10" s="44">
        <v>0.72080706488868995</v>
      </c>
      <c r="K10" s="44">
        <v>1.0241282</v>
      </c>
      <c r="L10" s="44">
        <v>1.9056603776120209</v>
      </c>
      <c r="M10" s="44">
        <v>1.7372051828285939</v>
      </c>
      <c r="N10" s="44">
        <v>1.833333333333333</v>
      </c>
      <c r="O10" s="44">
        <v>0.81936752017804149</v>
      </c>
      <c r="P10" s="12">
        <v>781203</v>
      </c>
      <c r="Q10" s="44"/>
    </row>
    <row r="11" spans="1:30">
      <c r="A11" s="8" t="s">
        <v>13</v>
      </c>
      <c r="G11" s="12">
        <v>997095</v>
      </c>
      <c r="I11" s="8" t="s">
        <v>13</v>
      </c>
      <c r="J11" s="44">
        <v>0.59835808533392998</v>
      </c>
      <c r="K11" s="44">
        <v>0.89646858523277517</v>
      </c>
      <c r="L11" s="44">
        <v>1.9811320756063862</v>
      </c>
      <c r="M11" s="44">
        <v>1.6404309904381251</v>
      </c>
      <c r="N11" s="44">
        <v>1.7222222222222219</v>
      </c>
      <c r="O11" s="44">
        <v>0.84436751999304538</v>
      </c>
      <c r="P11" s="12">
        <v>997095</v>
      </c>
      <c r="Q11" s="44"/>
    </row>
    <row r="12" spans="1:30">
      <c r="A12" s="8" t="s">
        <v>14</v>
      </c>
      <c r="G12" s="12">
        <v>1115917</v>
      </c>
      <c r="I12" s="8" t="s">
        <v>14</v>
      </c>
      <c r="J12" s="44">
        <v>0.88407237111309955</v>
      </c>
      <c r="K12" s="44">
        <v>0.51348974093110067</v>
      </c>
      <c r="L12" s="44">
        <v>1.2075471695894819</v>
      </c>
      <c r="M12" s="44">
        <v>1.6404309904381251</v>
      </c>
      <c r="N12" s="44">
        <v>1.7222222222222219</v>
      </c>
      <c r="O12" s="44">
        <v>0.29436752000139094</v>
      </c>
      <c r="P12" s="12">
        <v>1115917</v>
      </c>
      <c r="Q12" s="44"/>
      <c r="R12" t="s">
        <v>475</v>
      </c>
    </row>
    <row r="13" spans="1:30">
      <c r="A13" s="8" t="s">
        <v>15</v>
      </c>
      <c r="G13" s="12">
        <v>1087254</v>
      </c>
      <c r="I13" s="8" t="s">
        <v>15</v>
      </c>
      <c r="J13" s="44">
        <v>0.25141930977738014</v>
      </c>
      <c r="K13" s="44">
        <v>0.53476665906889931</v>
      </c>
      <c r="L13" s="44">
        <v>1.4339622639924872</v>
      </c>
      <c r="M13" s="44">
        <v>1.382366453466561</v>
      </c>
      <c r="N13" s="44">
        <v>1.4074074101549621</v>
      </c>
      <c r="O13" s="44">
        <v>0.69436751999026347</v>
      </c>
      <c r="P13" s="12">
        <v>1087254</v>
      </c>
      <c r="Q13" s="44"/>
      <c r="R13" t="s">
        <v>432</v>
      </c>
    </row>
    <row r="14" spans="1:30">
      <c r="A14" s="8" t="s">
        <v>16</v>
      </c>
      <c r="G14" s="12">
        <v>1178041</v>
      </c>
      <c r="I14" s="8" t="s">
        <v>16</v>
      </c>
      <c r="J14" s="44">
        <v>1.0677458404452398</v>
      </c>
      <c r="K14" s="44">
        <v>0.74753252584264351</v>
      </c>
      <c r="L14" s="44">
        <v>1.2641509431902331</v>
      </c>
      <c r="M14" s="44">
        <v>1.801721299123749</v>
      </c>
      <c r="N14" s="44">
        <v>1.8888888888888884</v>
      </c>
      <c r="O14" s="44">
        <v>0.69436751999026347</v>
      </c>
      <c r="P14" s="12">
        <v>1178041</v>
      </c>
      <c r="Q14" s="44"/>
    </row>
    <row r="15" spans="1:30">
      <c r="A15" s="8" t="s">
        <v>17</v>
      </c>
      <c r="G15" s="12">
        <v>1324328</v>
      </c>
      <c r="I15" s="8" t="s">
        <v>17</v>
      </c>
      <c r="J15" s="44">
        <v>0.80243971777380096</v>
      </c>
      <c r="K15" s="44">
        <v>0.5773195483147131</v>
      </c>
      <c r="L15" s="44">
        <v>1.1132075472015026</v>
      </c>
      <c r="M15" s="44">
        <v>1.5597858181475774</v>
      </c>
      <c r="N15" s="44">
        <v>1.8888888888888884</v>
      </c>
      <c r="O15" s="44">
        <v>0.26936751996383534</v>
      </c>
      <c r="P15" s="12">
        <v>1324328</v>
      </c>
      <c r="Q15" s="44"/>
      <c r="R15" t="s">
        <v>69</v>
      </c>
    </row>
    <row r="16" spans="1:30">
      <c r="A16" s="8" t="s">
        <v>18</v>
      </c>
      <c r="G16" s="12">
        <v>877226</v>
      </c>
      <c r="I16" s="8" t="s">
        <v>18</v>
      </c>
      <c r="J16" s="44">
        <v>0.67999073821904066</v>
      </c>
      <c r="K16" s="44">
        <v>0.34327723691806178</v>
      </c>
      <c r="L16" s="44">
        <v>1.2075471695894819</v>
      </c>
      <c r="M16" s="44">
        <v>1.4630116257571082</v>
      </c>
      <c r="N16" s="44">
        <v>1.7592592606330366</v>
      </c>
      <c r="O16" s="44">
        <v>0.21936752000000001</v>
      </c>
      <c r="P16" s="12">
        <v>877226</v>
      </c>
      <c r="Q16" s="44"/>
      <c r="R16" t="s">
        <v>70</v>
      </c>
    </row>
    <row r="17" spans="1:39">
      <c r="A17" s="8" t="s">
        <v>19</v>
      </c>
      <c r="G17" s="12">
        <v>1222206</v>
      </c>
      <c r="I17" s="8" t="s">
        <v>19</v>
      </c>
      <c r="J17" s="44">
        <v>0.90448053422083041</v>
      </c>
      <c r="K17" s="44">
        <v>0.85391569598696138</v>
      </c>
      <c r="L17" s="44">
        <v>1.5283018868003757</v>
      </c>
      <c r="M17" s="44">
        <v>1.8984954915142174</v>
      </c>
      <c r="N17" s="44">
        <v>2</v>
      </c>
      <c r="O17" s="44">
        <v>0.4693675199860905</v>
      </c>
      <c r="P17" s="12">
        <v>1222206</v>
      </c>
      <c r="Q17" s="44"/>
      <c r="R17" t="s">
        <v>71</v>
      </c>
    </row>
    <row r="18" spans="1:39" ht="19" thickBot="1">
      <c r="A18" s="8" t="s">
        <v>20</v>
      </c>
      <c r="G18" s="12">
        <v>960545</v>
      </c>
      <c r="I18" s="8" t="s">
        <v>20</v>
      </c>
      <c r="J18" s="44">
        <v>0.67999073821904066</v>
      </c>
      <c r="K18" s="44">
        <v>0.98157531075418603</v>
      </c>
      <c r="L18" s="44">
        <v>1.8490566040112695</v>
      </c>
      <c r="M18" s="44">
        <v>1.7049471067332802</v>
      </c>
      <c r="N18" s="44">
        <v>1.7962962990438505</v>
      </c>
      <c r="O18" s="44">
        <v>1.1693675198136129</v>
      </c>
      <c r="P18" s="12">
        <v>960545</v>
      </c>
      <c r="Q18" s="44"/>
      <c r="R18" t="s">
        <v>72</v>
      </c>
      <c r="S18">
        <f>1348/3</f>
        <v>449.33333333333331</v>
      </c>
      <c r="Y18">
        <f>1000</f>
        <v>1000</v>
      </c>
    </row>
    <row r="19" spans="1:39" ht="19" thickBot="1">
      <c r="A19" s="8" t="s">
        <v>21</v>
      </c>
      <c r="G19" s="12">
        <v>590166</v>
      </c>
      <c r="I19" s="8" t="s">
        <v>21</v>
      </c>
      <c r="J19" s="44">
        <v>1.1901948199999999</v>
      </c>
      <c r="K19" s="44">
        <v>0.85391569598696138</v>
      </c>
      <c r="L19" s="44">
        <v>1.2452830187966193</v>
      </c>
      <c r="M19" s="44">
        <v>1.4791406458570298</v>
      </c>
      <c r="N19" s="44">
        <v>1.5185185212660732</v>
      </c>
      <c r="O19" s="44">
        <v>0.24436751998191769</v>
      </c>
      <c r="P19" s="12">
        <v>590166</v>
      </c>
      <c r="Q19" s="44"/>
      <c r="S19" s="28" t="s">
        <v>24</v>
      </c>
      <c r="T19" s="19" t="s">
        <v>25</v>
      </c>
      <c r="U19" s="28" t="s">
        <v>27</v>
      </c>
      <c r="V19" s="19" t="s">
        <v>26</v>
      </c>
      <c r="W19" s="16" t="s">
        <v>28</v>
      </c>
      <c r="X19" s="25" t="s">
        <v>66</v>
      </c>
    </row>
    <row r="20" spans="1:39" ht="19" thickBot="1">
      <c r="A20" s="8" t="s">
        <v>22</v>
      </c>
      <c r="G20" s="12">
        <v>1584055</v>
      </c>
      <c r="I20" s="8" t="s">
        <v>22</v>
      </c>
      <c r="J20" s="44">
        <v>0.59835808533392998</v>
      </c>
      <c r="K20" s="44">
        <v>2.4128199999999999E-2</v>
      </c>
      <c r="L20" s="44">
        <v>1.2641509431902331</v>
      </c>
      <c r="M20" s="44">
        <v>1.1888180686856233</v>
      </c>
      <c r="N20" s="44">
        <v>1.2037037050774808</v>
      </c>
      <c r="O20" s="44">
        <v>1.0943675198122218</v>
      </c>
      <c r="P20" s="12">
        <v>1584055</v>
      </c>
      <c r="Q20" s="44"/>
      <c r="R20" s="18" t="s">
        <v>7</v>
      </c>
      <c r="S20" s="29">
        <v>38</v>
      </c>
      <c r="T20" s="21">
        <v>48</v>
      </c>
      <c r="U20" s="29">
        <v>36</v>
      </c>
      <c r="V20" s="21">
        <v>159</v>
      </c>
      <c r="W20">
        <v>115</v>
      </c>
      <c r="X20" s="26">
        <v>45</v>
      </c>
      <c r="AH20" s="28" t="s">
        <v>24</v>
      </c>
      <c r="AI20" s="19" t="s">
        <v>25</v>
      </c>
      <c r="AJ20" s="28" t="s">
        <v>27</v>
      </c>
      <c r="AK20" s="19" t="s">
        <v>26</v>
      </c>
      <c r="AL20" s="16" t="s">
        <v>28</v>
      </c>
      <c r="AM20" s="25" t="s">
        <v>66</v>
      </c>
    </row>
    <row r="21" spans="1:39">
      <c r="A21" s="8" t="s">
        <v>0</v>
      </c>
      <c r="G21" s="12">
        <v>926798</v>
      </c>
      <c r="I21" s="8" t="s">
        <v>0</v>
      </c>
      <c r="J21" s="44">
        <v>1.1493784933303508</v>
      </c>
      <c r="K21" s="44">
        <v>0.87519214060986816</v>
      </c>
      <c r="L21" s="44">
        <v>1.4716981131996245</v>
      </c>
      <c r="M21" s="44">
        <v>2.0275277599999999</v>
      </c>
      <c r="N21" s="44">
        <v>1.7777777777777772</v>
      </c>
      <c r="O21" s="44">
        <v>0.56936751996939905</v>
      </c>
      <c r="P21" s="12">
        <v>926798</v>
      </c>
      <c r="Q21" s="44"/>
      <c r="R21" s="20" t="s">
        <v>8</v>
      </c>
      <c r="S21" s="29">
        <v>28</v>
      </c>
      <c r="T21" s="21">
        <v>56</v>
      </c>
      <c r="U21" s="29">
        <v>39</v>
      </c>
      <c r="V21" s="21">
        <v>179</v>
      </c>
      <c r="W21">
        <v>134</v>
      </c>
      <c r="X21" s="26">
        <v>31</v>
      </c>
      <c r="AG21" s="18" t="s">
        <v>7</v>
      </c>
      <c r="AH21" s="29">
        <v>38</v>
      </c>
      <c r="AI21" s="21">
        <v>48</v>
      </c>
      <c r="AJ21" s="29">
        <v>36</v>
      </c>
      <c r="AK21" s="21">
        <v>159</v>
      </c>
      <c r="AL21">
        <v>115</v>
      </c>
      <c r="AM21" s="26">
        <v>45</v>
      </c>
    </row>
    <row r="22" spans="1:39">
      <c r="A22" s="8" t="s">
        <v>1</v>
      </c>
      <c r="G22" s="12">
        <v>1813436</v>
      </c>
      <c r="I22" s="8" t="s">
        <v>1</v>
      </c>
      <c r="J22" s="44">
        <v>0.94529686089047971</v>
      </c>
      <c r="K22" s="44">
        <v>0.66242627383612396</v>
      </c>
      <c r="L22" s="44">
        <v>1.3018867923973705</v>
      </c>
      <c r="M22" s="44">
        <v>1.7049471067332802</v>
      </c>
      <c r="N22" s="44">
        <v>1.8703703717441478</v>
      </c>
      <c r="O22" s="44">
        <v>0.49436751996800821</v>
      </c>
      <c r="P22" s="12">
        <v>1813436</v>
      </c>
      <c r="Q22" s="44"/>
      <c r="R22" s="20" t="s">
        <v>9</v>
      </c>
      <c r="S22" s="29">
        <v>52</v>
      </c>
      <c r="T22" s="21">
        <v>67</v>
      </c>
      <c r="U22" s="29">
        <v>26</v>
      </c>
      <c r="V22" s="21">
        <v>186</v>
      </c>
      <c r="W22">
        <v>143</v>
      </c>
      <c r="X22" s="26">
        <v>15</v>
      </c>
      <c r="AG22" s="20" t="s">
        <v>8</v>
      </c>
      <c r="AH22" s="29">
        <v>28</v>
      </c>
      <c r="AI22" s="21">
        <v>56</v>
      </c>
      <c r="AJ22" s="29">
        <v>39</v>
      </c>
      <c r="AK22" s="21">
        <v>179</v>
      </c>
      <c r="AL22">
        <v>134</v>
      </c>
      <c r="AM22" s="26">
        <v>31</v>
      </c>
    </row>
    <row r="23" spans="1:39">
      <c r="A23" s="8" t="s">
        <v>2</v>
      </c>
      <c r="G23" s="12">
        <v>1302207</v>
      </c>
      <c r="I23" s="8" t="s">
        <v>2</v>
      </c>
      <c r="J23" s="44">
        <v>0.41468461600178957</v>
      </c>
      <c r="K23" s="44">
        <v>0.70497916308193775</v>
      </c>
      <c r="L23" s="44">
        <v>1.6226415096082643</v>
      </c>
      <c r="M23" s="44">
        <v>1.4952697018524219</v>
      </c>
      <c r="N23" s="44">
        <v>1.5555555555555554</v>
      </c>
      <c r="O23" s="44">
        <v>0.89436752017943255</v>
      </c>
      <c r="P23" s="12">
        <v>1302207</v>
      </c>
      <c r="Q23" s="44"/>
      <c r="R23" s="20" t="s">
        <v>10</v>
      </c>
      <c r="S23" s="29">
        <v>39</v>
      </c>
      <c r="T23" s="21">
        <v>69</v>
      </c>
      <c r="U23" s="29">
        <v>47</v>
      </c>
      <c r="V23" s="21">
        <v>189</v>
      </c>
      <c r="W23">
        <v>145</v>
      </c>
      <c r="X23" s="26">
        <v>24</v>
      </c>
      <c r="AG23" s="20" t="s">
        <v>9</v>
      </c>
      <c r="AH23" s="29">
        <v>52</v>
      </c>
      <c r="AI23" s="21">
        <v>67</v>
      </c>
      <c r="AJ23" s="29">
        <v>26</v>
      </c>
      <c r="AK23" s="21">
        <v>186</v>
      </c>
      <c r="AL23">
        <v>143</v>
      </c>
      <c r="AM23" s="26">
        <v>15</v>
      </c>
    </row>
    <row r="24" spans="1:39">
      <c r="A24" s="8" t="s">
        <v>3</v>
      </c>
      <c r="G24" s="12">
        <v>730067</v>
      </c>
      <c r="I24" s="8" t="s">
        <v>3</v>
      </c>
      <c r="J24" s="44">
        <v>0.63917441200357916</v>
      </c>
      <c r="K24" s="44">
        <v>0.9602983926163875</v>
      </c>
      <c r="L24" s="44">
        <v>1.8301886791977462</v>
      </c>
      <c r="M24" s="44">
        <v>1.6888180866333595</v>
      </c>
      <c r="N24" s="44">
        <v>1.7777777777777772</v>
      </c>
      <c r="O24" s="44">
        <v>0.84436751999304538</v>
      </c>
      <c r="P24" s="12">
        <v>730067</v>
      </c>
      <c r="Q24" s="44"/>
      <c r="R24" s="20" t="s">
        <v>11</v>
      </c>
      <c r="S24" s="29">
        <v>48</v>
      </c>
      <c r="T24" s="21">
        <v>89</v>
      </c>
      <c r="U24" s="29">
        <v>79</v>
      </c>
      <c r="V24" s="21">
        <v>198</v>
      </c>
      <c r="W24">
        <v>154</v>
      </c>
      <c r="X24" s="26">
        <v>18</v>
      </c>
      <c r="AG24" s="20" t="s">
        <v>10</v>
      </c>
      <c r="AH24" s="29">
        <v>39</v>
      </c>
      <c r="AI24" s="21">
        <v>69</v>
      </c>
      <c r="AJ24" s="29">
        <v>47</v>
      </c>
      <c r="AK24" s="21">
        <v>189</v>
      </c>
      <c r="AL24">
        <v>145</v>
      </c>
      <c r="AM24" s="26">
        <v>24</v>
      </c>
    </row>
    <row r="25" spans="1:39">
      <c r="A25" s="8" t="s">
        <v>4</v>
      </c>
      <c r="G25" s="12">
        <v>1167651</v>
      </c>
      <c r="I25" s="8" t="s">
        <v>4</v>
      </c>
      <c r="J25" s="44">
        <v>1.0473376768833214</v>
      </c>
      <c r="K25" s="44">
        <v>0.72625608121973628</v>
      </c>
      <c r="L25" s="44">
        <v>1.2452830187966193</v>
      </c>
      <c r="M25" s="44">
        <v>1.7855922790238283</v>
      </c>
      <c r="N25" s="44">
        <v>1.7592592606330366</v>
      </c>
      <c r="O25" s="44">
        <v>0.49436751996800821</v>
      </c>
      <c r="P25" s="12">
        <v>1167651</v>
      </c>
      <c r="Q25" s="44"/>
      <c r="R25" s="20" t="s">
        <v>12</v>
      </c>
      <c r="S25" s="29">
        <v>54</v>
      </c>
      <c r="T25" s="21">
        <v>94</v>
      </c>
      <c r="U25" s="29">
        <v>74</v>
      </c>
      <c r="V25" s="21">
        <v>203</v>
      </c>
      <c r="W25">
        <v>160</v>
      </c>
      <c r="X25" s="26">
        <v>29</v>
      </c>
      <c r="AG25" s="20" t="s">
        <v>11</v>
      </c>
      <c r="AH25" s="29">
        <v>48</v>
      </c>
      <c r="AI25" s="21">
        <v>89</v>
      </c>
      <c r="AJ25" s="29">
        <v>79</v>
      </c>
      <c r="AK25" s="21">
        <v>198</v>
      </c>
      <c r="AL25">
        <v>154</v>
      </c>
      <c r="AM25" s="26">
        <v>18</v>
      </c>
    </row>
    <row r="26" spans="1:39">
      <c r="A26" s="8" t="s">
        <v>5</v>
      </c>
      <c r="G26" s="12">
        <v>1376499</v>
      </c>
      <c r="I26" s="8" t="s">
        <v>5</v>
      </c>
      <c r="J26" s="44">
        <v>0.94529686089047971</v>
      </c>
      <c r="K26" s="44">
        <v>0.5773195483147131</v>
      </c>
      <c r="L26" s="44">
        <v>1.2075471695894819</v>
      </c>
      <c r="M26" s="44">
        <v>1.6404309904381251</v>
      </c>
      <c r="N26" s="44">
        <v>1.7777777777777772</v>
      </c>
      <c r="O26" s="44">
        <v>0.3443675199652263</v>
      </c>
      <c r="P26" s="12">
        <v>1376499</v>
      </c>
      <c r="Q26" s="44"/>
      <c r="R26" s="20" t="s">
        <v>13</v>
      </c>
      <c r="S26" s="29">
        <v>48</v>
      </c>
      <c r="T26" s="21">
        <v>88</v>
      </c>
      <c r="U26" s="29">
        <v>78</v>
      </c>
      <c r="V26" s="21">
        <v>197</v>
      </c>
      <c r="W26">
        <v>154</v>
      </c>
      <c r="X26" s="26">
        <v>30</v>
      </c>
      <c r="AG26" s="20" t="s">
        <v>12</v>
      </c>
      <c r="AH26" s="29">
        <v>54</v>
      </c>
      <c r="AI26" s="21">
        <v>94</v>
      </c>
      <c r="AJ26" s="29">
        <v>74</v>
      </c>
      <c r="AK26" s="21">
        <v>203</v>
      </c>
      <c r="AL26">
        <v>160</v>
      </c>
      <c r="AM26" s="26">
        <v>29</v>
      </c>
    </row>
    <row r="27" spans="1:39">
      <c r="A27" s="8" t="s">
        <v>6</v>
      </c>
      <c r="G27" s="12">
        <v>748012</v>
      </c>
      <c r="I27" s="8" t="s">
        <v>6</v>
      </c>
      <c r="J27" s="44">
        <v>0.61876624844166073</v>
      </c>
      <c r="K27" s="44">
        <v>0.236894066773744</v>
      </c>
      <c r="L27" s="44">
        <v>1.169811320802254</v>
      </c>
      <c r="M27" s="44">
        <v>1.382366453466561</v>
      </c>
      <c r="N27" s="44">
        <v>1.4074074101549621</v>
      </c>
      <c r="O27" s="44">
        <v>0.31936751998330859</v>
      </c>
      <c r="P27" s="12">
        <v>748012</v>
      </c>
      <c r="Q27" s="44"/>
      <c r="R27" s="20" t="s">
        <v>14</v>
      </c>
      <c r="S27" s="29">
        <v>62</v>
      </c>
      <c r="T27" s="21">
        <v>70</v>
      </c>
      <c r="U27" s="29">
        <v>37</v>
      </c>
      <c r="V27" s="21">
        <v>197</v>
      </c>
      <c r="W27">
        <v>154</v>
      </c>
      <c r="X27" s="26">
        <v>8</v>
      </c>
      <c r="AG27" s="20" t="s">
        <v>13</v>
      </c>
      <c r="AH27" s="29">
        <v>48</v>
      </c>
      <c r="AI27" s="21">
        <v>88</v>
      </c>
      <c r="AJ27" s="29">
        <v>78</v>
      </c>
      <c r="AK27" s="21">
        <v>197</v>
      </c>
      <c r="AL27">
        <v>154</v>
      </c>
      <c r="AM27" s="26">
        <v>30</v>
      </c>
    </row>
    <row r="28" spans="1:39">
      <c r="A28" s="15"/>
      <c r="B28" s="16"/>
      <c r="C28" s="16"/>
      <c r="D28" s="16"/>
      <c r="E28" s="16"/>
      <c r="F28" s="16"/>
      <c r="G28" s="17"/>
      <c r="I28" s="15" t="s">
        <v>467</v>
      </c>
      <c r="J28" s="33">
        <v>51500000</v>
      </c>
      <c r="K28" s="33">
        <f>51500000*7.38/38.5</f>
        <v>9871948.0519480519</v>
      </c>
      <c r="L28" s="33">
        <f>51500000/38.5*16.74</f>
        <v>22392467.532467529</v>
      </c>
      <c r="M28">
        <f>580000*30</f>
        <v>17400000</v>
      </c>
      <c r="N28" s="33">
        <f>17400000*4.14/33.22</f>
        <v>2168452.7393136667</v>
      </c>
      <c r="O28" s="16">
        <f>AVERAGE(P5:P27)</f>
        <v>1181019.956521739</v>
      </c>
      <c r="R28" s="20" t="s">
        <v>15</v>
      </c>
      <c r="S28" s="29">
        <v>31</v>
      </c>
      <c r="T28" s="21">
        <v>71</v>
      </c>
      <c r="U28" s="29">
        <v>49</v>
      </c>
      <c r="V28" s="21">
        <v>181</v>
      </c>
      <c r="W28">
        <v>137</v>
      </c>
      <c r="X28" s="26">
        <v>24</v>
      </c>
      <c r="AG28" s="20" t="s">
        <v>14</v>
      </c>
      <c r="AH28" s="29">
        <v>62</v>
      </c>
      <c r="AI28" s="21">
        <v>70</v>
      </c>
      <c r="AJ28" s="29">
        <v>37</v>
      </c>
      <c r="AK28" s="21">
        <v>197</v>
      </c>
      <c r="AL28">
        <v>154</v>
      </c>
      <c r="AM28" s="26">
        <v>8</v>
      </c>
    </row>
    <row r="29" spans="1:39">
      <c r="A29" s="9"/>
      <c r="G29" s="13"/>
      <c r="I29" s="9"/>
      <c r="P29" s="13"/>
      <c r="R29" s="20" t="s">
        <v>16</v>
      </c>
      <c r="S29" s="29">
        <v>71</v>
      </c>
      <c r="T29" s="21">
        <v>81</v>
      </c>
      <c r="U29" s="29">
        <v>40</v>
      </c>
      <c r="V29" s="21">
        <v>207</v>
      </c>
      <c r="W29">
        <v>163</v>
      </c>
      <c r="X29" s="26">
        <v>24</v>
      </c>
      <c r="AG29" s="20" t="s">
        <v>15</v>
      </c>
      <c r="AH29" s="29">
        <v>31</v>
      </c>
      <c r="AI29" s="21">
        <v>71</v>
      </c>
      <c r="AJ29" s="29">
        <v>49</v>
      </c>
      <c r="AK29" s="21">
        <v>181</v>
      </c>
      <c r="AL29">
        <v>137</v>
      </c>
      <c r="AM29" s="26">
        <v>24</v>
      </c>
    </row>
    <row r="30" spans="1:39" ht="19" thickBot="1">
      <c r="A30" s="10"/>
      <c r="B30" s="6"/>
      <c r="C30" s="6"/>
      <c r="D30" s="6"/>
      <c r="E30" s="6"/>
      <c r="F30" s="6"/>
      <c r="G30" s="14"/>
      <c r="I30" s="10"/>
      <c r="J30" s="6"/>
      <c r="K30" s="6"/>
      <c r="L30" s="6"/>
      <c r="M30" s="6"/>
      <c r="N30" s="6"/>
      <c r="O30" s="6"/>
      <c r="P30" s="14"/>
      <c r="R30" s="20" t="s">
        <v>17</v>
      </c>
      <c r="S30" s="29">
        <v>58</v>
      </c>
      <c r="T30" s="21">
        <v>73</v>
      </c>
      <c r="U30" s="29">
        <v>32</v>
      </c>
      <c r="V30" s="21">
        <v>192</v>
      </c>
      <c r="W30">
        <v>163</v>
      </c>
      <c r="X30" s="26">
        <v>7</v>
      </c>
      <c r="AG30" s="20" t="s">
        <v>16</v>
      </c>
      <c r="AH30" s="29">
        <v>71</v>
      </c>
      <c r="AI30" s="21">
        <v>81</v>
      </c>
      <c r="AJ30" s="29">
        <v>40</v>
      </c>
      <c r="AK30" s="21">
        <v>207</v>
      </c>
      <c r="AL30">
        <v>163</v>
      </c>
      <c r="AM30" s="26">
        <v>24</v>
      </c>
    </row>
    <row r="31" spans="1:39">
      <c r="R31" s="20" t="s">
        <v>18</v>
      </c>
      <c r="S31" s="29">
        <v>52</v>
      </c>
      <c r="T31" s="21">
        <v>62</v>
      </c>
      <c r="U31" s="29">
        <v>37</v>
      </c>
      <c r="V31" s="21">
        <v>186</v>
      </c>
      <c r="W31">
        <v>156</v>
      </c>
      <c r="X31" s="26">
        <v>5</v>
      </c>
      <c r="AG31" s="20" t="s">
        <v>17</v>
      </c>
      <c r="AH31" s="29">
        <v>58</v>
      </c>
      <c r="AI31" s="21">
        <v>73</v>
      </c>
      <c r="AJ31" s="29">
        <v>32</v>
      </c>
      <c r="AK31" s="21">
        <v>192</v>
      </c>
      <c r="AL31">
        <v>163</v>
      </c>
      <c r="AM31" s="26">
        <v>7</v>
      </c>
    </row>
    <row r="32" spans="1:39">
      <c r="R32" s="20" t="s">
        <v>19</v>
      </c>
      <c r="S32" s="29">
        <v>63</v>
      </c>
      <c r="T32" s="21">
        <v>86</v>
      </c>
      <c r="U32" s="29">
        <v>54</v>
      </c>
      <c r="V32" s="21">
        <v>213</v>
      </c>
      <c r="W32">
        <v>169</v>
      </c>
      <c r="X32" s="26">
        <v>15</v>
      </c>
      <c r="AG32" s="20" t="s">
        <v>18</v>
      </c>
      <c r="AH32" s="29">
        <v>52</v>
      </c>
      <c r="AI32" s="21">
        <v>62</v>
      </c>
      <c r="AJ32" s="29">
        <v>37</v>
      </c>
      <c r="AK32" s="21">
        <v>186</v>
      </c>
      <c r="AL32">
        <v>156</v>
      </c>
      <c r="AM32" s="26">
        <v>5</v>
      </c>
    </row>
    <row r="33" spans="9:39">
      <c r="R33" s="20" t="s">
        <v>20</v>
      </c>
      <c r="S33" s="29">
        <v>52</v>
      </c>
      <c r="T33" s="21">
        <v>92</v>
      </c>
      <c r="U33" s="29">
        <v>71</v>
      </c>
      <c r="V33" s="21">
        <v>201</v>
      </c>
      <c r="W33">
        <v>158</v>
      </c>
      <c r="X33" s="26">
        <v>43</v>
      </c>
      <c r="AG33" s="20" t="s">
        <v>19</v>
      </c>
      <c r="AH33" s="29">
        <v>63</v>
      </c>
      <c r="AI33" s="21">
        <v>86</v>
      </c>
      <c r="AJ33" s="29">
        <v>54</v>
      </c>
      <c r="AK33" s="21">
        <v>213</v>
      </c>
      <c r="AL33">
        <v>169</v>
      </c>
      <c r="AM33" s="26">
        <v>15</v>
      </c>
    </row>
    <row r="34" spans="9:39">
      <c r="R34" s="20" t="s">
        <v>21</v>
      </c>
      <c r="S34" s="29">
        <v>77</v>
      </c>
      <c r="T34" s="21">
        <v>86</v>
      </c>
      <c r="U34" s="29">
        <v>39</v>
      </c>
      <c r="V34" s="21">
        <v>187</v>
      </c>
      <c r="W34">
        <v>143</v>
      </c>
      <c r="X34" s="26">
        <v>6</v>
      </c>
      <c r="AG34" s="20" t="s">
        <v>20</v>
      </c>
      <c r="AH34" s="29">
        <v>52</v>
      </c>
      <c r="AI34" s="21">
        <v>92</v>
      </c>
      <c r="AJ34" s="29">
        <v>71</v>
      </c>
      <c r="AK34" s="21">
        <v>201</v>
      </c>
      <c r="AL34">
        <v>158</v>
      </c>
      <c r="AM34" s="26">
        <v>43</v>
      </c>
    </row>
    <row r="35" spans="9:39">
      <c r="R35" s="20" t="s">
        <v>22</v>
      </c>
      <c r="S35" s="29">
        <v>48</v>
      </c>
      <c r="T35" s="21">
        <v>47</v>
      </c>
      <c r="U35" s="29">
        <v>40</v>
      </c>
      <c r="V35" s="21">
        <v>169</v>
      </c>
      <c r="W35">
        <v>126</v>
      </c>
      <c r="X35" s="26">
        <v>40</v>
      </c>
      <c r="AG35" s="20" t="s">
        <v>21</v>
      </c>
      <c r="AH35" s="29">
        <v>77</v>
      </c>
      <c r="AI35" s="21">
        <v>86</v>
      </c>
      <c r="AJ35" s="29">
        <v>39</v>
      </c>
      <c r="AK35" s="21">
        <v>187</v>
      </c>
      <c r="AL35">
        <v>143</v>
      </c>
      <c r="AM35" s="26">
        <v>6</v>
      </c>
    </row>
    <row r="36" spans="9:39">
      <c r="R36" s="20" t="s">
        <v>0</v>
      </c>
      <c r="S36" s="29">
        <v>75</v>
      </c>
      <c r="T36" s="21">
        <v>87</v>
      </c>
      <c r="U36" s="29">
        <v>51</v>
      </c>
      <c r="V36" s="21">
        <v>221</v>
      </c>
      <c r="W36">
        <v>157</v>
      </c>
      <c r="X36" s="26">
        <v>19</v>
      </c>
      <c r="AG36" s="20" t="s">
        <v>22</v>
      </c>
      <c r="AH36" s="29">
        <v>48</v>
      </c>
      <c r="AI36" s="21">
        <v>47</v>
      </c>
      <c r="AJ36" s="29">
        <v>40</v>
      </c>
      <c r="AK36" s="21">
        <v>169</v>
      </c>
      <c r="AL36">
        <v>126</v>
      </c>
      <c r="AM36" s="26">
        <v>40</v>
      </c>
    </row>
    <row r="37" spans="9:39">
      <c r="R37" s="20" t="s">
        <v>1</v>
      </c>
      <c r="S37" s="29">
        <v>65</v>
      </c>
      <c r="T37" s="21">
        <v>77</v>
      </c>
      <c r="U37" s="29">
        <v>42</v>
      </c>
      <c r="V37" s="21">
        <v>201</v>
      </c>
      <c r="W37">
        <v>162</v>
      </c>
      <c r="X37" s="26">
        <v>16</v>
      </c>
      <c r="AG37" s="20" t="s">
        <v>0</v>
      </c>
      <c r="AH37" s="29">
        <v>75</v>
      </c>
      <c r="AI37" s="21">
        <v>87</v>
      </c>
      <c r="AJ37" s="29">
        <v>51</v>
      </c>
      <c r="AK37" s="21">
        <v>221</v>
      </c>
      <c r="AL37">
        <v>157</v>
      </c>
      <c r="AM37" s="26">
        <v>19</v>
      </c>
    </row>
    <row r="38" spans="9:39">
      <c r="R38" s="20" t="s">
        <v>2</v>
      </c>
      <c r="S38" s="29">
        <v>39</v>
      </c>
      <c r="T38" s="21">
        <v>79</v>
      </c>
      <c r="U38" s="29">
        <v>59</v>
      </c>
      <c r="V38" s="21">
        <v>188</v>
      </c>
      <c r="W38">
        <v>145</v>
      </c>
      <c r="X38" s="26">
        <v>32</v>
      </c>
      <c r="AG38" s="20" t="s">
        <v>1</v>
      </c>
      <c r="AH38" s="29">
        <v>65</v>
      </c>
      <c r="AI38" s="21">
        <v>77</v>
      </c>
      <c r="AJ38" s="29">
        <v>42</v>
      </c>
      <c r="AK38" s="21">
        <v>201</v>
      </c>
      <c r="AL38">
        <v>162</v>
      </c>
      <c r="AM38" s="26">
        <v>16</v>
      </c>
    </row>
    <row r="39" spans="9:39">
      <c r="R39" s="20" t="s">
        <v>3</v>
      </c>
      <c r="S39" s="29">
        <v>50</v>
      </c>
      <c r="T39" s="21">
        <v>91</v>
      </c>
      <c r="U39" s="29">
        <v>70</v>
      </c>
      <c r="V39" s="21">
        <v>200</v>
      </c>
      <c r="W39">
        <v>157</v>
      </c>
      <c r="X39" s="26">
        <v>30</v>
      </c>
      <c r="AG39" s="20" t="s">
        <v>2</v>
      </c>
      <c r="AH39" s="29">
        <v>39</v>
      </c>
      <c r="AI39" s="21">
        <v>79</v>
      </c>
      <c r="AJ39" s="29">
        <v>59</v>
      </c>
      <c r="AK39" s="21">
        <v>188</v>
      </c>
      <c r="AL39">
        <v>145</v>
      </c>
      <c r="AM39" s="26">
        <v>32</v>
      </c>
    </row>
    <row r="40" spans="9:39">
      <c r="R40" s="20" t="s">
        <v>4</v>
      </c>
      <c r="S40" s="29">
        <v>70</v>
      </c>
      <c r="T40" s="21">
        <v>80</v>
      </c>
      <c r="U40" s="29">
        <v>39</v>
      </c>
      <c r="V40" s="21">
        <v>206</v>
      </c>
      <c r="W40">
        <v>156</v>
      </c>
      <c r="X40" s="26">
        <v>16</v>
      </c>
      <c r="AG40" s="20" t="s">
        <v>3</v>
      </c>
      <c r="AH40" s="29">
        <v>50</v>
      </c>
      <c r="AI40" s="21">
        <v>91</v>
      </c>
      <c r="AJ40" s="29">
        <v>70</v>
      </c>
      <c r="AK40" s="21">
        <v>200</v>
      </c>
      <c r="AL40">
        <v>157</v>
      </c>
      <c r="AM40" s="26">
        <v>30</v>
      </c>
    </row>
    <row r="41" spans="9:39" ht="19" thickBot="1">
      <c r="R41" s="20" t="s">
        <v>5</v>
      </c>
      <c r="S41" s="30">
        <v>65</v>
      </c>
      <c r="T41" s="24">
        <v>73</v>
      </c>
      <c r="U41" s="30">
        <v>37</v>
      </c>
      <c r="V41" s="24">
        <v>197</v>
      </c>
      <c r="W41" s="23">
        <v>157</v>
      </c>
      <c r="X41" s="27">
        <v>10</v>
      </c>
      <c r="AG41" s="20" t="s">
        <v>4</v>
      </c>
      <c r="AH41" s="29">
        <v>70</v>
      </c>
      <c r="AI41" s="21">
        <v>80</v>
      </c>
      <c r="AJ41" s="29">
        <v>39</v>
      </c>
      <c r="AK41" s="21">
        <v>206</v>
      </c>
      <c r="AL41">
        <v>156</v>
      </c>
      <c r="AM41" s="26">
        <v>16</v>
      </c>
    </row>
    <row r="42" spans="9:39" ht="19" thickBot="1">
      <c r="R42" s="22" t="s">
        <v>6</v>
      </c>
      <c r="S42" s="32">
        <v>49</v>
      </c>
      <c r="T42" s="31">
        <v>57</v>
      </c>
      <c r="U42">
        <v>35</v>
      </c>
      <c r="V42">
        <v>181</v>
      </c>
      <c r="W42">
        <v>137</v>
      </c>
      <c r="X42">
        <v>9</v>
      </c>
      <c r="AG42" s="20" t="s">
        <v>5</v>
      </c>
      <c r="AH42" s="30">
        <v>65</v>
      </c>
      <c r="AI42" s="24">
        <v>73</v>
      </c>
      <c r="AJ42" s="30">
        <v>37</v>
      </c>
      <c r="AK42" s="24">
        <v>197</v>
      </c>
      <c r="AL42" s="23">
        <v>157</v>
      </c>
      <c r="AM42" s="27">
        <v>10</v>
      </c>
    </row>
    <row r="43" spans="9:39">
      <c r="AG43" s="22" t="s">
        <v>6</v>
      </c>
      <c r="AH43" s="32">
        <v>49</v>
      </c>
      <c r="AI43" s="31">
        <v>57</v>
      </c>
      <c r="AJ43">
        <v>35</v>
      </c>
      <c r="AK43">
        <v>181</v>
      </c>
      <c r="AL43">
        <v>137</v>
      </c>
      <c r="AM43">
        <v>9</v>
      </c>
    </row>
    <row r="45" spans="9:39">
      <c r="J45" t="s">
        <v>24</v>
      </c>
      <c r="K45" t="s">
        <v>25</v>
      </c>
      <c r="L45" t="s">
        <v>27</v>
      </c>
      <c r="M45" t="s">
        <v>26</v>
      </c>
      <c r="N45" t="s">
        <v>28</v>
      </c>
      <c r="O45" t="s">
        <v>75</v>
      </c>
      <c r="P45" t="s">
        <v>41</v>
      </c>
      <c r="Q45" t="s">
        <v>42</v>
      </c>
    </row>
    <row r="46" spans="9:39">
      <c r="I46" s="3" t="s">
        <v>7</v>
      </c>
      <c r="J46">
        <v>0</v>
      </c>
      <c r="K46">
        <v>2330637</v>
      </c>
      <c r="L46">
        <v>0</v>
      </c>
      <c r="M46">
        <v>0</v>
      </c>
      <c r="N46">
        <v>0</v>
      </c>
      <c r="O46">
        <v>0</v>
      </c>
      <c r="P46">
        <f t="shared" ref="P46:P68" si="0">SUM(J46:O46)</f>
        <v>2330637</v>
      </c>
      <c r="Q46" s="4">
        <f t="shared" ref="Q46:Q68" si="1">P5</f>
        <v>2330637</v>
      </c>
    </row>
    <row r="47" spans="9:39">
      <c r="I47" s="3" t="s">
        <v>8</v>
      </c>
      <c r="J47">
        <v>1246849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1246849</v>
      </c>
      <c r="Q47" s="4">
        <f t="shared" si="1"/>
        <v>1246849</v>
      </c>
    </row>
    <row r="48" spans="9:39">
      <c r="I48" s="3" t="s">
        <v>9</v>
      </c>
      <c r="J48">
        <v>1434618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1434618</v>
      </c>
      <c r="Q48" s="4">
        <f t="shared" si="1"/>
        <v>1434618</v>
      </c>
    </row>
    <row r="49" spans="9:17">
      <c r="I49" s="3" t="s">
        <v>10</v>
      </c>
      <c r="J49">
        <v>1058984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1058984</v>
      </c>
      <c r="Q49" s="4">
        <f t="shared" si="1"/>
        <v>1058984</v>
      </c>
    </row>
    <row r="50" spans="9:17">
      <c r="I50" s="3" t="s">
        <v>11</v>
      </c>
      <c r="J50">
        <v>1309665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1309665</v>
      </c>
      <c r="Q50" s="4">
        <f t="shared" si="1"/>
        <v>1309665</v>
      </c>
    </row>
    <row r="51" spans="9:17">
      <c r="I51" s="3" t="s">
        <v>12</v>
      </c>
      <c r="J51">
        <v>781203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781203</v>
      </c>
      <c r="Q51" s="4">
        <f t="shared" si="1"/>
        <v>781203</v>
      </c>
    </row>
    <row r="52" spans="9:17">
      <c r="I52" s="3" t="s">
        <v>13</v>
      </c>
      <c r="J52">
        <v>997095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997095</v>
      </c>
      <c r="Q52" s="4">
        <f t="shared" si="1"/>
        <v>997095</v>
      </c>
    </row>
    <row r="53" spans="9:17">
      <c r="I53" s="3" t="s">
        <v>14</v>
      </c>
      <c r="J53">
        <v>0</v>
      </c>
      <c r="K53">
        <v>1115917</v>
      </c>
      <c r="L53">
        <v>0</v>
      </c>
      <c r="M53">
        <v>0</v>
      </c>
      <c r="N53">
        <v>0</v>
      </c>
      <c r="O53">
        <v>0</v>
      </c>
      <c r="P53">
        <f t="shared" si="0"/>
        <v>1115917</v>
      </c>
      <c r="Q53" s="4">
        <f t="shared" si="1"/>
        <v>1115917</v>
      </c>
    </row>
    <row r="54" spans="9:17">
      <c r="I54" s="3" t="s">
        <v>15</v>
      </c>
      <c r="J54">
        <v>1087254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0"/>
        <v>1087254</v>
      </c>
      <c r="Q54" s="4">
        <f t="shared" si="1"/>
        <v>1087254</v>
      </c>
    </row>
    <row r="55" spans="9:17">
      <c r="I55" s="3" t="s">
        <v>16</v>
      </c>
      <c r="J55">
        <v>486921.11688311864</v>
      </c>
      <c r="K55">
        <v>691119.88311688136</v>
      </c>
      <c r="L55">
        <v>0</v>
      </c>
      <c r="M55">
        <v>0</v>
      </c>
      <c r="N55">
        <v>0</v>
      </c>
      <c r="O55">
        <v>0</v>
      </c>
      <c r="P55">
        <f t="shared" si="0"/>
        <v>1178041</v>
      </c>
      <c r="Q55" s="4">
        <f t="shared" si="1"/>
        <v>1178041</v>
      </c>
    </row>
    <row r="56" spans="9:17">
      <c r="I56" s="3" t="s">
        <v>17</v>
      </c>
      <c r="J56">
        <v>1324328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1324328</v>
      </c>
      <c r="Q56" s="4">
        <f t="shared" si="1"/>
        <v>1324328</v>
      </c>
    </row>
    <row r="57" spans="9:17">
      <c r="I57" s="3" t="s">
        <v>18</v>
      </c>
      <c r="J57">
        <v>0</v>
      </c>
      <c r="K57">
        <v>877226</v>
      </c>
      <c r="L57">
        <v>0</v>
      </c>
      <c r="M57">
        <v>0</v>
      </c>
      <c r="N57">
        <v>0</v>
      </c>
      <c r="O57">
        <v>0</v>
      </c>
      <c r="P57">
        <f t="shared" si="0"/>
        <v>877226</v>
      </c>
      <c r="Q57" s="4">
        <f t="shared" si="1"/>
        <v>877226</v>
      </c>
    </row>
    <row r="58" spans="9:17">
      <c r="I58" s="3" t="s">
        <v>19</v>
      </c>
      <c r="J58">
        <v>1222206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1222206</v>
      </c>
      <c r="Q58" s="4">
        <f t="shared" si="1"/>
        <v>1222206</v>
      </c>
    </row>
    <row r="59" spans="9:17">
      <c r="I59" s="3" t="s">
        <v>20</v>
      </c>
      <c r="J59">
        <v>960545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960545</v>
      </c>
      <c r="Q59" s="4">
        <f t="shared" si="1"/>
        <v>960545</v>
      </c>
    </row>
    <row r="60" spans="9:17">
      <c r="I60" s="3" t="s">
        <v>21</v>
      </c>
      <c r="J60">
        <v>0</v>
      </c>
      <c r="K60">
        <v>0</v>
      </c>
      <c r="L60">
        <v>0</v>
      </c>
      <c r="M60">
        <v>0</v>
      </c>
      <c r="N60">
        <v>0</v>
      </c>
      <c r="O60">
        <v>590166</v>
      </c>
      <c r="P60">
        <f t="shared" si="0"/>
        <v>590166</v>
      </c>
      <c r="Q60" s="4">
        <f t="shared" si="1"/>
        <v>590166</v>
      </c>
    </row>
    <row r="61" spans="9:17">
      <c r="I61" s="3" t="s">
        <v>22</v>
      </c>
      <c r="J61">
        <v>0</v>
      </c>
      <c r="K61">
        <v>1584055</v>
      </c>
      <c r="L61">
        <v>0</v>
      </c>
      <c r="M61">
        <v>0</v>
      </c>
      <c r="N61">
        <v>0</v>
      </c>
      <c r="O61">
        <v>0</v>
      </c>
      <c r="P61">
        <f t="shared" si="0"/>
        <v>1584055</v>
      </c>
      <c r="Q61" s="4">
        <f t="shared" si="1"/>
        <v>1584055</v>
      </c>
    </row>
    <row r="62" spans="9:17">
      <c r="I62" s="3" t="s">
        <v>0</v>
      </c>
      <c r="J62">
        <v>335944.04347826098</v>
      </c>
      <c r="K62">
        <v>0</v>
      </c>
      <c r="L62">
        <v>0</v>
      </c>
      <c r="M62">
        <v>0</v>
      </c>
      <c r="N62">
        <v>0</v>
      </c>
      <c r="O62">
        <v>590853.95652173902</v>
      </c>
      <c r="P62">
        <f t="shared" si="0"/>
        <v>926798</v>
      </c>
      <c r="Q62" s="4">
        <f t="shared" si="1"/>
        <v>926798</v>
      </c>
    </row>
    <row r="63" spans="9:17">
      <c r="I63" s="3" t="s">
        <v>1</v>
      </c>
      <c r="J63">
        <v>1813436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1813436</v>
      </c>
      <c r="Q63" s="4">
        <f t="shared" si="1"/>
        <v>1813436</v>
      </c>
    </row>
    <row r="64" spans="9:17">
      <c r="I64" s="3" t="s">
        <v>2</v>
      </c>
      <c r="J64">
        <v>1302207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1302207</v>
      </c>
      <c r="Q64" s="4">
        <f t="shared" si="1"/>
        <v>1302207</v>
      </c>
    </row>
    <row r="65" spans="9:17">
      <c r="I65" s="3" t="s">
        <v>3</v>
      </c>
      <c r="J65">
        <v>730067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730067</v>
      </c>
      <c r="Q65" s="4">
        <f t="shared" si="1"/>
        <v>730067</v>
      </c>
    </row>
    <row r="66" spans="9:17">
      <c r="I66" s="3" t="s">
        <v>4</v>
      </c>
      <c r="J66">
        <v>0</v>
      </c>
      <c r="K66">
        <v>1167651</v>
      </c>
      <c r="L66">
        <v>0</v>
      </c>
      <c r="M66">
        <v>0</v>
      </c>
      <c r="N66">
        <v>0</v>
      </c>
      <c r="O66">
        <v>0</v>
      </c>
      <c r="P66">
        <f t="shared" si="0"/>
        <v>1167651</v>
      </c>
      <c r="Q66" s="4">
        <f t="shared" si="1"/>
        <v>1167651</v>
      </c>
    </row>
    <row r="67" spans="9:17">
      <c r="I67" s="3" t="s">
        <v>5</v>
      </c>
      <c r="J67">
        <v>0</v>
      </c>
      <c r="K67">
        <v>1376499</v>
      </c>
      <c r="L67">
        <v>0</v>
      </c>
      <c r="M67">
        <v>0</v>
      </c>
      <c r="N67">
        <v>0</v>
      </c>
      <c r="O67">
        <v>0</v>
      </c>
      <c r="P67">
        <f t="shared" si="0"/>
        <v>1376499</v>
      </c>
      <c r="Q67" s="4">
        <f t="shared" si="1"/>
        <v>1376499</v>
      </c>
    </row>
    <row r="68" spans="9:17">
      <c r="I68" s="3" t="s">
        <v>6</v>
      </c>
      <c r="J68">
        <v>0</v>
      </c>
      <c r="K68">
        <v>748012</v>
      </c>
      <c r="L68">
        <v>0</v>
      </c>
      <c r="M68">
        <v>0</v>
      </c>
      <c r="N68">
        <v>0</v>
      </c>
      <c r="O68">
        <v>0</v>
      </c>
      <c r="P68">
        <f t="shared" si="0"/>
        <v>748012</v>
      </c>
      <c r="Q68" s="4">
        <f t="shared" si="1"/>
        <v>748012</v>
      </c>
    </row>
    <row r="70" spans="9:17">
      <c r="I70" s="3" t="s">
        <v>39</v>
      </c>
      <c r="J70">
        <f t="shared" ref="J70:O70" si="2">SUM(J46:J68)</f>
        <v>16091322.160361379</v>
      </c>
      <c r="K70">
        <f t="shared" si="2"/>
        <v>9891116.8831168823</v>
      </c>
      <c r="L70">
        <f t="shared" si="2"/>
        <v>0</v>
      </c>
      <c r="M70">
        <f t="shared" si="2"/>
        <v>0</v>
      </c>
      <c r="N70">
        <f t="shared" si="2"/>
        <v>0</v>
      </c>
      <c r="O70">
        <f t="shared" si="2"/>
        <v>1181019.956521739</v>
      </c>
    </row>
    <row r="71" spans="9:17">
      <c r="I71" s="3" t="s">
        <v>74</v>
      </c>
      <c r="J71">
        <f>J28</f>
        <v>51500000</v>
      </c>
      <c r="K71">
        <f t="shared" ref="K71:O71" si="3">K28</f>
        <v>9871948.0519480519</v>
      </c>
      <c r="L71">
        <f t="shared" si="3"/>
        <v>22392467.532467529</v>
      </c>
      <c r="M71">
        <f t="shared" si="3"/>
        <v>17400000</v>
      </c>
      <c r="N71">
        <f t="shared" si="3"/>
        <v>2168452.7393136667</v>
      </c>
      <c r="O71">
        <f t="shared" si="3"/>
        <v>1181019.956521739</v>
      </c>
    </row>
    <row r="73" spans="9:17">
      <c r="I73" t="s">
        <v>40</v>
      </c>
      <c r="J73">
        <f>SUMPRODUCT(J5:O27,J46:O68)</f>
        <v>14152113.391134715</v>
      </c>
    </row>
  </sheetData>
  <mergeCells count="2">
    <mergeCell ref="B3:F3"/>
    <mergeCell ref="J3:O3"/>
  </mergeCells>
  <phoneticPr fontId="1" type="noConversion"/>
  <conditionalFormatting sqref="V8 R7:R9 R12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8A48-0E99-BE4D-B9D7-058733F4D0B0}">
  <dimension ref="A2:AC73"/>
  <sheetViews>
    <sheetView workbookViewId="0">
      <selection activeCell="K37" sqref="K37"/>
    </sheetView>
  </sheetViews>
  <sheetFormatPr baseColWidth="10" defaultColWidth="8.7109375" defaultRowHeight="18"/>
  <cols>
    <col min="10" max="10" width="12.7109375" bestFit="1" customWidth="1"/>
    <col min="11" max="11" width="9.140625" bestFit="1" customWidth="1"/>
    <col min="12" max="12" width="12.140625" bestFit="1" customWidth="1"/>
    <col min="13" max="13" width="10" bestFit="1" customWidth="1"/>
    <col min="14" max="14" width="11" bestFit="1" customWidth="1"/>
    <col min="15" max="15" width="9.140625" bestFit="1" customWidth="1"/>
    <col min="16" max="16" width="10" bestFit="1" customWidth="1"/>
    <col min="18" max="23" width="9.140625" bestFit="1" customWidth="1"/>
    <col min="28" max="28" width="12.7109375" bestFit="1" customWidth="1"/>
    <col min="29" max="29" width="9.7109375" bestFit="1" customWidth="1"/>
  </cols>
  <sheetData>
    <row r="2" spans="1:29">
      <c r="J2" t="s">
        <v>76</v>
      </c>
    </row>
    <row r="3" spans="1:29" ht="19" thickBot="1">
      <c r="B3" s="46" t="s">
        <v>67</v>
      </c>
      <c r="C3" s="46"/>
      <c r="D3" s="46"/>
      <c r="E3" s="46"/>
      <c r="F3" s="46"/>
      <c r="J3" s="46" t="s">
        <v>67</v>
      </c>
      <c r="K3" s="46"/>
      <c r="L3" s="46"/>
      <c r="M3" s="46"/>
      <c r="N3" s="46"/>
      <c r="AB3" t="s">
        <v>460</v>
      </c>
      <c r="AC3" t="s">
        <v>459</v>
      </c>
    </row>
    <row r="4" spans="1:29">
      <c r="A4" s="7" t="s">
        <v>29</v>
      </c>
      <c r="B4" s="5" t="s">
        <v>24</v>
      </c>
      <c r="C4" s="5" t="s">
        <v>25</v>
      </c>
      <c r="D4" s="5" t="s">
        <v>27</v>
      </c>
      <c r="E4" s="5" t="s">
        <v>26</v>
      </c>
      <c r="F4" s="5" t="s">
        <v>28</v>
      </c>
      <c r="G4" s="11" t="s">
        <v>31</v>
      </c>
      <c r="I4" s="7" t="s">
        <v>29</v>
      </c>
      <c r="J4" s="43" t="s">
        <v>461</v>
      </c>
      <c r="K4" s="43" t="s">
        <v>462</v>
      </c>
      <c r="L4" s="43" t="s">
        <v>463</v>
      </c>
      <c r="M4" s="43" t="s">
        <v>464</v>
      </c>
      <c r="N4" s="43" t="s">
        <v>465</v>
      </c>
      <c r="O4" s="11" t="s">
        <v>31</v>
      </c>
      <c r="AA4" t="s">
        <v>24</v>
      </c>
      <c r="AB4">
        <f>443411000000*0.385/51600000</f>
        <v>3308.3960271317828</v>
      </c>
      <c r="AC4">
        <f>1020877*0.385</f>
        <v>393037.64500000002</v>
      </c>
    </row>
    <row r="5" spans="1:29">
      <c r="A5" s="8" t="s">
        <v>7</v>
      </c>
      <c r="G5" s="12">
        <v>2330637</v>
      </c>
      <c r="I5" s="8" t="s">
        <v>7</v>
      </c>
      <c r="J5" s="44">
        <v>0.39427645289405877</v>
      </c>
      <c r="K5" s="44">
        <v>4.540464462290679E-2</v>
      </c>
      <c r="L5" s="44">
        <v>1.1886792451958679</v>
      </c>
      <c r="M5" s="44">
        <v>1.0275277599999999</v>
      </c>
      <c r="N5" s="44">
        <v>1</v>
      </c>
      <c r="O5" s="12">
        <v>2330637</v>
      </c>
      <c r="P5" s="44"/>
      <c r="AA5" t="s">
        <v>25</v>
      </c>
      <c r="AB5">
        <f>443411000000*0.0738/9891117</f>
        <v>3308.3959880365387</v>
      </c>
      <c r="AC5">
        <f>930588*0.0738</f>
        <v>68677.394400000005</v>
      </c>
    </row>
    <row r="6" spans="1:29">
      <c r="A6" s="8" t="s">
        <v>8</v>
      </c>
      <c r="G6" s="12">
        <v>1246849</v>
      </c>
      <c r="I6" s="8" t="s">
        <v>8</v>
      </c>
      <c r="J6" s="44">
        <v>0.19019481999999999</v>
      </c>
      <c r="K6" s="44">
        <v>0.21561762215083699</v>
      </c>
      <c r="L6" s="44">
        <v>1.2452830187966193</v>
      </c>
      <c r="M6" s="44">
        <v>1.3501084132667192</v>
      </c>
      <c r="N6" s="44">
        <v>1.3518518545994063</v>
      </c>
      <c r="O6" s="12">
        <v>1246849</v>
      </c>
      <c r="P6" s="44"/>
      <c r="AA6" t="s">
        <v>27</v>
      </c>
      <c r="AB6">
        <f>443411000000*0.1674/22435948.05</f>
        <v>3308.3960274190417</v>
      </c>
      <c r="AC6">
        <f>11796548*0.1674</f>
        <v>1974742.1351999999</v>
      </c>
    </row>
    <row r="7" spans="1:29">
      <c r="A7" s="8" t="s">
        <v>9</v>
      </c>
      <c r="G7" s="12">
        <v>1434618</v>
      </c>
      <c r="I7" s="8" t="s">
        <v>9</v>
      </c>
      <c r="J7" s="44">
        <v>0.67999073821904066</v>
      </c>
      <c r="K7" s="44">
        <v>0.44965993354748818</v>
      </c>
      <c r="L7" s="44">
        <v>1</v>
      </c>
      <c r="M7" s="44">
        <v>1.4630116257571082</v>
      </c>
      <c r="N7" s="44">
        <v>1.5185185212660732</v>
      </c>
      <c r="O7" s="12">
        <v>1434618</v>
      </c>
      <c r="P7" s="44"/>
      <c r="Q7" t="s">
        <v>36</v>
      </c>
      <c r="AA7" t="s">
        <v>26</v>
      </c>
      <c r="AB7">
        <f>443411000000*0.3322/17400000</f>
        <v>8465.5824252873572</v>
      </c>
      <c r="AC7">
        <f>226724*0.3322</f>
        <v>75317.712799999994</v>
      </c>
    </row>
    <row r="8" spans="1:29">
      <c r="A8" s="8" t="s">
        <v>10</v>
      </c>
      <c r="G8" s="12">
        <v>1058984</v>
      </c>
      <c r="I8" s="8" t="s">
        <v>10</v>
      </c>
      <c r="J8" s="44">
        <v>0.41468461600178957</v>
      </c>
      <c r="K8" s="44">
        <v>0.49221329630819372</v>
      </c>
      <c r="L8" s="44">
        <v>1.3962264152052593</v>
      </c>
      <c r="M8" s="44">
        <v>1.511398721952343</v>
      </c>
      <c r="N8" s="44">
        <v>1.5555555555555554</v>
      </c>
      <c r="O8" s="12">
        <v>1058984</v>
      </c>
      <c r="P8" s="44"/>
      <c r="U8" t="s">
        <v>68</v>
      </c>
      <c r="AA8" t="s">
        <v>28</v>
      </c>
      <c r="AB8">
        <f>443411000000*0.0414/2168452.74</f>
        <v>8465.5824226079276</v>
      </c>
      <c r="AC8">
        <f>520547*0.0414</f>
        <v>21550.645799999998</v>
      </c>
    </row>
    <row r="9" spans="1:29">
      <c r="A9" s="8" t="s">
        <v>11</v>
      </c>
      <c r="G9" s="12">
        <v>1309665</v>
      </c>
      <c r="I9" s="8" t="s">
        <v>11</v>
      </c>
      <c r="J9" s="44">
        <v>0.59835808533392998</v>
      </c>
      <c r="K9" s="44">
        <v>0.9177455033705737</v>
      </c>
      <c r="L9" s="44">
        <v>2</v>
      </c>
      <c r="M9" s="44">
        <v>1.6565600105380462</v>
      </c>
      <c r="N9" s="44">
        <v>1.7222222222222219</v>
      </c>
      <c r="O9" s="12">
        <v>1309665</v>
      </c>
      <c r="P9" s="44"/>
      <c r="Q9" t="s">
        <v>37</v>
      </c>
    </row>
    <row r="10" spans="1:29">
      <c r="A10" s="8" t="s">
        <v>12</v>
      </c>
      <c r="G10" s="12">
        <v>781203</v>
      </c>
      <c r="I10" s="8" t="s">
        <v>12</v>
      </c>
      <c r="J10" s="44">
        <v>0.72080706488868995</v>
      </c>
      <c r="K10" s="44">
        <v>1.0241282</v>
      </c>
      <c r="L10" s="44">
        <v>1.9056603776120209</v>
      </c>
      <c r="M10" s="44">
        <v>1.7372051828285939</v>
      </c>
      <c r="N10" s="44">
        <v>1.833333333333333</v>
      </c>
      <c r="O10" s="12">
        <v>781203</v>
      </c>
      <c r="P10" s="44"/>
    </row>
    <row r="11" spans="1:29">
      <c r="A11" s="8" t="s">
        <v>13</v>
      </c>
      <c r="G11" s="12">
        <v>997095</v>
      </c>
      <c r="I11" s="8" t="s">
        <v>13</v>
      </c>
      <c r="J11" s="44">
        <v>0.59835808533392998</v>
      </c>
      <c r="K11" s="44">
        <v>0.89646858523277517</v>
      </c>
      <c r="L11" s="44">
        <v>1.9811320756063862</v>
      </c>
      <c r="M11" s="44">
        <v>1.6404309904381251</v>
      </c>
      <c r="N11" s="44">
        <v>1.7222222222222219</v>
      </c>
      <c r="O11" s="12">
        <v>997095</v>
      </c>
      <c r="P11" s="44"/>
    </row>
    <row r="12" spans="1:29">
      <c r="A12" s="8" t="s">
        <v>14</v>
      </c>
      <c r="G12" s="12">
        <v>1115917</v>
      </c>
      <c r="I12" s="8" t="s">
        <v>14</v>
      </c>
      <c r="J12" s="44">
        <v>0.88407237111309955</v>
      </c>
      <c r="K12" s="44">
        <v>0.51348974093110067</v>
      </c>
      <c r="L12" s="44">
        <v>1.2075471695894819</v>
      </c>
      <c r="M12" s="44">
        <v>1.6404309904381251</v>
      </c>
      <c r="N12" s="44">
        <v>1.7222222222222219</v>
      </c>
      <c r="O12" s="12">
        <v>1115917</v>
      </c>
      <c r="P12" s="44"/>
      <c r="Q12" t="s">
        <v>431</v>
      </c>
    </row>
    <row r="13" spans="1:29">
      <c r="A13" s="8" t="s">
        <v>15</v>
      </c>
      <c r="G13" s="12">
        <v>1087254</v>
      </c>
      <c r="I13" s="8" t="s">
        <v>15</v>
      </c>
      <c r="J13" s="44">
        <v>0.25141930977738014</v>
      </c>
      <c r="K13" s="44">
        <v>0.53476665906889931</v>
      </c>
      <c r="L13" s="44">
        <v>1.4339622639924872</v>
      </c>
      <c r="M13" s="44">
        <v>1.382366453466561</v>
      </c>
      <c r="N13" s="44">
        <v>1.4074074101549621</v>
      </c>
      <c r="O13" s="12">
        <v>1087254</v>
      </c>
      <c r="P13" s="44"/>
      <c r="Q13" t="s">
        <v>432</v>
      </c>
    </row>
    <row r="14" spans="1:29">
      <c r="A14" s="8" t="s">
        <v>16</v>
      </c>
      <c r="G14" s="12">
        <v>1178041</v>
      </c>
      <c r="I14" s="8" t="s">
        <v>16</v>
      </c>
      <c r="J14" s="44">
        <v>1.0677458404452398</v>
      </c>
      <c r="K14" s="44">
        <v>0.74753252584264351</v>
      </c>
      <c r="L14" s="44">
        <v>1.2641509431902331</v>
      </c>
      <c r="M14" s="44">
        <v>1.801721299123749</v>
      </c>
      <c r="N14" s="44">
        <v>1.8888888888888884</v>
      </c>
      <c r="O14" s="12">
        <v>1178041</v>
      </c>
      <c r="P14" s="44"/>
    </row>
    <row r="15" spans="1:29">
      <c r="A15" s="8" t="s">
        <v>17</v>
      </c>
      <c r="G15" s="12">
        <v>1324328</v>
      </c>
      <c r="I15" s="8" t="s">
        <v>17</v>
      </c>
      <c r="J15" s="44">
        <v>0.80243971777380096</v>
      </c>
      <c r="K15" s="44">
        <v>0.5773195483147131</v>
      </c>
      <c r="L15" s="44">
        <v>1.1132075472015026</v>
      </c>
      <c r="M15" s="44">
        <v>1.5597858181475774</v>
      </c>
      <c r="N15" s="44">
        <v>1.8888888888888884</v>
      </c>
      <c r="O15" s="12">
        <v>1324328</v>
      </c>
      <c r="P15" s="44"/>
      <c r="Q15" t="s">
        <v>69</v>
      </c>
    </row>
    <row r="16" spans="1:29">
      <c r="A16" s="8" t="s">
        <v>18</v>
      </c>
      <c r="G16" s="12">
        <v>877226</v>
      </c>
      <c r="I16" s="8" t="s">
        <v>18</v>
      </c>
      <c r="J16" s="44">
        <v>0.67999073821904066</v>
      </c>
      <c r="K16" s="44">
        <v>0.34327723691806178</v>
      </c>
      <c r="L16" s="44">
        <v>1.2075471695894819</v>
      </c>
      <c r="M16" s="44">
        <v>1.4630116257571082</v>
      </c>
      <c r="N16" s="44">
        <v>1.7592592606330366</v>
      </c>
      <c r="O16" s="12">
        <v>877226</v>
      </c>
      <c r="P16" s="44"/>
      <c r="Q16" t="s">
        <v>70</v>
      </c>
    </row>
    <row r="17" spans="1:24">
      <c r="A17" s="8" t="s">
        <v>19</v>
      </c>
      <c r="G17" s="12">
        <v>1222206</v>
      </c>
      <c r="I17" s="8" t="s">
        <v>19</v>
      </c>
      <c r="J17" s="44">
        <v>0.90448053422083041</v>
      </c>
      <c r="K17" s="44">
        <v>0.85391569598696138</v>
      </c>
      <c r="L17" s="44">
        <v>1.5283018868003757</v>
      </c>
      <c r="M17" s="44">
        <v>1.8984954915142174</v>
      </c>
      <c r="N17" s="44">
        <v>2</v>
      </c>
      <c r="O17" s="12">
        <v>1222206</v>
      </c>
      <c r="P17" s="44"/>
      <c r="Q17" t="s">
        <v>71</v>
      </c>
    </row>
    <row r="18" spans="1:24" ht="19" thickBot="1">
      <c r="A18" s="8" t="s">
        <v>20</v>
      </c>
      <c r="G18" s="12">
        <v>960545</v>
      </c>
      <c r="I18" s="8" t="s">
        <v>20</v>
      </c>
      <c r="J18" s="44">
        <v>0.67999073821904066</v>
      </c>
      <c r="K18" s="44">
        <v>0.98157531075418603</v>
      </c>
      <c r="L18" s="44">
        <v>1.8490566040112695</v>
      </c>
      <c r="M18" s="44">
        <v>1.7049471067332802</v>
      </c>
      <c r="N18" s="44">
        <v>1.7962962990438505</v>
      </c>
      <c r="O18" s="12">
        <v>960545</v>
      </c>
      <c r="P18" s="44"/>
      <c r="Q18" t="s">
        <v>72</v>
      </c>
      <c r="R18">
        <f>1348/3</f>
        <v>449.33333333333331</v>
      </c>
      <c r="T18" t="s">
        <v>73</v>
      </c>
      <c r="X18">
        <f>1000</f>
        <v>1000</v>
      </c>
    </row>
    <row r="19" spans="1:24" ht="19" thickBot="1">
      <c r="A19" s="8" t="s">
        <v>21</v>
      </c>
      <c r="G19" s="12">
        <v>590166</v>
      </c>
      <c r="I19" s="8" t="s">
        <v>21</v>
      </c>
      <c r="J19" s="44">
        <v>1.1901948199999999</v>
      </c>
      <c r="K19" s="44">
        <v>0.85391569598696138</v>
      </c>
      <c r="L19" s="44">
        <v>1.2452830187966193</v>
      </c>
      <c r="M19" s="44">
        <v>1.4791406458570298</v>
      </c>
      <c r="N19" s="44">
        <v>1.5185185212660732</v>
      </c>
      <c r="O19" s="12">
        <v>590166</v>
      </c>
      <c r="P19" s="44"/>
      <c r="R19" s="28" t="s">
        <v>24</v>
      </c>
      <c r="S19" s="19" t="s">
        <v>25</v>
      </c>
      <c r="T19" s="28" t="s">
        <v>27</v>
      </c>
      <c r="U19" s="19" t="s">
        <v>26</v>
      </c>
      <c r="V19" s="16" t="s">
        <v>28</v>
      </c>
      <c r="W19" s="25" t="s">
        <v>66</v>
      </c>
    </row>
    <row r="20" spans="1:24">
      <c r="A20" s="8" t="s">
        <v>22</v>
      </c>
      <c r="G20" s="12">
        <v>1584055</v>
      </c>
      <c r="I20" s="8" t="s">
        <v>22</v>
      </c>
      <c r="J20" s="44">
        <v>0.59835808533392998</v>
      </c>
      <c r="K20" s="44">
        <v>2.4128199999999999E-2</v>
      </c>
      <c r="L20" s="44">
        <v>1.2641509431902331</v>
      </c>
      <c r="M20" s="44">
        <v>1.1888180686856233</v>
      </c>
      <c r="N20" s="44">
        <v>1.2037037050774808</v>
      </c>
      <c r="O20" s="12">
        <v>1584055</v>
      </c>
      <c r="P20" s="44"/>
      <c r="Q20" s="18" t="s">
        <v>7</v>
      </c>
      <c r="R20" s="29">
        <v>38</v>
      </c>
      <c r="S20" s="21">
        <v>48</v>
      </c>
      <c r="T20" s="29">
        <v>36</v>
      </c>
      <c r="U20" s="21">
        <v>159</v>
      </c>
      <c r="V20">
        <v>115</v>
      </c>
      <c r="W20" s="26">
        <v>45</v>
      </c>
    </row>
    <row r="21" spans="1:24">
      <c r="A21" s="8" t="s">
        <v>0</v>
      </c>
      <c r="G21" s="12">
        <v>926798</v>
      </c>
      <c r="I21" s="8" t="s">
        <v>0</v>
      </c>
      <c r="J21" s="44">
        <v>1.1493784933303508</v>
      </c>
      <c r="K21" s="44">
        <v>0.87519214060986816</v>
      </c>
      <c r="L21" s="44">
        <v>1.4716981131996245</v>
      </c>
      <c r="M21" s="44">
        <v>2.0275277599999999</v>
      </c>
      <c r="N21" s="44">
        <v>1.7777777777777772</v>
      </c>
      <c r="O21" s="12">
        <v>926798</v>
      </c>
      <c r="P21" s="44"/>
      <c r="Q21" s="20" t="s">
        <v>8</v>
      </c>
      <c r="R21" s="29">
        <v>28</v>
      </c>
      <c r="S21" s="21">
        <v>56</v>
      </c>
      <c r="T21" s="29">
        <v>39</v>
      </c>
      <c r="U21" s="21">
        <v>179</v>
      </c>
      <c r="V21">
        <v>134</v>
      </c>
      <c r="W21" s="26">
        <v>31</v>
      </c>
    </row>
    <row r="22" spans="1:24">
      <c r="A22" s="8" t="s">
        <v>1</v>
      </c>
      <c r="G22" s="12">
        <v>1813436</v>
      </c>
      <c r="I22" s="8" t="s">
        <v>1</v>
      </c>
      <c r="J22" s="44">
        <v>0.94529686089047971</v>
      </c>
      <c r="K22" s="44">
        <v>0.66242627383612396</v>
      </c>
      <c r="L22" s="44">
        <v>1.3018867923973705</v>
      </c>
      <c r="M22" s="44">
        <v>1.7049471067332802</v>
      </c>
      <c r="N22" s="44">
        <v>1.8703703717441478</v>
      </c>
      <c r="O22" s="12">
        <v>1813436</v>
      </c>
      <c r="P22" s="44"/>
      <c r="Q22" s="20" t="s">
        <v>9</v>
      </c>
      <c r="R22" s="29">
        <v>52</v>
      </c>
      <c r="S22" s="21">
        <v>67</v>
      </c>
      <c r="T22" s="29">
        <v>26</v>
      </c>
      <c r="U22" s="21">
        <v>186</v>
      </c>
      <c r="V22">
        <v>143</v>
      </c>
      <c r="W22" s="26">
        <v>15</v>
      </c>
    </row>
    <row r="23" spans="1:24">
      <c r="A23" s="8" t="s">
        <v>2</v>
      </c>
      <c r="G23" s="12">
        <v>1302207</v>
      </c>
      <c r="I23" s="8" t="s">
        <v>2</v>
      </c>
      <c r="J23" s="44">
        <v>0.41468461600178957</v>
      </c>
      <c r="K23" s="44">
        <v>0.70497916308193775</v>
      </c>
      <c r="L23" s="44">
        <v>1.6226415096082643</v>
      </c>
      <c r="M23" s="44">
        <v>1.4952697018524219</v>
      </c>
      <c r="N23" s="44">
        <v>1.5555555555555554</v>
      </c>
      <c r="O23" s="12">
        <v>1302207</v>
      </c>
      <c r="P23" s="44"/>
      <c r="Q23" s="20" t="s">
        <v>10</v>
      </c>
      <c r="R23" s="29">
        <v>39</v>
      </c>
      <c r="S23" s="21">
        <v>69</v>
      </c>
      <c r="T23" s="29">
        <v>47</v>
      </c>
      <c r="U23" s="21">
        <v>189</v>
      </c>
      <c r="V23">
        <v>145</v>
      </c>
      <c r="W23" s="26">
        <v>24</v>
      </c>
    </row>
    <row r="24" spans="1:24">
      <c r="A24" s="8" t="s">
        <v>3</v>
      </c>
      <c r="G24" s="12">
        <v>730067</v>
      </c>
      <c r="I24" s="8" t="s">
        <v>3</v>
      </c>
      <c r="J24" s="44">
        <v>0.63917441200357916</v>
      </c>
      <c r="K24" s="44">
        <v>0.9602983926163875</v>
      </c>
      <c r="L24" s="44">
        <v>1.8301886791977462</v>
      </c>
      <c r="M24" s="44">
        <v>1.6888180866333595</v>
      </c>
      <c r="N24" s="44">
        <v>1.7777777777777772</v>
      </c>
      <c r="O24" s="12">
        <v>730067</v>
      </c>
      <c r="P24" s="44"/>
      <c r="Q24" s="20" t="s">
        <v>11</v>
      </c>
      <c r="R24" s="29">
        <v>48</v>
      </c>
      <c r="S24" s="21">
        <v>89</v>
      </c>
      <c r="T24" s="29">
        <v>79</v>
      </c>
      <c r="U24" s="21">
        <v>198</v>
      </c>
      <c r="V24">
        <v>154</v>
      </c>
      <c r="W24" s="26">
        <v>18</v>
      </c>
    </row>
    <row r="25" spans="1:24">
      <c r="A25" s="8" t="s">
        <v>4</v>
      </c>
      <c r="G25" s="12">
        <v>1167651</v>
      </c>
      <c r="I25" s="8" t="s">
        <v>4</v>
      </c>
      <c r="J25" s="44">
        <v>1.0473376768833214</v>
      </c>
      <c r="K25" s="44">
        <v>0.72625608121973628</v>
      </c>
      <c r="L25" s="44">
        <v>1.2452830187966193</v>
      </c>
      <c r="M25" s="44">
        <v>1.7855922790238283</v>
      </c>
      <c r="N25" s="44">
        <v>1.7592592606330366</v>
      </c>
      <c r="O25" s="12">
        <v>1167651</v>
      </c>
      <c r="P25" s="44"/>
      <c r="Q25" s="20" t="s">
        <v>12</v>
      </c>
      <c r="R25" s="29">
        <v>54</v>
      </c>
      <c r="S25" s="21">
        <v>94</v>
      </c>
      <c r="T25" s="29">
        <v>74</v>
      </c>
      <c r="U25" s="21">
        <v>203</v>
      </c>
      <c r="V25">
        <v>160</v>
      </c>
      <c r="W25" s="26">
        <v>29</v>
      </c>
    </row>
    <row r="26" spans="1:24">
      <c r="A26" s="8" t="s">
        <v>5</v>
      </c>
      <c r="G26" s="12">
        <v>1376499</v>
      </c>
      <c r="I26" s="8" t="s">
        <v>5</v>
      </c>
      <c r="J26" s="44">
        <v>0.94529686089047971</v>
      </c>
      <c r="K26" s="44">
        <v>0.5773195483147131</v>
      </c>
      <c r="L26" s="44">
        <v>1.2075471695894819</v>
      </c>
      <c r="M26" s="44">
        <v>1.6404309904381251</v>
      </c>
      <c r="N26" s="44">
        <v>1.7777777777777772</v>
      </c>
      <c r="O26" s="12">
        <v>1376499</v>
      </c>
      <c r="P26" s="44"/>
      <c r="Q26" s="20" t="s">
        <v>13</v>
      </c>
      <c r="R26" s="29">
        <v>48</v>
      </c>
      <c r="S26" s="21">
        <v>88</v>
      </c>
      <c r="T26" s="29">
        <v>78</v>
      </c>
      <c r="U26" s="21">
        <v>197</v>
      </c>
      <c r="V26">
        <v>154</v>
      </c>
      <c r="W26" s="26">
        <v>30</v>
      </c>
    </row>
    <row r="27" spans="1:24">
      <c r="A27" s="8" t="s">
        <v>6</v>
      </c>
      <c r="G27" s="12">
        <v>748012</v>
      </c>
      <c r="I27" s="8" t="s">
        <v>6</v>
      </c>
      <c r="J27" s="44">
        <v>0.61876624844166073</v>
      </c>
      <c r="K27" s="44">
        <v>0.236894066773744</v>
      </c>
      <c r="L27" s="44">
        <v>1.169811320802254</v>
      </c>
      <c r="M27" s="44">
        <v>1.382366453466561</v>
      </c>
      <c r="N27" s="44">
        <v>1.4074074101549621</v>
      </c>
      <c r="O27" s="12">
        <v>748012</v>
      </c>
      <c r="P27" s="44"/>
      <c r="Q27" s="20" t="s">
        <v>14</v>
      </c>
      <c r="R27" s="29">
        <v>62</v>
      </c>
      <c r="S27" s="21">
        <v>70</v>
      </c>
      <c r="T27" s="29">
        <v>37</v>
      </c>
      <c r="U27" s="21">
        <v>197</v>
      </c>
      <c r="V27">
        <v>154</v>
      </c>
      <c r="W27" s="26">
        <v>8</v>
      </c>
    </row>
    <row r="28" spans="1:24">
      <c r="A28" s="15"/>
      <c r="B28" s="16"/>
      <c r="C28" s="16"/>
      <c r="D28" s="16"/>
      <c r="E28" s="16"/>
      <c r="F28" s="16"/>
      <c r="G28" s="17"/>
      <c r="I28" s="15" t="s">
        <v>74</v>
      </c>
      <c r="J28" s="33">
        <v>51500000</v>
      </c>
      <c r="K28" s="33">
        <f>51500000*7.38/38.5</f>
        <v>9871948.0519480519</v>
      </c>
      <c r="L28" s="33">
        <f>51600000/38.5*16.74</f>
        <v>22435948.051948048</v>
      </c>
      <c r="M28">
        <f>580000*30</f>
        <v>17400000</v>
      </c>
      <c r="N28" s="33">
        <f>17400000*4.14/33.22</f>
        <v>2168452.7393136667</v>
      </c>
      <c r="Q28" s="20" t="s">
        <v>15</v>
      </c>
      <c r="R28" s="29">
        <v>31</v>
      </c>
      <c r="S28" s="21">
        <v>71</v>
      </c>
      <c r="T28" s="29">
        <v>49</v>
      </c>
      <c r="U28" s="21">
        <v>181</v>
      </c>
      <c r="V28">
        <v>137</v>
      </c>
      <c r="W28" s="26">
        <v>24</v>
      </c>
    </row>
    <row r="29" spans="1:24">
      <c r="A29" s="9"/>
      <c r="G29" s="13"/>
      <c r="I29" s="9"/>
      <c r="O29" s="13"/>
      <c r="Q29" s="20" t="s">
        <v>16</v>
      </c>
      <c r="R29" s="29">
        <v>71</v>
      </c>
      <c r="S29" s="21">
        <v>81</v>
      </c>
      <c r="T29" s="29">
        <v>40</v>
      </c>
      <c r="U29" s="21">
        <v>207</v>
      </c>
      <c r="V29">
        <v>163</v>
      </c>
      <c r="W29" s="26">
        <v>24</v>
      </c>
    </row>
    <row r="30" spans="1:24" ht="19" thickBot="1">
      <c r="A30" s="10"/>
      <c r="B30" s="6"/>
      <c r="C30" s="6"/>
      <c r="D30" s="6"/>
      <c r="E30" s="6"/>
      <c r="F30" s="6"/>
      <c r="G30" s="14"/>
      <c r="I30" s="10"/>
      <c r="J30" s="6"/>
      <c r="K30" s="6"/>
      <c r="L30" s="6"/>
      <c r="M30" s="6"/>
      <c r="N30" s="6"/>
      <c r="O30" s="14"/>
      <c r="Q30" s="20" t="s">
        <v>17</v>
      </c>
      <c r="R30" s="29">
        <v>58</v>
      </c>
      <c r="S30" s="21">
        <v>73</v>
      </c>
      <c r="T30" s="29">
        <v>32</v>
      </c>
      <c r="U30" s="21">
        <v>192</v>
      </c>
      <c r="V30">
        <v>163</v>
      </c>
      <c r="W30" s="26">
        <v>7</v>
      </c>
    </row>
    <row r="31" spans="1:24">
      <c r="Q31" s="20" t="s">
        <v>18</v>
      </c>
      <c r="R31" s="29">
        <v>52</v>
      </c>
      <c r="S31" s="21">
        <v>62</v>
      </c>
      <c r="T31" s="29">
        <v>37</v>
      </c>
      <c r="U31" s="21">
        <v>186</v>
      </c>
      <c r="V31">
        <v>156</v>
      </c>
      <c r="W31" s="26">
        <v>5</v>
      </c>
    </row>
    <row r="32" spans="1:24">
      <c r="Q32" s="20" t="s">
        <v>19</v>
      </c>
      <c r="R32" s="29">
        <v>63</v>
      </c>
      <c r="S32" s="21">
        <v>86</v>
      </c>
      <c r="T32" s="29">
        <v>54</v>
      </c>
      <c r="U32" s="21">
        <v>213</v>
      </c>
      <c r="V32">
        <v>169</v>
      </c>
      <c r="W32" s="26">
        <v>15</v>
      </c>
    </row>
    <row r="33" spans="9:23">
      <c r="Q33" s="20" t="s">
        <v>20</v>
      </c>
      <c r="R33" s="29">
        <v>52</v>
      </c>
      <c r="S33" s="21">
        <v>92</v>
      </c>
      <c r="T33" s="29">
        <v>71</v>
      </c>
      <c r="U33" s="21">
        <v>201</v>
      </c>
      <c r="V33">
        <v>158</v>
      </c>
      <c r="W33" s="26">
        <v>43</v>
      </c>
    </row>
    <row r="34" spans="9:23">
      <c r="Q34" s="20" t="s">
        <v>21</v>
      </c>
      <c r="R34" s="29">
        <v>77</v>
      </c>
      <c r="S34" s="21">
        <v>86</v>
      </c>
      <c r="T34" s="29">
        <v>39</v>
      </c>
      <c r="U34" s="21">
        <v>187</v>
      </c>
      <c r="V34">
        <v>143</v>
      </c>
      <c r="W34" s="26">
        <v>6</v>
      </c>
    </row>
    <row r="35" spans="9:23">
      <c r="Q35" s="20" t="s">
        <v>22</v>
      </c>
      <c r="R35" s="29">
        <v>48</v>
      </c>
      <c r="S35" s="21">
        <v>47</v>
      </c>
      <c r="T35" s="29">
        <v>40</v>
      </c>
      <c r="U35" s="21">
        <v>169</v>
      </c>
      <c r="V35">
        <v>126</v>
      </c>
      <c r="W35" s="26">
        <v>40</v>
      </c>
    </row>
    <row r="36" spans="9:23">
      <c r="Q36" s="20" t="s">
        <v>0</v>
      </c>
      <c r="R36" s="29">
        <v>75</v>
      </c>
      <c r="S36" s="21">
        <v>87</v>
      </c>
      <c r="T36" s="29">
        <v>51</v>
      </c>
      <c r="U36" s="21">
        <v>221</v>
      </c>
      <c r="V36">
        <v>157</v>
      </c>
      <c r="W36" s="26">
        <v>19</v>
      </c>
    </row>
    <row r="37" spans="9:23">
      <c r="Q37" s="20" t="s">
        <v>1</v>
      </c>
      <c r="R37" s="29">
        <v>65</v>
      </c>
      <c r="S37" s="21">
        <v>77</v>
      </c>
      <c r="T37" s="29">
        <v>42</v>
      </c>
      <c r="U37" s="21">
        <v>201</v>
      </c>
      <c r="V37">
        <v>162</v>
      </c>
      <c r="W37" s="26">
        <v>16</v>
      </c>
    </row>
    <row r="38" spans="9:23">
      <c r="Q38" s="20" t="s">
        <v>2</v>
      </c>
      <c r="R38" s="29">
        <v>39</v>
      </c>
      <c r="S38" s="21">
        <v>79</v>
      </c>
      <c r="T38" s="29">
        <v>59</v>
      </c>
      <c r="U38" s="21">
        <v>188</v>
      </c>
      <c r="V38">
        <v>145</v>
      </c>
      <c r="W38" s="26">
        <v>32</v>
      </c>
    </row>
    <row r="39" spans="9:23">
      <c r="Q39" s="20" t="s">
        <v>3</v>
      </c>
      <c r="R39" s="29">
        <v>50</v>
      </c>
      <c r="S39" s="21">
        <v>91</v>
      </c>
      <c r="T39" s="29">
        <v>70</v>
      </c>
      <c r="U39" s="21">
        <v>200</v>
      </c>
      <c r="V39">
        <v>157</v>
      </c>
      <c r="W39" s="26">
        <v>30</v>
      </c>
    </row>
    <row r="40" spans="9:23">
      <c r="Q40" s="20" t="s">
        <v>4</v>
      </c>
      <c r="R40" s="29">
        <v>70</v>
      </c>
      <c r="S40" s="21">
        <v>80</v>
      </c>
      <c r="T40" s="29">
        <v>39</v>
      </c>
      <c r="U40" s="21">
        <v>206</v>
      </c>
      <c r="V40">
        <v>156</v>
      </c>
      <c r="W40" s="26">
        <v>16</v>
      </c>
    </row>
    <row r="41" spans="9:23" ht="19" thickBot="1">
      <c r="Q41" s="20" t="s">
        <v>5</v>
      </c>
      <c r="R41" s="30">
        <v>65</v>
      </c>
      <c r="S41" s="24">
        <v>73</v>
      </c>
      <c r="T41" s="30">
        <v>37</v>
      </c>
      <c r="U41" s="24">
        <v>197</v>
      </c>
      <c r="V41" s="23">
        <v>157</v>
      </c>
      <c r="W41" s="27">
        <v>10</v>
      </c>
    </row>
    <row r="42" spans="9:23">
      <c r="Q42" s="22" t="s">
        <v>6</v>
      </c>
      <c r="R42" s="32">
        <v>49</v>
      </c>
      <c r="S42" s="31">
        <v>57</v>
      </c>
      <c r="T42">
        <v>35</v>
      </c>
      <c r="U42">
        <v>181</v>
      </c>
      <c r="V42">
        <v>137</v>
      </c>
      <c r="W42">
        <v>9</v>
      </c>
    </row>
    <row r="45" spans="9:23">
      <c r="J45" t="s">
        <v>24</v>
      </c>
      <c r="K45" t="s">
        <v>25</v>
      </c>
      <c r="L45" t="s">
        <v>27</v>
      </c>
      <c r="M45" t="s">
        <v>26</v>
      </c>
      <c r="N45" t="s">
        <v>28</v>
      </c>
      <c r="O45" t="s">
        <v>41</v>
      </c>
      <c r="P45" t="s">
        <v>42</v>
      </c>
    </row>
    <row r="46" spans="9:23">
      <c r="I46" s="3" t="s">
        <v>7</v>
      </c>
      <c r="J46">
        <v>0</v>
      </c>
      <c r="K46">
        <v>2330637</v>
      </c>
      <c r="L46">
        <v>0</v>
      </c>
      <c r="M46">
        <v>0</v>
      </c>
      <c r="N46">
        <v>0</v>
      </c>
      <c r="O46">
        <f t="shared" ref="O46:O68" si="0">SUM(J46:N46)</f>
        <v>2330637</v>
      </c>
      <c r="P46" s="4">
        <f t="shared" ref="P46:P68" si="1">O5</f>
        <v>2330637</v>
      </c>
    </row>
    <row r="47" spans="9:23">
      <c r="I47" s="3" t="s">
        <v>8</v>
      </c>
      <c r="J47">
        <v>1246849</v>
      </c>
      <c r="K47">
        <v>0</v>
      </c>
      <c r="L47">
        <v>0</v>
      </c>
      <c r="M47">
        <v>0</v>
      </c>
      <c r="N47">
        <v>0</v>
      </c>
      <c r="O47">
        <f t="shared" si="0"/>
        <v>1246849</v>
      </c>
      <c r="P47" s="4">
        <f t="shared" si="1"/>
        <v>1246849</v>
      </c>
    </row>
    <row r="48" spans="9:23">
      <c r="I48" s="3" t="s">
        <v>9</v>
      </c>
      <c r="J48">
        <v>1434618</v>
      </c>
      <c r="K48">
        <v>0</v>
      </c>
      <c r="L48">
        <v>0</v>
      </c>
      <c r="M48">
        <v>0</v>
      </c>
      <c r="N48">
        <v>0</v>
      </c>
      <c r="O48">
        <f t="shared" si="0"/>
        <v>1434618</v>
      </c>
      <c r="P48" s="4">
        <f t="shared" si="1"/>
        <v>1434618</v>
      </c>
    </row>
    <row r="49" spans="9:16">
      <c r="I49" s="3" t="s">
        <v>10</v>
      </c>
      <c r="J49">
        <v>1058984</v>
      </c>
      <c r="K49">
        <v>0</v>
      </c>
      <c r="L49">
        <v>0</v>
      </c>
      <c r="M49">
        <v>0</v>
      </c>
      <c r="N49">
        <v>0</v>
      </c>
      <c r="O49">
        <f t="shared" si="0"/>
        <v>1058984</v>
      </c>
      <c r="P49" s="4">
        <f t="shared" si="1"/>
        <v>1058984</v>
      </c>
    </row>
    <row r="50" spans="9:16">
      <c r="I50" s="3" t="s">
        <v>11</v>
      </c>
      <c r="J50">
        <v>1309665</v>
      </c>
      <c r="K50">
        <v>0</v>
      </c>
      <c r="L50">
        <v>0</v>
      </c>
      <c r="M50">
        <v>0</v>
      </c>
      <c r="N50">
        <v>0</v>
      </c>
      <c r="O50">
        <f t="shared" si="0"/>
        <v>1309665</v>
      </c>
      <c r="P50" s="4">
        <f t="shared" si="1"/>
        <v>1309665</v>
      </c>
    </row>
    <row r="51" spans="9:16">
      <c r="I51" s="3" t="s">
        <v>12</v>
      </c>
      <c r="J51">
        <v>781203</v>
      </c>
      <c r="K51">
        <v>0</v>
      </c>
      <c r="L51">
        <v>0</v>
      </c>
      <c r="M51">
        <v>0</v>
      </c>
      <c r="N51">
        <v>0</v>
      </c>
      <c r="O51">
        <f t="shared" si="0"/>
        <v>781203</v>
      </c>
      <c r="P51" s="4">
        <f t="shared" si="1"/>
        <v>781203</v>
      </c>
    </row>
    <row r="52" spans="9:16">
      <c r="I52" s="3" t="s">
        <v>13</v>
      </c>
      <c r="J52">
        <v>997095</v>
      </c>
      <c r="K52">
        <v>0</v>
      </c>
      <c r="L52">
        <v>0</v>
      </c>
      <c r="M52">
        <v>0</v>
      </c>
      <c r="N52">
        <v>0</v>
      </c>
      <c r="O52">
        <f t="shared" si="0"/>
        <v>997095</v>
      </c>
      <c r="P52" s="4">
        <f t="shared" si="1"/>
        <v>997095</v>
      </c>
    </row>
    <row r="53" spans="9:16">
      <c r="I53" s="3" t="s">
        <v>14</v>
      </c>
      <c r="J53">
        <v>0</v>
      </c>
      <c r="K53">
        <v>1115917</v>
      </c>
      <c r="L53">
        <v>0</v>
      </c>
      <c r="M53">
        <v>0</v>
      </c>
      <c r="N53">
        <v>0</v>
      </c>
      <c r="O53">
        <f t="shared" si="0"/>
        <v>1115917</v>
      </c>
      <c r="P53" s="4">
        <f t="shared" si="1"/>
        <v>1115917</v>
      </c>
    </row>
    <row r="54" spans="9:16">
      <c r="I54" s="3" t="s">
        <v>15</v>
      </c>
      <c r="J54">
        <v>1087254</v>
      </c>
      <c r="K54">
        <v>0</v>
      </c>
      <c r="L54">
        <v>0</v>
      </c>
      <c r="M54">
        <v>0</v>
      </c>
      <c r="N54">
        <v>0</v>
      </c>
      <c r="O54">
        <f t="shared" si="0"/>
        <v>1087254</v>
      </c>
      <c r="P54" s="4">
        <f t="shared" si="1"/>
        <v>1087254</v>
      </c>
    </row>
    <row r="55" spans="9:16">
      <c r="I55" s="3" t="s">
        <v>16</v>
      </c>
      <c r="J55">
        <v>1077087.1168831177</v>
      </c>
      <c r="K55">
        <v>100953.88311688229</v>
      </c>
      <c r="L55">
        <v>0</v>
      </c>
      <c r="M55">
        <v>0</v>
      </c>
      <c r="N55">
        <v>0</v>
      </c>
      <c r="O55">
        <f t="shared" si="0"/>
        <v>1178041</v>
      </c>
      <c r="P55" s="4">
        <f t="shared" si="1"/>
        <v>1178041</v>
      </c>
    </row>
    <row r="56" spans="9:16">
      <c r="I56" s="3" t="s">
        <v>17</v>
      </c>
      <c r="J56">
        <v>1324328</v>
      </c>
      <c r="K56">
        <v>0</v>
      </c>
      <c r="L56">
        <v>0</v>
      </c>
      <c r="M56">
        <v>0</v>
      </c>
      <c r="N56">
        <v>0</v>
      </c>
      <c r="O56">
        <f t="shared" si="0"/>
        <v>1324328</v>
      </c>
      <c r="P56" s="4">
        <f t="shared" si="1"/>
        <v>1324328</v>
      </c>
    </row>
    <row r="57" spans="9:16">
      <c r="I57" s="3" t="s">
        <v>18</v>
      </c>
      <c r="J57">
        <v>0</v>
      </c>
      <c r="K57">
        <v>877226</v>
      </c>
      <c r="L57">
        <v>0</v>
      </c>
      <c r="M57">
        <v>0</v>
      </c>
      <c r="N57">
        <v>0</v>
      </c>
      <c r="O57">
        <f t="shared" si="0"/>
        <v>877226</v>
      </c>
      <c r="P57" s="4">
        <f t="shared" si="1"/>
        <v>877226</v>
      </c>
    </row>
    <row r="58" spans="9:16">
      <c r="I58" s="3" t="s">
        <v>19</v>
      </c>
      <c r="J58">
        <v>1222206</v>
      </c>
      <c r="K58">
        <v>0</v>
      </c>
      <c r="L58">
        <v>0</v>
      </c>
      <c r="M58">
        <v>0</v>
      </c>
      <c r="N58">
        <v>0</v>
      </c>
      <c r="O58">
        <f t="shared" si="0"/>
        <v>1222206</v>
      </c>
      <c r="P58" s="4">
        <f t="shared" si="1"/>
        <v>1222206</v>
      </c>
    </row>
    <row r="59" spans="9:16">
      <c r="I59" s="3" t="s">
        <v>20</v>
      </c>
      <c r="J59">
        <v>960545</v>
      </c>
      <c r="K59">
        <v>0</v>
      </c>
      <c r="L59">
        <v>0</v>
      </c>
      <c r="M59">
        <v>0</v>
      </c>
      <c r="N59">
        <v>0</v>
      </c>
      <c r="O59">
        <f t="shared" si="0"/>
        <v>960545</v>
      </c>
      <c r="P59" s="4">
        <f t="shared" si="1"/>
        <v>960545</v>
      </c>
    </row>
    <row r="60" spans="9:16">
      <c r="I60" s="3" t="s">
        <v>21</v>
      </c>
      <c r="J60">
        <v>0</v>
      </c>
      <c r="K60">
        <v>590166</v>
      </c>
      <c r="L60">
        <v>0</v>
      </c>
      <c r="M60">
        <v>0</v>
      </c>
      <c r="N60">
        <v>0</v>
      </c>
      <c r="O60">
        <f t="shared" si="0"/>
        <v>590166</v>
      </c>
      <c r="P60" s="4">
        <f t="shared" si="1"/>
        <v>590166</v>
      </c>
    </row>
    <row r="61" spans="9:16">
      <c r="I61" s="3" t="s">
        <v>22</v>
      </c>
      <c r="J61">
        <v>0</v>
      </c>
      <c r="K61">
        <v>1584055</v>
      </c>
      <c r="L61">
        <v>0</v>
      </c>
      <c r="M61">
        <v>0</v>
      </c>
      <c r="N61">
        <v>0</v>
      </c>
      <c r="O61">
        <f t="shared" si="0"/>
        <v>1584055</v>
      </c>
      <c r="P61" s="4">
        <f t="shared" si="1"/>
        <v>1584055</v>
      </c>
    </row>
    <row r="62" spans="9:16">
      <c r="I62" s="3" t="s">
        <v>0</v>
      </c>
      <c r="J62">
        <v>926798</v>
      </c>
      <c r="K62">
        <v>0</v>
      </c>
      <c r="L62">
        <v>0</v>
      </c>
      <c r="M62">
        <v>0</v>
      </c>
      <c r="N62">
        <v>0</v>
      </c>
      <c r="O62">
        <f t="shared" si="0"/>
        <v>926798</v>
      </c>
      <c r="P62" s="4">
        <f t="shared" si="1"/>
        <v>926798</v>
      </c>
    </row>
    <row r="63" spans="9:16">
      <c r="I63" s="3" t="s">
        <v>1</v>
      </c>
      <c r="J63">
        <v>1813436</v>
      </c>
      <c r="K63">
        <v>0</v>
      </c>
      <c r="L63">
        <v>0</v>
      </c>
      <c r="M63">
        <v>0</v>
      </c>
      <c r="N63">
        <v>0</v>
      </c>
      <c r="O63">
        <f t="shared" si="0"/>
        <v>1813436</v>
      </c>
      <c r="P63" s="4">
        <f t="shared" si="1"/>
        <v>1813436</v>
      </c>
    </row>
    <row r="64" spans="9:16">
      <c r="I64" s="3" t="s">
        <v>2</v>
      </c>
      <c r="J64">
        <v>1302207</v>
      </c>
      <c r="K64">
        <v>0</v>
      </c>
      <c r="L64">
        <v>0</v>
      </c>
      <c r="M64">
        <v>0</v>
      </c>
      <c r="N64">
        <v>0</v>
      </c>
      <c r="O64">
        <f t="shared" si="0"/>
        <v>1302207</v>
      </c>
      <c r="P64" s="4">
        <f t="shared" si="1"/>
        <v>1302207</v>
      </c>
    </row>
    <row r="65" spans="9:16">
      <c r="I65" s="3" t="s">
        <v>3</v>
      </c>
      <c r="J65">
        <v>730067</v>
      </c>
      <c r="K65">
        <v>0</v>
      </c>
      <c r="L65">
        <v>0</v>
      </c>
      <c r="M65">
        <v>0</v>
      </c>
      <c r="N65">
        <v>0</v>
      </c>
      <c r="O65">
        <f t="shared" si="0"/>
        <v>730067</v>
      </c>
      <c r="P65" s="4">
        <f t="shared" si="1"/>
        <v>730067</v>
      </c>
    </row>
    <row r="66" spans="9:16">
      <c r="I66" s="3" t="s">
        <v>4</v>
      </c>
      <c r="J66">
        <v>0</v>
      </c>
      <c r="K66">
        <v>1167651</v>
      </c>
      <c r="L66">
        <v>0</v>
      </c>
      <c r="M66">
        <v>0</v>
      </c>
      <c r="N66">
        <v>0</v>
      </c>
      <c r="O66">
        <f t="shared" si="0"/>
        <v>1167651</v>
      </c>
      <c r="P66" s="4">
        <f t="shared" si="1"/>
        <v>1167651</v>
      </c>
    </row>
    <row r="67" spans="9:16">
      <c r="I67" s="3" t="s">
        <v>5</v>
      </c>
      <c r="J67">
        <v>0</v>
      </c>
      <c r="K67">
        <v>1376499</v>
      </c>
      <c r="L67">
        <v>0</v>
      </c>
      <c r="M67">
        <v>0</v>
      </c>
      <c r="N67">
        <v>0</v>
      </c>
      <c r="O67">
        <f t="shared" si="0"/>
        <v>1376499</v>
      </c>
      <c r="P67" s="4">
        <f t="shared" si="1"/>
        <v>1376499</v>
      </c>
    </row>
    <row r="68" spans="9:16">
      <c r="I68" s="3" t="s">
        <v>6</v>
      </c>
      <c r="J68">
        <v>0</v>
      </c>
      <c r="K68">
        <v>748012</v>
      </c>
      <c r="L68">
        <v>0</v>
      </c>
      <c r="M68">
        <v>0</v>
      </c>
      <c r="N68">
        <v>0</v>
      </c>
      <c r="O68">
        <f t="shared" si="0"/>
        <v>748012</v>
      </c>
      <c r="P68" s="4">
        <f t="shared" si="1"/>
        <v>748012</v>
      </c>
    </row>
    <row r="69" spans="9:16">
      <c r="P69">
        <f>SUM(P46:P68)</f>
        <v>27163459</v>
      </c>
    </row>
    <row r="70" spans="9:16">
      <c r="I70" s="3" t="s">
        <v>39</v>
      </c>
      <c r="J70">
        <f t="shared" ref="J70:N70" si="2">SUM(J46:J68)</f>
        <v>17272342.116883118</v>
      </c>
      <c r="K70">
        <f t="shared" si="2"/>
        <v>9891116.8831168823</v>
      </c>
      <c r="L70">
        <f t="shared" si="2"/>
        <v>0</v>
      </c>
      <c r="M70">
        <f t="shared" si="2"/>
        <v>0</v>
      </c>
      <c r="N70">
        <f t="shared" si="2"/>
        <v>0</v>
      </c>
    </row>
    <row r="71" spans="9:16">
      <c r="I71" s="3" t="s">
        <v>74</v>
      </c>
      <c r="J71">
        <f>J28</f>
        <v>51500000</v>
      </c>
      <c r="K71">
        <f t="shared" ref="K71:N71" si="3">K28</f>
        <v>9871948.0519480519</v>
      </c>
      <c r="L71">
        <f t="shared" si="3"/>
        <v>22435948.051948048</v>
      </c>
      <c r="M71">
        <f t="shared" si="3"/>
        <v>17400000</v>
      </c>
      <c r="N71">
        <f t="shared" si="3"/>
        <v>2168452.7393136667</v>
      </c>
    </row>
    <row r="73" spans="9:16">
      <c r="I73" t="s">
        <v>40</v>
      </c>
      <c r="J73">
        <f>SUMPRODUCT(J5:N27,J46:N68)</f>
        <v>15043528.789437005</v>
      </c>
    </row>
  </sheetData>
  <mergeCells count="2">
    <mergeCell ref="B3:F3"/>
    <mergeCell ref="J3:N3"/>
  </mergeCells>
  <phoneticPr fontId="1" type="noConversion"/>
  <conditionalFormatting sqref="U8 Q7:Q9 Q1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F34D-CB33-C04A-8856-31ED611EC45F}">
  <dimension ref="A1:O57"/>
  <sheetViews>
    <sheetView topLeftCell="B23" workbookViewId="0">
      <selection activeCell="M43" sqref="M43"/>
    </sheetView>
  </sheetViews>
  <sheetFormatPr baseColWidth="10" defaultRowHeight="18"/>
  <cols>
    <col min="3" max="3" width="50.140625" customWidth="1"/>
  </cols>
  <sheetData>
    <row r="1" spans="1:6">
      <c r="A1" s="43"/>
      <c r="B1" s="43"/>
      <c r="C1" s="43"/>
      <c r="D1" s="43"/>
      <c r="E1" s="43"/>
      <c r="F1" s="43"/>
    </row>
    <row r="2" spans="1:6">
      <c r="A2" s="44"/>
      <c r="B2" s="44"/>
      <c r="C2" s="44"/>
      <c r="D2" s="44"/>
      <c r="E2" s="44"/>
      <c r="F2" s="44"/>
    </row>
    <row r="3" spans="1:6">
      <c r="A3" s="44"/>
      <c r="B3" s="44"/>
      <c r="C3" s="44"/>
      <c r="D3" s="44"/>
      <c r="E3" s="44"/>
      <c r="F3" s="44"/>
    </row>
    <row r="4" spans="1:6">
      <c r="A4" s="44"/>
      <c r="B4" s="44"/>
      <c r="C4" s="44"/>
      <c r="D4" s="44"/>
      <c r="E4" s="44"/>
      <c r="F4" s="44"/>
    </row>
    <row r="5" spans="1:6">
      <c r="A5" s="44"/>
      <c r="B5" s="44"/>
      <c r="C5" s="44"/>
      <c r="D5" s="44"/>
      <c r="E5" s="44"/>
      <c r="F5" s="44"/>
    </row>
    <row r="6" spans="1:6">
      <c r="A6" s="44"/>
      <c r="B6" s="44"/>
      <c r="C6" s="44"/>
      <c r="D6" s="44"/>
      <c r="E6" s="44"/>
      <c r="F6" s="44"/>
    </row>
    <row r="7" spans="1:6">
      <c r="A7" s="44"/>
      <c r="B7" s="44"/>
      <c r="C7" s="44"/>
      <c r="D7" s="44"/>
      <c r="E7" s="44"/>
      <c r="F7" s="44"/>
    </row>
    <row r="8" spans="1:6">
      <c r="A8" s="44"/>
      <c r="B8" s="44"/>
      <c r="C8" s="44"/>
      <c r="D8" s="44"/>
      <c r="E8" s="44"/>
      <c r="F8" s="44"/>
    </row>
    <row r="9" spans="1:6">
      <c r="A9" s="44"/>
      <c r="B9" s="44"/>
      <c r="C9" s="44"/>
      <c r="D9" s="44"/>
      <c r="E9" s="44"/>
      <c r="F9" s="44"/>
    </row>
    <row r="10" spans="1:6">
      <c r="A10" s="44"/>
      <c r="B10" s="44"/>
      <c r="C10" s="44"/>
      <c r="D10" s="44"/>
      <c r="E10" s="44"/>
      <c r="F10" s="44"/>
    </row>
    <row r="11" spans="1:6">
      <c r="A11" s="44"/>
      <c r="B11" s="44"/>
      <c r="C11" s="44"/>
      <c r="D11" s="44"/>
      <c r="E11" s="44"/>
      <c r="F11" s="44"/>
    </row>
    <row r="12" spans="1:6">
      <c r="A12" s="44"/>
      <c r="B12" s="44"/>
      <c r="C12" s="44"/>
      <c r="D12" s="44"/>
      <c r="E12" s="44"/>
      <c r="F12" s="44"/>
    </row>
    <row r="13" spans="1:6">
      <c r="A13" s="44"/>
      <c r="B13" s="44"/>
      <c r="C13" s="44"/>
      <c r="D13" s="44"/>
      <c r="E13" s="44"/>
      <c r="F13" s="44"/>
    </row>
    <row r="14" spans="1:6">
      <c r="A14" s="44"/>
      <c r="B14" s="44"/>
      <c r="C14" s="44"/>
      <c r="D14" s="44"/>
      <c r="E14" s="44"/>
      <c r="F14" s="44"/>
    </row>
    <row r="15" spans="1:6">
      <c r="A15" s="44"/>
      <c r="B15" s="44"/>
      <c r="C15" s="44"/>
      <c r="D15" s="44"/>
      <c r="E15" s="44"/>
      <c r="F15" s="44"/>
    </row>
    <row r="16" spans="1:6">
      <c r="A16" s="44"/>
      <c r="B16" s="44"/>
      <c r="C16" s="44"/>
      <c r="D16" s="44"/>
      <c r="E16" s="44"/>
      <c r="F16" s="44"/>
    </row>
    <row r="17" spans="1:15">
      <c r="A17" s="44"/>
      <c r="B17" s="44"/>
      <c r="C17" s="44"/>
      <c r="D17" s="44"/>
      <c r="E17" s="44"/>
      <c r="F17" s="44"/>
    </row>
    <row r="18" spans="1:15">
      <c r="A18" s="44"/>
      <c r="B18" s="44"/>
      <c r="C18" s="44"/>
      <c r="D18" s="44"/>
      <c r="E18" s="44"/>
      <c r="F18" s="44"/>
    </row>
    <row r="19" spans="1:15">
      <c r="A19" s="44"/>
      <c r="B19" s="44"/>
      <c r="C19" s="44"/>
      <c r="D19" s="44"/>
      <c r="E19" s="44"/>
      <c r="F19" s="44"/>
    </row>
    <row r="20" spans="1:15">
      <c r="A20" s="44"/>
      <c r="B20" s="44"/>
      <c r="C20" s="44"/>
      <c r="D20" s="44"/>
      <c r="E20" s="44"/>
      <c r="F20" s="44"/>
    </row>
    <row r="21" spans="1:15">
      <c r="A21" s="44"/>
      <c r="B21" s="44"/>
      <c r="C21" s="44"/>
      <c r="D21" s="44"/>
      <c r="E21" s="44"/>
      <c r="F21" s="44"/>
    </row>
    <row r="22" spans="1:15">
      <c r="A22" s="44"/>
      <c r="B22" s="44"/>
      <c r="C22" s="44"/>
      <c r="D22" s="44"/>
      <c r="E22" s="44"/>
      <c r="F22" s="44"/>
    </row>
    <row r="23" spans="1:15">
      <c r="A23" s="44"/>
      <c r="B23" s="44"/>
      <c r="C23" s="44"/>
      <c r="D23" s="44"/>
      <c r="E23" s="44"/>
      <c r="F23" s="44"/>
    </row>
    <row r="24" spans="1:15">
      <c r="A24" s="44"/>
      <c r="B24" s="44"/>
      <c r="C24" s="44"/>
      <c r="D24" s="44"/>
      <c r="E24" s="44"/>
      <c r="F24" s="44"/>
    </row>
    <row r="27" spans="1:15" ht="19" thickBot="1"/>
    <row r="28" spans="1:15">
      <c r="C28" s="7" t="s">
        <v>29</v>
      </c>
      <c r="D28" s="43" t="s">
        <v>461</v>
      </c>
      <c r="E28" s="43" t="s">
        <v>462</v>
      </c>
      <c r="F28" s="43" t="s">
        <v>463</v>
      </c>
      <c r="G28" s="43" t="s">
        <v>464</v>
      </c>
      <c r="H28" s="43" t="s">
        <v>465</v>
      </c>
      <c r="I28" s="43" t="s">
        <v>66</v>
      </c>
      <c r="J28" s="11" t="s">
        <v>31</v>
      </c>
      <c r="N28" t="s">
        <v>460</v>
      </c>
      <c r="O28" t="s">
        <v>459</v>
      </c>
    </row>
    <row r="29" spans="1:15">
      <c r="C29" s="8" t="s">
        <v>7</v>
      </c>
      <c r="D29" s="44">
        <v>0.39427645289405877</v>
      </c>
      <c r="E29" s="44">
        <v>4.540464462290679E-2</v>
      </c>
      <c r="F29" s="44">
        <v>1.1886792451958679</v>
      </c>
      <c r="G29" s="44">
        <v>1.0275277599999999</v>
      </c>
      <c r="H29" s="44">
        <v>1</v>
      </c>
      <c r="I29" s="44">
        <v>1.21936752</v>
      </c>
      <c r="J29" s="12">
        <v>2330637</v>
      </c>
      <c r="K29" s="44"/>
      <c r="M29" t="s">
        <v>24</v>
      </c>
      <c r="N29">
        <f>443411000000*0.385/51600000</f>
        <v>3308.3960271317828</v>
      </c>
      <c r="O29">
        <f>1020877*0.385</f>
        <v>393037.64500000002</v>
      </c>
    </row>
    <row r="30" spans="1:15">
      <c r="C30" s="8" t="s">
        <v>8</v>
      </c>
      <c r="D30" s="44">
        <v>0.19019481999999999</v>
      </c>
      <c r="E30" s="44">
        <v>0.21561762215083699</v>
      </c>
      <c r="F30" s="44">
        <v>1.2452830187966193</v>
      </c>
      <c r="G30" s="44">
        <v>1.3501084132667192</v>
      </c>
      <c r="H30" s="44">
        <v>1.3518518545994063</v>
      </c>
      <c r="I30" s="44">
        <v>0.86936751980804905</v>
      </c>
      <c r="J30" s="12">
        <v>1246849</v>
      </c>
      <c r="K30" s="44"/>
      <c r="M30" t="s">
        <v>25</v>
      </c>
      <c r="N30">
        <f>443411000000*0.0738/9891117</f>
        <v>3308.3959880365387</v>
      </c>
      <c r="O30">
        <f>930588*0.0738</f>
        <v>68677.394400000005</v>
      </c>
    </row>
    <row r="31" spans="1:15">
      <c r="C31" s="8" t="s">
        <v>9</v>
      </c>
      <c r="D31" s="44">
        <v>0.67999073821904066</v>
      </c>
      <c r="E31" s="44">
        <v>0.44965993354748818</v>
      </c>
      <c r="F31" s="44">
        <v>1</v>
      </c>
      <c r="G31" s="44">
        <v>1.4630116257571082</v>
      </c>
      <c r="H31" s="44">
        <v>1.5185185212660732</v>
      </c>
      <c r="I31" s="44">
        <v>0.4693675199860905</v>
      </c>
      <c r="J31" s="12">
        <v>1434618</v>
      </c>
      <c r="K31" s="44"/>
      <c r="M31" t="s">
        <v>27</v>
      </c>
      <c r="N31">
        <f>443411000000*0.1674/22435948.05</f>
        <v>3308.3960274190417</v>
      </c>
      <c r="O31">
        <f>11796548*0.1674</f>
        <v>1974742.1351999999</v>
      </c>
    </row>
    <row r="32" spans="1:15">
      <c r="C32" s="8" t="s">
        <v>10</v>
      </c>
      <c r="D32" s="44">
        <v>0.41468461600178957</v>
      </c>
      <c r="E32" s="44">
        <v>0.49221329630819372</v>
      </c>
      <c r="F32" s="44">
        <v>1.3962264152052593</v>
      </c>
      <c r="G32" s="44">
        <v>1.511398721952343</v>
      </c>
      <c r="H32" s="44">
        <v>1.5555555555555554</v>
      </c>
      <c r="I32" s="44">
        <v>0.69436751999026336</v>
      </c>
      <c r="J32" s="12">
        <v>1058984</v>
      </c>
      <c r="K32" s="44"/>
      <c r="M32" t="s">
        <v>26</v>
      </c>
      <c r="N32">
        <f>443411000000*0.3322/17400000</f>
        <v>8465.5824252873572</v>
      </c>
      <c r="O32">
        <f>226724*0.3322</f>
        <v>75317.712799999994</v>
      </c>
    </row>
    <row r="33" spans="3:15">
      <c r="C33" s="8" t="s">
        <v>11</v>
      </c>
      <c r="D33" s="44">
        <v>0.59835808533392998</v>
      </c>
      <c r="E33" s="44">
        <v>0.9177455033705737</v>
      </c>
      <c r="F33" s="44">
        <v>2</v>
      </c>
      <c r="G33" s="44">
        <v>1.6565600105380462</v>
      </c>
      <c r="H33" s="44">
        <v>1.7222222222222219</v>
      </c>
      <c r="I33" s="44">
        <v>0.54436751998748134</v>
      </c>
      <c r="J33" s="12">
        <v>1309665</v>
      </c>
      <c r="K33" s="44"/>
      <c r="M33" t="s">
        <v>28</v>
      </c>
      <c r="N33">
        <f>443411000000*0.0414/2168452.74</f>
        <v>8465.5824226079276</v>
      </c>
      <c r="O33">
        <f>520547*0.0414</f>
        <v>21550.645799999998</v>
      </c>
    </row>
    <row r="34" spans="3:15">
      <c r="C34" s="8" t="s">
        <v>12</v>
      </c>
      <c r="D34" s="44">
        <v>0.72080706488868995</v>
      </c>
      <c r="E34" s="44">
        <v>1.0241282</v>
      </c>
      <c r="F34" s="44">
        <v>1.9056603776120209</v>
      </c>
      <c r="G34" s="44">
        <v>1.7372051828285939</v>
      </c>
      <c r="H34" s="44">
        <v>1.833333333333333</v>
      </c>
      <c r="I34" s="44">
        <v>0.81936752017804149</v>
      </c>
      <c r="J34" s="12">
        <v>781203</v>
      </c>
      <c r="K34" s="44"/>
      <c r="M34" t="s">
        <v>75</v>
      </c>
      <c r="N34">
        <f>443411000000*D56/I52</f>
        <v>4284.3497956604833</v>
      </c>
      <c r="O34">
        <f>7042253*D56</f>
        <v>80361.367513929115</v>
      </c>
    </row>
    <row r="35" spans="3:15">
      <c r="C35" s="8" t="s">
        <v>13</v>
      </c>
      <c r="D35" s="44">
        <v>0.59835808533392998</v>
      </c>
      <c r="E35" s="44">
        <v>0.89646858523277517</v>
      </c>
      <c r="F35" s="44">
        <v>1.9811320756063862</v>
      </c>
      <c r="G35" s="44">
        <v>1.6404309904381251</v>
      </c>
      <c r="H35" s="44">
        <v>1.7222222222222219</v>
      </c>
      <c r="I35" s="44">
        <v>0.84436751999304538</v>
      </c>
      <c r="J35" s="12">
        <v>997095</v>
      </c>
      <c r="K35" s="44"/>
    </row>
    <row r="36" spans="3:15">
      <c r="C36" s="8" t="s">
        <v>14</v>
      </c>
      <c r="D36" s="44">
        <v>0.88407237111309955</v>
      </c>
      <c r="E36" s="44">
        <v>0.51348974093110067</v>
      </c>
      <c r="F36" s="44">
        <v>1.2075471695894819</v>
      </c>
      <c r="G36" s="44">
        <v>1.6404309904381251</v>
      </c>
      <c r="H36" s="44">
        <v>1.7222222222222219</v>
      </c>
      <c r="I36" s="44">
        <v>0.29436752000139094</v>
      </c>
      <c r="J36" s="12">
        <v>1115917</v>
      </c>
      <c r="K36" s="44"/>
    </row>
    <row r="37" spans="3:15">
      <c r="C37" s="8" t="s">
        <v>15</v>
      </c>
      <c r="D37" s="44">
        <v>0.25141930977738014</v>
      </c>
      <c r="E37" s="44">
        <v>0.53476665906889931</v>
      </c>
      <c r="F37" s="44">
        <v>1.4339622639924872</v>
      </c>
      <c r="G37" s="44">
        <v>1.382366453466561</v>
      </c>
      <c r="H37" s="44">
        <v>1.4074074101549621</v>
      </c>
      <c r="I37" s="44">
        <v>0.69436751999026336</v>
      </c>
      <c r="J37" s="12">
        <v>1087254</v>
      </c>
      <c r="K37" s="44"/>
    </row>
    <row r="38" spans="3:15">
      <c r="C38" s="8" t="s">
        <v>16</v>
      </c>
      <c r="D38" s="44">
        <v>1.0677458404452398</v>
      </c>
      <c r="E38" s="44">
        <v>0.74753252584264351</v>
      </c>
      <c r="F38" s="44">
        <v>1.2641509431902331</v>
      </c>
      <c r="G38" s="44">
        <v>1.801721299123749</v>
      </c>
      <c r="H38" s="44">
        <v>1.8888888888888884</v>
      </c>
      <c r="I38" s="44">
        <v>0.69436751999026336</v>
      </c>
      <c r="J38" s="12">
        <v>1178041</v>
      </c>
      <c r="K38" s="44"/>
    </row>
    <row r="39" spans="3:15">
      <c r="C39" s="8" t="s">
        <v>17</v>
      </c>
      <c r="D39" s="44">
        <v>0.80243971777380096</v>
      </c>
      <c r="E39" s="44">
        <v>0.5773195483147131</v>
      </c>
      <c r="F39" s="44">
        <v>1.1132075472015026</v>
      </c>
      <c r="G39" s="44">
        <v>1.5597858181475774</v>
      </c>
      <c r="H39" s="44">
        <v>1.8888888888888884</v>
      </c>
      <c r="I39" s="44">
        <v>0.26936751996383534</v>
      </c>
      <c r="J39" s="12">
        <v>1324328</v>
      </c>
      <c r="K39" s="44"/>
    </row>
    <row r="40" spans="3:15">
      <c r="C40" s="8" t="s">
        <v>18</v>
      </c>
      <c r="D40" s="44">
        <v>0.67999073821904066</v>
      </c>
      <c r="E40" s="44">
        <v>0.34327723691806178</v>
      </c>
      <c r="F40" s="44">
        <v>1.2075471695894819</v>
      </c>
      <c r="G40" s="44">
        <v>1.4630116257571082</v>
      </c>
      <c r="H40" s="44">
        <v>1.7592592606330366</v>
      </c>
      <c r="I40" s="44">
        <v>0.21936752000000001</v>
      </c>
      <c r="J40" s="12">
        <v>877226</v>
      </c>
      <c r="K40" s="44"/>
    </row>
    <row r="41" spans="3:15">
      <c r="C41" s="8" t="s">
        <v>19</v>
      </c>
      <c r="D41" s="44">
        <v>0.90448053422083041</v>
      </c>
      <c r="E41" s="44">
        <v>0.85391569598696138</v>
      </c>
      <c r="F41" s="44">
        <v>1.5283018868003757</v>
      </c>
      <c r="G41" s="44">
        <v>1.8984954915142174</v>
      </c>
      <c r="H41" s="44">
        <v>2</v>
      </c>
      <c r="I41" s="44">
        <v>0.4693675199860905</v>
      </c>
      <c r="J41" s="12">
        <v>1222206</v>
      </c>
      <c r="K41" s="44"/>
    </row>
    <row r="42" spans="3:15">
      <c r="C42" s="8" t="s">
        <v>20</v>
      </c>
      <c r="D42" s="44">
        <v>0.67999073821904066</v>
      </c>
      <c r="E42" s="44">
        <v>0.98157531075418603</v>
      </c>
      <c r="F42" s="44">
        <v>1.8490566040112695</v>
      </c>
      <c r="G42" s="44">
        <v>1.7049471067332802</v>
      </c>
      <c r="H42" s="44">
        <v>1.7962962990438505</v>
      </c>
      <c r="I42" s="44">
        <v>1.1693675198136129</v>
      </c>
      <c r="J42" s="12">
        <v>960545</v>
      </c>
      <c r="K42" s="44"/>
      <c r="M42" t="s">
        <v>466</v>
      </c>
    </row>
    <row r="43" spans="3:15">
      <c r="C43" s="8" t="s">
        <v>21</v>
      </c>
      <c r="D43" s="44">
        <v>1.1901948199999999</v>
      </c>
      <c r="E43" s="44">
        <v>0.85391569598696138</v>
      </c>
      <c r="F43" s="44">
        <v>1.2452830187966193</v>
      </c>
      <c r="G43" s="44">
        <v>1.4791406458570298</v>
      </c>
      <c r="H43" s="44">
        <v>1.5185185212660732</v>
      </c>
      <c r="I43" s="44">
        <v>0.24436751998191769</v>
      </c>
      <c r="J43" s="12">
        <v>590166</v>
      </c>
      <c r="K43" s="44"/>
      <c r="M43">
        <f>203275*D56</f>
        <v>2319.6350630109346</v>
      </c>
    </row>
    <row r="44" spans="3:15">
      <c r="C44" s="8" t="s">
        <v>22</v>
      </c>
      <c r="D44" s="44">
        <v>0.59835808533392998</v>
      </c>
      <c r="E44" s="44">
        <v>2.4128199999999999E-2</v>
      </c>
      <c r="F44" s="44">
        <v>1.2641509431902331</v>
      </c>
      <c r="G44" s="44">
        <v>1.1888180686856233</v>
      </c>
      <c r="H44" s="44">
        <v>1.2037037050774808</v>
      </c>
      <c r="I44" s="44">
        <v>1.0943675198122218</v>
      </c>
      <c r="J44" s="12">
        <v>1584055</v>
      </c>
      <c r="K44" s="44"/>
    </row>
    <row r="45" spans="3:15">
      <c r="C45" s="8" t="s">
        <v>0</v>
      </c>
      <c r="D45" s="44">
        <v>1.1493784933303508</v>
      </c>
      <c r="E45" s="44">
        <v>0.87519214060986816</v>
      </c>
      <c r="F45" s="44">
        <v>1.4716981131996245</v>
      </c>
      <c r="G45" s="44">
        <v>2.0275277599999999</v>
      </c>
      <c r="H45" s="44">
        <v>1.7777777777777772</v>
      </c>
      <c r="I45" s="44">
        <v>0.56936751996939905</v>
      </c>
      <c r="J45" s="12">
        <v>926798</v>
      </c>
      <c r="K45" s="44"/>
    </row>
    <row r="46" spans="3:15">
      <c r="C46" s="8" t="s">
        <v>1</v>
      </c>
      <c r="D46" s="44">
        <v>0.94529686089047971</v>
      </c>
      <c r="E46" s="44">
        <v>0.66242627383612396</v>
      </c>
      <c r="F46" s="44">
        <v>1.3018867923973705</v>
      </c>
      <c r="G46" s="44">
        <v>1.7049471067332802</v>
      </c>
      <c r="H46" s="44">
        <v>1.8703703717441478</v>
      </c>
      <c r="I46" s="44">
        <v>0.49436751996800821</v>
      </c>
      <c r="J46" s="12">
        <v>1813436</v>
      </c>
      <c r="K46" s="44"/>
    </row>
    <row r="47" spans="3:15">
      <c r="C47" s="8" t="s">
        <v>2</v>
      </c>
      <c r="D47" s="44">
        <v>0.41468461600178957</v>
      </c>
      <c r="E47" s="44">
        <v>0.70497916308193775</v>
      </c>
      <c r="F47" s="44">
        <v>1.6226415096082643</v>
      </c>
      <c r="G47" s="44">
        <v>1.4952697018524219</v>
      </c>
      <c r="H47" s="44">
        <v>1.5555555555555554</v>
      </c>
      <c r="I47" s="44">
        <v>0.89436752017943255</v>
      </c>
      <c r="J47" s="12">
        <v>1302207</v>
      </c>
      <c r="K47" s="44"/>
    </row>
    <row r="48" spans="3:15">
      <c r="C48" s="8" t="s">
        <v>3</v>
      </c>
      <c r="D48" s="44">
        <v>0.63917441200357916</v>
      </c>
      <c r="E48" s="44">
        <v>0.9602983926163875</v>
      </c>
      <c r="F48" s="44">
        <v>1.8301886791977462</v>
      </c>
      <c r="G48" s="44">
        <v>1.6888180866333595</v>
      </c>
      <c r="H48" s="44">
        <v>1.7777777777777772</v>
      </c>
      <c r="I48" s="44">
        <v>0.84436751999304538</v>
      </c>
      <c r="J48" s="12">
        <v>730067</v>
      </c>
      <c r="K48" s="44"/>
    </row>
    <row r="49" spans="3:11">
      <c r="C49" s="8" t="s">
        <v>4</v>
      </c>
      <c r="D49" s="44">
        <v>1.0473376768833214</v>
      </c>
      <c r="E49" s="44">
        <v>0.72625608121973628</v>
      </c>
      <c r="F49" s="44">
        <v>1.2452830187966193</v>
      </c>
      <c r="G49" s="44">
        <v>1.7855922790238283</v>
      </c>
      <c r="H49" s="44">
        <v>1.7592592606330366</v>
      </c>
      <c r="I49" s="44">
        <v>0.49436751996800821</v>
      </c>
      <c r="J49" s="12">
        <v>1167651</v>
      </c>
      <c r="K49" s="44"/>
    </row>
    <row r="50" spans="3:11">
      <c r="C50" s="8" t="s">
        <v>5</v>
      </c>
      <c r="D50" s="44">
        <v>0.94529686089047971</v>
      </c>
      <c r="E50" s="44">
        <v>0.5773195483147131</v>
      </c>
      <c r="F50" s="44">
        <v>1.2075471695894819</v>
      </c>
      <c r="G50" s="44">
        <v>1.6404309904381251</v>
      </c>
      <c r="H50" s="44">
        <v>1.7777777777777772</v>
      </c>
      <c r="I50" s="44">
        <v>0.3443675199652263</v>
      </c>
      <c r="J50" s="12">
        <v>1376499</v>
      </c>
      <c r="K50" s="44"/>
    </row>
    <row r="51" spans="3:11">
      <c r="C51" s="8" t="s">
        <v>6</v>
      </c>
      <c r="D51" s="44">
        <v>0.61876624844166073</v>
      </c>
      <c r="E51" s="44">
        <v>0.236894066773744</v>
      </c>
      <c r="F51" s="44">
        <v>1.169811320802254</v>
      </c>
      <c r="G51" s="44">
        <v>1.382366453466561</v>
      </c>
      <c r="H51" s="44">
        <v>1.4074074101549621</v>
      </c>
      <c r="I51" s="44">
        <v>0.31936751998330859</v>
      </c>
      <c r="J51" s="12">
        <v>748012</v>
      </c>
      <c r="K51" s="44"/>
    </row>
    <row r="52" spans="3:11">
      <c r="C52" s="15" t="s">
        <v>74</v>
      </c>
      <c r="D52" s="33">
        <v>51600000</v>
      </c>
      <c r="E52" s="33">
        <f>51600000*7.38/38.5</f>
        <v>9891116.8831168823</v>
      </c>
      <c r="F52" s="33">
        <f>51600000/38.5*16.74</f>
        <v>22435948.051948048</v>
      </c>
      <c r="G52">
        <f>580000*30</f>
        <v>17400000</v>
      </c>
      <c r="H52" s="33">
        <f>17400000*4.14/33.22</f>
        <v>2168452.7393136667</v>
      </c>
      <c r="I52" s="16">
        <f>AVERAGE(J29:J51)</f>
        <v>1181019.956521739</v>
      </c>
    </row>
    <row r="55" spans="3:11">
      <c r="C55" s="1" t="s">
        <v>468</v>
      </c>
      <c r="D55">
        <f>SUM(D52:H52)</f>
        <v>103495517.6743786</v>
      </c>
    </row>
    <row r="56" spans="3:11">
      <c r="C56" s="1" t="s">
        <v>469</v>
      </c>
      <c r="D56">
        <f>I52/D55</f>
        <v>1.1411315031415247E-2</v>
      </c>
    </row>
    <row r="57" spans="3:11">
      <c r="C57" s="1" t="s">
        <v>470</v>
      </c>
      <c r="D57">
        <f>M43</f>
        <v>2319.6350630109346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5AEA-8874-4A07-AAA6-0BFFAA3548C4}">
  <dimension ref="A1:O78"/>
  <sheetViews>
    <sheetView topLeftCell="A55" zoomScale="83" workbookViewId="0">
      <selection activeCell="F82" sqref="F82"/>
    </sheetView>
  </sheetViews>
  <sheetFormatPr baseColWidth="10" defaultColWidth="8.7109375" defaultRowHeight="18"/>
  <cols>
    <col min="10" max="15" width="13.42578125" bestFit="1" customWidth="1"/>
  </cols>
  <sheetData>
    <row r="1" spans="1:7" ht="19" thickBot="1">
      <c r="A1" s="39" t="s">
        <v>433</v>
      </c>
      <c r="B1" s="40"/>
      <c r="C1" s="41"/>
    </row>
    <row r="3" spans="1:7">
      <c r="G3" t="s">
        <v>435</v>
      </c>
    </row>
    <row r="16" spans="1:7" ht="19" thickBot="1"/>
    <row r="17" spans="1:12" ht="19" thickBot="1">
      <c r="A17" s="39" t="s">
        <v>434</v>
      </c>
      <c r="B17" s="40"/>
      <c r="C17" s="40"/>
      <c r="D17" s="41"/>
    </row>
    <row r="21" spans="1:12">
      <c r="J21" t="s">
        <v>442</v>
      </c>
      <c r="K21" t="s">
        <v>443</v>
      </c>
      <c r="L21" t="s">
        <v>441</v>
      </c>
    </row>
    <row r="22" spans="1:12">
      <c r="J22">
        <f>3649489860000</f>
        <v>3649489860000</v>
      </c>
      <c r="K22">
        <v>174295237000</v>
      </c>
      <c r="L22">
        <f>J22-K22</f>
        <v>3475194623000</v>
      </c>
    </row>
    <row r="26" spans="1:12">
      <c r="A26" t="s">
        <v>436</v>
      </c>
    </row>
    <row r="27" spans="1:12">
      <c r="A27" t="s">
        <v>437</v>
      </c>
    </row>
    <row r="32" spans="1:12">
      <c r="J32" t="s">
        <v>444</v>
      </c>
    </row>
    <row r="33" spans="1:15">
      <c r="I33" t="s">
        <v>438</v>
      </c>
      <c r="J33" s="42">
        <v>0.30099999999999999</v>
      </c>
    </row>
    <row r="38" spans="1:15">
      <c r="A38" t="s">
        <v>439</v>
      </c>
    </row>
    <row r="45" spans="1:15">
      <c r="J45" t="s">
        <v>445</v>
      </c>
      <c r="K45" t="s">
        <v>446</v>
      </c>
      <c r="L45" t="s">
        <v>447</v>
      </c>
      <c r="M45" t="s">
        <v>448</v>
      </c>
      <c r="N45" t="s">
        <v>449</v>
      </c>
      <c r="O45" t="s">
        <v>450</v>
      </c>
    </row>
    <row r="46" spans="1:15">
      <c r="J46">
        <f>193346348000</f>
        <v>193346348000</v>
      </c>
      <c r="K46">
        <v>916073355000</v>
      </c>
      <c r="L46">
        <f>200076388000</f>
        <v>200076388000</v>
      </c>
      <c r="M46">
        <f>79671055000</f>
        <v>79671055000</v>
      </c>
      <c r="N46">
        <f>48404552000</f>
        <v>48404552000</v>
      </c>
      <c r="O46">
        <f>125391461000</f>
        <v>125391461000</v>
      </c>
    </row>
    <row r="48" spans="1:15">
      <c r="I48" t="s">
        <v>451</v>
      </c>
      <c r="J48">
        <f t="shared" ref="J48:O48" si="0">J46/$J$52</f>
        <v>1.6498640611687852E-2</v>
      </c>
      <c r="K48">
        <f t="shared" si="0"/>
        <v>7.8170419117966183E-2</v>
      </c>
      <c r="L48">
        <f t="shared" si="0"/>
        <v>1.7072928734586781E-2</v>
      </c>
      <c r="M48">
        <f t="shared" si="0"/>
        <v>6.7984946040926331E-3</v>
      </c>
      <c r="N48">
        <f t="shared" si="0"/>
        <v>4.1304597458326773E-3</v>
      </c>
      <c r="O48">
        <f t="shared" si="0"/>
        <v>1.0699910664014576E-2</v>
      </c>
    </row>
    <row r="52" spans="9:10">
      <c r="I52" t="s">
        <v>452</v>
      </c>
      <c r="J52">
        <f>11718925974000</f>
        <v>11718925974000</v>
      </c>
    </row>
    <row r="73" spans="1:9">
      <c r="A73" t="s">
        <v>471</v>
      </c>
      <c r="I73" t="s">
        <v>453</v>
      </c>
    </row>
    <row r="74" spans="1:9">
      <c r="A74" t="s">
        <v>440</v>
      </c>
    </row>
    <row r="77" spans="1:9">
      <c r="A77" t="s">
        <v>472</v>
      </c>
    </row>
    <row r="78" spans="1:9">
      <c r="A78" t="s">
        <v>454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692E-0A25-4ABF-BDA7-B2248281B001}">
  <dimension ref="A1:D16"/>
  <sheetViews>
    <sheetView tabSelected="1" zoomScale="89" workbookViewId="0">
      <selection activeCell="F21" sqref="F21"/>
    </sheetView>
  </sheetViews>
  <sheetFormatPr baseColWidth="10" defaultColWidth="8.7109375" defaultRowHeight="18"/>
  <cols>
    <col min="1" max="1" width="18.42578125" customWidth="1"/>
    <col min="2" max="2" width="12.85546875" bestFit="1" customWidth="1"/>
    <col min="4" max="4" width="17.85546875" bestFit="1" customWidth="1"/>
  </cols>
  <sheetData>
    <row r="1" spans="1:4">
      <c r="A1" t="s">
        <v>473</v>
      </c>
      <c r="D1" t="s">
        <v>438</v>
      </c>
    </row>
    <row r="2" spans="1:4">
      <c r="A2">
        <f>3601450542000-164441443000</f>
        <v>3437009099000</v>
      </c>
    </row>
    <row r="4" spans="1:4">
      <c r="A4" t="s">
        <v>455</v>
      </c>
    </row>
    <row r="5" spans="1:4">
      <c r="A5" s="42">
        <v>0.317</v>
      </c>
    </row>
    <row r="7" spans="1:4">
      <c r="A7" t="s">
        <v>456</v>
      </c>
      <c r="C7" t="s">
        <v>474</v>
      </c>
      <c r="D7" t="s">
        <v>458</v>
      </c>
    </row>
    <row r="9" spans="1:4">
      <c r="A9" t="s">
        <v>445</v>
      </c>
      <c r="B9">
        <v>187972932000</v>
      </c>
      <c r="D9">
        <f>B9*$A$5</f>
        <v>59587419444</v>
      </c>
    </row>
    <row r="10" spans="1:4">
      <c r="A10" t="s">
        <v>446</v>
      </c>
      <c r="B10">
        <f>863720733000</f>
        <v>863720733000</v>
      </c>
      <c r="D10">
        <f>B10*$A$5</f>
        <v>273799472361</v>
      </c>
    </row>
    <row r="11" spans="1:4">
      <c r="A11" t="s">
        <v>447</v>
      </c>
      <c r="B11">
        <f>192433797000</f>
        <v>192433797000</v>
      </c>
      <c r="D11">
        <f>B11*$A$5</f>
        <v>61001513649</v>
      </c>
    </row>
    <row r="12" spans="1:4">
      <c r="A12" t="s">
        <v>449</v>
      </c>
      <c r="B12">
        <f>45136421000</f>
        <v>45136421000</v>
      </c>
      <c r="D12">
        <f>B12*$A$5</f>
        <v>14308245457</v>
      </c>
    </row>
    <row r="13" spans="1:4">
      <c r="A13" t="s">
        <v>450</v>
      </c>
      <c r="B13">
        <f>109507496000</f>
        <v>109507496000</v>
      </c>
      <c r="D13">
        <f>B13*$A$5</f>
        <v>34713876232</v>
      </c>
    </row>
    <row r="14" spans="1:4" ht="19" thickBot="1"/>
    <row r="15" spans="1:4" ht="19" thickBot="1">
      <c r="A15" t="s">
        <v>457</v>
      </c>
      <c r="B15">
        <f>10999771022000</f>
        <v>10999771022000</v>
      </c>
      <c r="D15" s="25">
        <f>SUM(D9:D13)</f>
        <v>443410527143</v>
      </c>
    </row>
    <row r="16" spans="1:4">
      <c r="D16" t="s">
        <v>477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민감도 보고서 1</vt:lpstr>
      <vt:lpstr>민감도 보고서 2</vt:lpstr>
      <vt:lpstr>Sheet2</vt:lpstr>
      <vt:lpstr>새로운 허브x</vt:lpstr>
      <vt:lpstr>스케일링</vt:lpstr>
      <vt:lpstr>fixed cost 계산 방법</vt:lpstr>
      <vt:lpstr>2021 fixed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윤성준</cp:lastModifiedBy>
  <dcterms:created xsi:type="dcterms:W3CDTF">2023-05-27T07:29:37Z</dcterms:created>
  <dcterms:modified xsi:type="dcterms:W3CDTF">2024-01-14T10:07:25Z</dcterms:modified>
</cp:coreProperties>
</file>