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  <sheet name="Sheet4" sheetId="4" r:id="rId4"/>
  </sheets>
  <calcPr calcId="152511"/>
</workbook>
</file>

<file path=xl/calcChain.xml><?xml version="1.0" encoding="utf-8"?>
<calcChain xmlns="http://schemas.openxmlformats.org/spreadsheetml/2006/main">
  <c r="C25" i="3" l="1"/>
  <c r="C24" i="3"/>
  <c r="C23" i="3"/>
  <c r="C22" i="3"/>
  <c r="C19" i="3"/>
  <c r="C17" i="3"/>
  <c r="C16" i="3"/>
  <c r="C15" i="3"/>
  <c r="C14" i="3"/>
  <c r="C13" i="3"/>
  <c r="C10" i="3"/>
  <c r="C5" i="3"/>
  <c r="C53" i="4"/>
  <c r="C52" i="4"/>
  <c r="C50" i="4"/>
  <c r="C49" i="4"/>
  <c r="C46" i="4"/>
  <c r="C43" i="4"/>
  <c r="C42" i="4"/>
  <c r="C41" i="4"/>
  <c r="C40" i="4"/>
  <c r="C39" i="4"/>
  <c r="C45" i="2"/>
  <c r="C42" i="2"/>
  <c r="B41" i="2"/>
  <c r="C40" i="2"/>
  <c r="C39" i="2"/>
  <c r="C38" i="2"/>
  <c r="C35" i="2"/>
  <c r="C32" i="2"/>
  <c r="C26" i="2"/>
  <c r="C20" i="2"/>
  <c r="B18" i="2"/>
  <c r="C17" i="2"/>
  <c r="B10" i="1"/>
  <c r="B9" i="1"/>
  <c r="C20" i="1"/>
  <c r="B20" i="1"/>
  <c r="C18" i="1"/>
  <c r="B18" i="1"/>
  <c r="C36" i="4" l="1"/>
  <c r="C32" i="4"/>
  <c r="C26" i="4"/>
  <c r="C23" i="4"/>
  <c r="C17" i="4"/>
  <c r="C14" i="4"/>
  <c r="C8" i="4"/>
  <c r="C7" i="4"/>
  <c r="C4" i="4"/>
  <c r="C16" i="2" l="1"/>
  <c r="C15" i="2"/>
  <c r="C14" i="2"/>
  <c r="C9" i="2"/>
  <c r="C13" i="2"/>
  <c r="C4" i="2"/>
</calcChain>
</file>

<file path=xl/sharedStrings.xml><?xml version="1.0" encoding="utf-8"?>
<sst xmlns="http://schemas.openxmlformats.org/spreadsheetml/2006/main" count="216" uniqueCount="177">
  <si>
    <t>The companywide break-even point in dollar sales.</t>
  </si>
  <si>
    <t xml:space="preserve">Total </t>
  </si>
  <si>
    <t xml:space="preserve">North </t>
  </si>
  <si>
    <t>South</t>
  </si>
  <si>
    <t>Sales</t>
  </si>
  <si>
    <t>Variable expenses</t>
  </si>
  <si>
    <t>1a). Compute the unit product cost:</t>
  </si>
  <si>
    <t>Total manufacturing overhead</t>
  </si>
  <si>
    <t>Total production</t>
  </si>
  <si>
    <t>Fixed manufacturing overhead per unit</t>
  </si>
  <si>
    <t>Total manufacturing overhead/total production</t>
  </si>
  <si>
    <t>Fixed manufacturing overhead per unit is 12 per unit.</t>
  </si>
  <si>
    <t>1b). Income statement under Absorption costing system</t>
  </si>
  <si>
    <t>Company produced goods sold</t>
  </si>
  <si>
    <t>Selling price for the product per unit</t>
  </si>
  <si>
    <t>Direct materials</t>
  </si>
  <si>
    <t>Direct labor</t>
  </si>
  <si>
    <t>Variable manufacturing overhead</t>
  </si>
  <si>
    <t>Unit product cost</t>
  </si>
  <si>
    <t>Direct materials+Direct Labor+Fixed manufacturing overhead+variable manufacturing overhead</t>
  </si>
  <si>
    <t>Cost of goods manufactured</t>
  </si>
  <si>
    <t>Total unit produced*unit product cost</t>
  </si>
  <si>
    <t>Company goods sold*Selling price per unit</t>
  </si>
  <si>
    <t>Available goods in inventory cost</t>
  </si>
  <si>
    <t>Remaining units*unit product cost</t>
  </si>
  <si>
    <t>Cost of goods sold</t>
  </si>
  <si>
    <t>Cost of goods manufactured-Available goods in inventory</t>
  </si>
  <si>
    <t>Net operating income:</t>
  </si>
  <si>
    <t>Sales North</t>
  </si>
  <si>
    <t>Traceable fixed expenses</t>
  </si>
  <si>
    <t>Common fixed expenses</t>
  </si>
  <si>
    <t>Fixed cost</t>
  </si>
  <si>
    <t>Traceable fixed expenses+Common fixed expenses</t>
  </si>
  <si>
    <t>Contribution margin</t>
  </si>
  <si>
    <t>Contribution margin ratio</t>
  </si>
  <si>
    <t>Contribution margin/sales</t>
  </si>
  <si>
    <t>Break-even point</t>
  </si>
  <si>
    <t>Fixed cost/contribution margin ratio</t>
  </si>
  <si>
    <t>The break-even point in sales dollar for the company is $800,000.</t>
  </si>
  <si>
    <t>1).Companywide break-even point in dollar sales.</t>
  </si>
  <si>
    <t>2). Break-even point in dollar sales for the East region.</t>
  </si>
  <si>
    <t>Contribution margin/Sales</t>
  </si>
  <si>
    <t>Traceable fixed expenses East region</t>
  </si>
  <si>
    <t>Break-even point East region</t>
  </si>
  <si>
    <t>Traceable fixed expenses East/Contribution margin ratio</t>
  </si>
  <si>
    <t>The break-even point in sales dollar for the region East is $250,000.</t>
  </si>
  <si>
    <t>3). Break-even point in dollar sales for the West region.</t>
  </si>
  <si>
    <t>Traceable fixed expenses West region</t>
  </si>
  <si>
    <t>Break-even point West region</t>
  </si>
  <si>
    <t>Traceable fixed expenses East region/Contribution margin ratio</t>
  </si>
  <si>
    <t>The break-even point in sales dollar for the region West is $260,000.</t>
  </si>
  <si>
    <t xml:space="preserve">4). </t>
  </si>
  <si>
    <t>Total sales of East region</t>
  </si>
  <si>
    <t>Total sales of West region</t>
  </si>
  <si>
    <t>Total sales in both regions</t>
  </si>
  <si>
    <t>Total sales of East region+Total sales of West region</t>
  </si>
  <si>
    <t>Compute variable expenses of East region:</t>
  </si>
  <si>
    <t xml:space="preserve">Variable expenses East </t>
  </si>
  <si>
    <t>Sales of East region</t>
  </si>
  <si>
    <t>(Variable expenses*Break-even point east)/Sales of east region</t>
  </si>
  <si>
    <t>2&amp;3)</t>
  </si>
  <si>
    <t>North</t>
  </si>
  <si>
    <t>P/V ratio=(Variable expenses/Sales)*100</t>
  </si>
  <si>
    <t>Fixed Cost</t>
  </si>
  <si>
    <t>Break even point=Fixed cost/PV ratio</t>
  </si>
  <si>
    <t>Dollar sales for company to break even</t>
  </si>
  <si>
    <t>(Traceable fixed expenses+common fixed expenses)/Overall CM ratio</t>
  </si>
  <si>
    <t>Overall CM ratio</t>
  </si>
  <si>
    <t>Gross profit</t>
  </si>
  <si>
    <t>Sellin price for the product per unit-Cost of goods sold</t>
  </si>
  <si>
    <t>Variable selling and administrative*unit products</t>
  </si>
  <si>
    <t>Fixed selling and administrative</t>
  </si>
  <si>
    <t>Income from operation</t>
  </si>
  <si>
    <t>Gross profit-(Variable selling and administrative per unit+Fixed selling and administrative</t>
  </si>
  <si>
    <t>2a).</t>
  </si>
  <si>
    <t>Direct material</t>
  </si>
  <si>
    <t>Direct material+Direct labor+Variable manufacturing overhead</t>
  </si>
  <si>
    <t>Unit product cost is $18</t>
  </si>
  <si>
    <t>2b). Income statement for the year</t>
  </si>
  <si>
    <t>Total units sold</t>
  </si>
  <si>
    <t>Selling price for the product</t>
  </si>
  <si>
    <t>Total units sold*Selling price for the product</t>
  </si>
  <si>
    <t>unit product cost</t>
  </si>
  <si>
    <t>Total products produced</t>
  </si>
  <si>
    <t>unit product cost*total products produced</t>
  </si>
  <si>
    <t>Cost of goods available for sale</t>
  </si>
  <si>
    <t>Products available in the inventory</t>
  </si>
  <si>
    <t>Inventory ending</t>
  </si>
  <si>
    <t>Products available in the inventory*unit product cost</t>
  </si>
  <si>
    <t>Cost of goods available for sale-Inventory ending</t>
  </si>
  <si>
    <t>Gross contribution margin</t>
  </si>
  <si>
    <t>Sales-Cost of goods sold</t>
  </si>
  <si>
    <t>Variabale selling and administrative expenses per unit</t>
  </si>
  <si>
    <t>Net contribution margin</t>
  </si>
  <si>
    <t>Gross contribution margin-variable selling and administrative expenses per unit</t>
  </si>
  <si>
    <t>Fixed manufacturing overhead</t>
  </si>
  <si>
    <t>Income for operation</t>
  </si>
  <si>
    <t>Net contribution margin-(Fixed manufacturing overhead+Fixed selling and administrative)</t>
  </si>
  <si>
    <t>Variable expenses West</t>
  </si>
  <si>
    <t>Sales of West region</t>
  </si>
  <si>
    <t>Variable expenses at Break-even point east</t>
  </si>
  <si>
    <t>Variable expenses at Break-even point west</t>
  </si>
  <si>
    <t>(Variable expenses*Break-even point west)/Sales of west region</t>
  </si>
  <si>
    <t>Total variable expenses at Break-even point</t>
  </si>
  <si>
    <t>Variable expenses east+Variable expenses west</t>
  </si>
  <si>
    <t>Contribute margin east region</t>
  </si>
  <si>
    <t>Contribute margin west region</t>
  </si>
  <si>
    <t>Sales east-Variable expenses Break-even point east</t>
  </si>
  <si>
    <t>Sales west-Variable expenses Break-even point west</t>
  </si>
  <si>
    <t>Contribute margin</t>
  </si>
  <si>
    <t>Total sales-total variable expenses at break-evenpoint</t>
  </si>
  <si>
    <t>Contribution margin east</t>
  </si>
  <si>
    <t>Traceable fixed expenses east</t>
  </si>
  <si>
    <t>Segment margin</t>
  </si>
  <si>
    <t>Contribution margin east-Traceable fixed expenses east</t>
  </si>
  <si>
    <t>Contribution margin west</t>
  </si>
  <si>
    <t>Traceable fixed expenses west</t>
  </si>
  <si>
    <t>Segment margin east</t>
  </si>
  <si>
    <t>Segment margin west</t>
  </si>
  <si>
    <t>Contribution margin west-Traceable fixed expenses west</t>
  </si>
  <si>
    <t>Total contribution margin</t>
  </si>
  <si>
    <t>contribution margin east+contribution margin west</t>
  </si>
  <si>
    <t>Total contribution margin-Traceable fixed expenses</t>
  </si>
  <si>
    <t>Net operation income or loss</t>
  </si>
  <si>
    <t>Segment margin-Common fixed expenses</t>
  </si>
  <si>
    <t>The net operating loss of the company is $59,000.</t>
  </si>
  <si>
    <t>Operating income</t>
  </si>
  <si>
    <t>Sales-(Contribution margin*sales)</t>
  </si>
  <si>
    <t>Overall</t>
  </si>
  <si>
    <t>Contribution</t>
  </si>
  <si>
    <t>Sales-Variable expenses</t>
  </si>
  <si>
    <t>Contribution margin North</t>
  </si>
  <si>
    <t>Contribution ratio north</t>
  </si>
  <si>
    <t>Contribution overall</t>
  </si>
  <si>
    <t>Contribution margin North/Contribution ratio north</t>
  </si>
  <si>
    <t>Sales South</t>
  </si>
  <si>
    <t>Total sales-sales north</t>
  </si>
  <si>
    <t>Variable expenses north</t>
  </si>
  <si>
    <t>Sales north-(Contribution margin north*sales north)</t>
  </si>
  <si>
    <t>Variable expenses south</t>
  </si>
  <si>
    <t>Contribution margin south</t>
  </si>
  <si>
    <t>Total variable expenses-Variable expenses north</t>
  </si>
  <si>
    <t>Total contribution margin-Contribution margin north</t>
  </si>
  <si>
    <t>Fixed expenses traced south</t>
  </si>
  <si>
    <t>Contribution margin south-Segment margin south</t>
  </si>
  <si>
    <t>Segment margin south</t>
  </si>
  <si>
    <t>Net operating income</t>
  </si>
  <si>
    <t>Segment margin overall</t>
  </si>
  <si>
    <t>Common fixed expenses+Net operating income</t>
  </si>
  <si>
    <t>Segment margin north</t>
  </si>
  <si>
    <t>Segment margin overall-segment margin south</t>
  </si>
  <si>
    <t>Fixed expenses tracked overall</t>
  </si>
  <si>
    <t>Contribution margin overall-segment margin overall</t>
  </si>
  <si>
    <t>Fixed expenses tracked north</t>
  </si>
  <si>
    <t>Fixed expenses overall-fixed expenses south</t>
  </si>
  <si>
    <t>Less:variable cost</t>
  </si>
  <si>
    <t>Less:Fixed expenses tracked</t>
  </si>
  <si>
    <t>Less:Fixed expenses not tracked</t>
  </si>
  <si>
    <t>Variable cost per unit</t>
  </si>
  <si>
    <t>(ending cost of sales-beginning cost of sales)/(Ending units sold-Beginning units sold)</t>
  </si>
  <si>
    <t>$230000(46%)</t>
  </si>
  <si>
    <t>$270000(54%)</t>
  </si>
  <si>
    <t>$500000(100%)</t>
  </si>
  <si>
    <t>$300000(100%)</t>
  </si>
  <si>
    <t>$200000(100%)</t>
  </si>
  <si>
    <t>$150000(50%)</t>
  </si>
  <si>
    <t>$120000(60%)</t>
  </si>
  <si>
    <t>$80000(40%)</t>
  </si>
  <si>
    <t>$130000(26%)</t>
  </si>
  <si>
    <t>$80000(27%)</t>
  </si>
  <si>
    <t>$50000(25%)</t>
  </si>
  <si>
    <t>$100000(20%)</t>
  </si>
  <si>
    <t>$70000(23%)</t>
  </si>
  <si>
    <t>$30000(15%)</t>
  </si>
  <si>
    <t>$90000(18%)</t>
  </si>
  <si>
    <t>$10000(2%)</t>
  </si>
  <si>
    <t>The net operating income percentage to sales is 2%.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</si>
</sst>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$&quot;#,##0_);[Red]\(&quot;$&quot;#,##0\)"/>
    <numFmt numFmtId="166" formatCode="0.0"/>
  </numFmts>
  <fonts count="4" x14ac:knownFonts="1">
    <font>
      <sz val="11"/>
      <color theme="1"/>
      <name val="Calibri"/>
      <family val="2"/>
      <scheme val="minor"/>
    </font>
    <font>
      <sz val="11"/>
      <color rgb="FF333333"/>
      <name val="Arial"/>
      <family val="2"/>
    </font>
    <font>
      <u val="double"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6" fontId="0" fillId="0" borderId="0" xfId="0" applyNumberFormat="1"/>
    <xf numFmtId="3" fontId="0" fillId="0" borderId="0" xfId="0" applyNumberFormat="1"/>
    <xf numFmtId="9" fontId="0" fillId="0" borderId="0" xfId="0" applyNumberFormat="1"/>
    <xf numFmtId="0" fontId="2" fillId="0" borderId="0" xfId="0" applyFont="1"/>
    <xf numFmtId="9" fontId="3" fillId="0" borderId="0" xfId="0" applyNumberFormat="1" applyFont="1"/>
    <xf numFmtId="0" fontId="3" fillId="0" borderId="0" xfId="0" applyFont="1"/>
    <xf numFmtId="166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tabSelected="1" workbookViewId="0">
      <selection activeCell="E17" sqref="E17"/>
    </sheetView>
  </sheetViews>
  <sheetFormatPr defaultRowHeight="15" x14ac:dyDescent="0.25"/>
  <cols>
    <col min="1" max="1" width="36.85546875" customWidth="1"/>
    <col min="2" max="2" width="62.28515625" customWidth="1"/>
  </cols>
  <sheetData>
    <row r="1" spans="1:4" x14ac:dyDescent="0.25">
      <c r="A1" s="1" t="s">
        <v>0</v>
      </c>
    </row>
    <row r="2" spans="1:4" x14ac:dyDescent="0.25">
      <c r="B2" t="s">
        <v>1</v>
      </c>
      <c r="C2" t="s">
        <v>2</v>
      </c>
      <c r="D2" t="s">
        <v>3</v>
      </c>
    </row>
    <row r="3" spans="1:4" x14ac:dyDescent="0.25">
      <c r="A3" t="s">
        <v>4</v>
      </c>
      <c r="B3" s="2">
        <v>600000</v>
      </c>
      <c r="C3" s="2">
        <v>400000</v>
      </c>
      <c r="D3" s="2">
        <v>200000</v>
      </c>
    </row>
    <row r="4" spans="1:4" x14ac:dyDescent="0.25">
      <c r="A4" t="s">
        <v>65</v>
      </c>
      <c r="B4" t="s">
        <v>66</v>
      </c>
      <c r="C4" s="3"/>
      <c r="D4" s="3"/>
    </row>
    <row r="5" spans="1:4" x14ac:dyDescent="0.25">
      <c r="A5" t="s">
        <v>29</v>
      </c>
      <c r="B5" s="2">
        <v>120000</v>
      </c>
      <c r="C5" s="7"/>
      <c r="D5" s="7"/>
    </row>
    <row r="6" spans="1:4" x14ac:dyDescent="0.25">
      <c r="A6" t="s">
        <v>30</v>
      </c>
      <c r="B6" s="2">
        <v>50000</v>
      </c>
      <c r="C6" s="4"/>
      <c r="D6" s="4"/>
    </row>
    <row r="7" spans="1:4" x14ac:dyDescent="0.25">
      <c r="A7" t="s">
        <v>67</v>
      </c>
      <c r="B7" t="s">
        <v>35</v>
      </c>
    </row>
    <row r="8" spans="1:4" x14ac:dyDescent="0.25">
      <c r="A8" t="s">
        <v>33</v>
      </c>
      <c r="B8" s="2">
        <v>240000</v>
      </c>
    </row>
    <row r="9" spans="1:4" x14ac:dyDescent="0.25">
      <c r="A9" t="s">
        <v>67</v>
      </c>
      <c r="B9" s="5">
        <f>240000/600000</f>
        <v>0.4</v>
      </c>
    </row>
    <row r="10" spans="1:4" x14ac:dyDescent="0.25">
      <c r="A10" t="s">
        <v>65</v>
      </c>
      <c r="B10" s="5">
        <f>(120000+50000)/0.4</f>
        <v>425000</v>
      </c>
    </row>
    <row r="14" spans="1:4" x14ac:dyDescent="0.25">
      <c r="A14" t="s">
        <v>60</v>
      </c>
    </row>
    <row r="15" spans="1:4" x14ac:dyDescent="0.25">
      <c r="B15" t="s">
        <v>61</v>
      </c>
      <c r="C15" t="s">
        <v>3</v>
      </c>
    </row>
    <row r="16" spans="1:4" x14ac:dyDescent="0.25">
      <c r="A16" t="s">
        <v>4</v>
      </c>
      <c r="B16" s="2">
        <v>400000</v>
      </c>
      <c r="C16" s="2">
        <v>200000</v>
      </c>
    </row>
    <row r="17" spans="1:3" x14ac:dyDescent="0.25">
      <c r="A17" t="s">
        <v>5</v>
      </c>
      <c r="B17" s="2">
        <v>280000</v>
      </c>
      <c r="C17" s="2">
        <v>80000</v>
      </c>
    </row>
    <row r="18" spans="1:3" x14ac:dyDescent="0.25">
      <c r="A18" t="s">
        <v>62</v>
      </c>
      <c r="B18">
        <f>(280000/400000)*100</f>
        <v>70</v>
      </c>
      <c r="C18">
        <f>(80000/200000)*100</f>
        <v>40</v>
      </c>
    </row>
    <row r="19" spans="1:3" x14ac:dyDescent="0.25">
      <c r="A19" t="s">
        <v>63</v>
      </c>
      <c r="B19" s="2">
        <v>60000</v>
      </c>
      <c r="C19" s="2">
        <v>60000</v>
      </c>
    </row>
    <row r="20" spans="1:3" x14ac:dyDescent="0.25">
      <c r="A20" t="s">
        <v>64</v>
      </c>
      <c r="B20" s="8">
        <f>(60000*100)/70</f>
        <v>85714.28571428571</v>
      </c>
      <c r="C20" s="5">
        <f>(60000*100)/40</f>
        <v>150000</v>
      </c>
    </row>
  </sheetData>
  <pageMargins left="0.7" right="0.7" top="0.75" bottom="0.75" header="0.3" footer="0.3"/>
  <pageSetup orientation="portrait" horizontalDpi="0" verticalDpi="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5"/>
  <sheetViews>
    <sheetView topLeftCell="A28" workbookViewId="0">
      <selection activeCell="E50" sqref="E50"/>
    </sheetView>
  </sheetViews>
  <sheetFormatPr defaultRowHeight="15" x14ac:dyDescent="0.25"/>
  <cols>
    <col min="1" max="1" width="49" customWidth="1"/>
    <col min="2" max="2" width="84.5703125" customWidth="1"/>
  </cols>
  <sheetData>
    <row r="1" spans="1:3" x14ac:dyDescent="0.25">
      <c r="A1" t="s">
        <v>6</v>
      </c>
    </row>
    <row r="2" spans="1:3" x14ac:dyDescent="0.25">
      <c r="A2" t="s">
        <v>7</v>
      </c>
      <c r="B2" s="2">
        <v>300000</v>
      </c>
    </row>
    <row r="3" spans="1:3" x14ac:dyDescent="0.25">
      <c r="A3" t="s">
        <v>8</v>
      </c>
      <c r="B3" s="3">
        <v>25000</v>
      </c>
    </row>
    <row r="4" spans="1:3" x14ac:dyDescent="0.25">
      <c r="A4" t="s">
        <v>9</v>
      </c>
      <c r="B4" t="s">
        <v>10</v>
      </c>
      <c r="C4" s="7">
        <f>300000/25000</f>
        <v>12</v>
      </c>
    </row>
    <row r="5" spans="1:3" x14ac:dyDescent="0.25">
      <c r="A5" t="s">
        <v>11</v>
      </c>
    </row>
    <row r="6" spans="1:3" x14ac:dyDescent="0.25">
      <c r="A6" t="s">
        <v>15</v>
      </c>
      <c r="B6" s="2">
        <v>6</v>
      </c>
    </row>
    <row r="7" spans="1:3" x14ac:dyDescent="0.25">
      <c r="A7" t="s">
        <v>16</v>
      </c>
      <c r="B7" s="2">
        <v>9</v>
      </c>
    </row>
    <row r="8" spans="1:3" x14ac:dyDescent="0.25">
      <c r="A8" t="s">
        <v>17</v>
      </c>
      <c r="B8" s="2">
        <v>3</v>
      </c>
    </row>
    <row r="9" spans="1:3" x14ac:dyDescent="0.25">
      <c r="A9" t="s">
        <v>18</v>
      </c>
      <c r="B9" s="2" t="s">
        <v>19</v>
      </c>
      <c r="C9" s="7">
        <f>6+9+12+3</f>
        <v>30</v>
      </c>
    </row>
    <row r="10" spans="1:3" x14ac:dyDescent="0.25">
      <c r="B10" s="2"/>
    </row>
    <row r="11" spans="1:3" x14ac:dyDescent="0.25">
      <c r="A11" t="s">
        <v>12</v>
      </c>
      <c r="B11" s="3">
        <v>20000</v>
      </c>
    </row>
    <row r="12" spans="1:3" x14ac:dyDescent="0.25">
      <c r="A12" t="s">
        <v>13</v>
      </c>
      <c r="B12" s="2">
        <v>50</v>
      </c>
    </row>
    <row r="13" spans="1:3" x14ac:dyDescent="0.25">
      <c r="A13" t="s">
        <v>14</v>
      </c>
      <c r="B13" t="s">
        <v>22</v>
      </c>
      <c r="C13">
        <f>20000*50</f>
        <v>1000000</v>
      </c>
    </row>
    <row r="14" spans="1:3" x14ac:dyDescent="0.25">
      <c r="A14" t="s">
        <v>20</v>
      </c>
      <c r="B14" t="s">
        <v>21</v>
      </c>
      <c r="C14">
        <f>25000*30</f>
        <v>750000</v>
      </c>
    </row>
    <row r="15" spans="1:3" x14ac:dyDescent="0.25">
      <c r="A15" t="s">
        <v>23</v>
      </c>
      <c r="B15" t="s">
        <v>24</v>
      </c>
      <c r="C15">
        <f>5000*30</f>
        <v>150000</v>
      </c>
    </row>
    <row r="16" spans="1:3" x14ac:dyDescent="0.25">
      <c r="A16" t="s">
        <v>25</v>
      </c>
      <c r="B16" t="s">
        <v>26</v>
      </c>
      <c r="C16" s="7">
        <f>C14-C15</f>
        <v>600000</v>
      </c>
    </row>
    <row r="17" spans="1:3" x14ac:dyDescent="0.25">
      <c r="A17" t="s">
        <v>68</v>
      </c>
      <c r="B17" t="s">
        <v>69</v>
      </c>
      <c r="C17" s="7">
        <f>1000000-600000</f>
        <v>400000</v>
      </c>
    </row>
    <row r="18" spans="1:3" x14ac:dyDescent="0.25">
      <c r="A18" t="s">
        <v>70</v>
      </c>
      <c r="B18" s="7">
        <f>4*20000</f>
        <v>80000</v>
      </c>
    </row>
    <row r="19" spans="1:3" x14ac:dyDescent="0.25">
      <c r="A19" t="s">
        <v>71</v>
      </c>
      <c r="B19" s="2">
        <v>190000</v>
      </c>
    </row>
    <row r="20" spans="1:3" x14ac:dyDescent="0.25">
      <c r="A20" t="s">
        <v>72</v>
      </c>
      <c r="B20" t="s">
        <v>73</v>
      </c>
      <c r="C20" s="5">
        <f>400000-(80000+190000)</f>
        <v>130000</v>
      </c>
    </row>
    <row r="22" spans="1:3" x14ac:dyDescent="0.25">
      <c r="A22" t="s">
        <v>74</v>
      </c>
    </row>
    <row r="23" spans="1:3" x14ac:dyDescent="0.25">
      <c r="A23" t="s">
        <v>75</v>
      </c>
      <c r="B23" s="2">
        <v>6</v>
      </c>
    </row>
    <row r="24" spans="1:3" x14ac:dyDescent="0.25">
      <c r="A24" t="s">
        <v>16</v>
      </c>
      <c r="B24" s="2">
        <v>9</v>
      </c>
    </row>
    <row r="25" spans="1:3" x14ac:dyDescent="0.25">
      <c r="A25" t="s">
        <v>17</v>
      </c>
      <c r="B25" s="2">
        <v>3</v>
      </c>
    </row>
    <row r="26" spans="1:3" x14ac:dyDescent="0.25">
      <c r="A26" t="s">
        <v>18</v>
      </c>
      <c r="B26" t="s">
        <v>76</v>
      </c>
      <c r="C26">
        <f>6+9+3</f>
        <v>18</v>
      </c>
    </row>
    <row r="27" spans="1:3" x14ac:dyDescent="0.25">
      <c r="A27" t="s">
        <v>77</v>
      </c>
    </row>
    <row r="29" spans="1:3" x14ac:dyDescent="0.25">
      <c r="A29" t="s">
        <v>78</v>
      </c>
    </row>
    <row r="30" spans="1:3" x14ac:dyDescent="0.25">
      <c r="A30" t="s">
        <v>79</v>
      </c>
      <c r="B30" s="3">
        <v>20000</v>
      </c>
    </row>
    <row r="31" spans="1:3" x14ac:dyDescent="0.25">
      <c r="A31" t="s">
        <v>80</v>
      </c>
      <c r="B31" s="2">
        <v>50</v>
      </c>
    </row>
    <row r="32" spans="1:3" x14ac:dyDescent="0.25">
      <c r="A32" t="s">
        <v>4</v>
      </c>
      <c r="B32" t="s">
        <v>81</v>
      </c>
      <c r="C32" s="7">
        <f>20000*50</f>
        <v>1000000</v>
      </c>
    </row>
    <row r="33" spans="1:3" x14ac:dyDescent="0.25">
      <c r="A33" t="s">
        <v>82</v>
      </c>
      <c r="B33" s="2">
        <v>18</v>
      </c>
    </row>
    <row r="34" spans="1:3" x14ac:dyDescent="0.25">
      <c r="A34" t="s">
        <v>83</v>
      </c>
      <c r="B34" s="3">
        <v>25000</v>
      </c>
    </row>
    <row r="35" spans="1:3" x14ac:dyDescent="0.25">
      <c r="A35" t="s">
        <v>20</v>
      </c>
      <c r="B35" t="s">
        <v>84</v>
      </c>
      <c r="C35" s="7">
        <f>18*25000</f>
        <v>450000</v>
      </c>
    </row>
    <row r="36" spans="1:3" x14ac:dyDescent="0.25">
      <c r="A36" t="s">
        <v>85</v>
      </c>
      <c r="B36" s="2">
        <v>450000</v>
      </c>
    </row>
    <row r="37" spans="1:3" x14ac:dyDescent="0.25">
      <c r="A37" t="s">
        <v>86</v>
      </c>
      <c r="B37">
        <v>5000</v>
      </c>
    </row>
    <row r="38" spans="1:3" x14ac:dyDescent="0.25">
      <c r="A38" t="s">
        <v>87</v>
      </c>
      <c r="B38" t="s">
        <v>88</v>
      </c>
      <c r="C38" s="7">
        <f>5000*18</f>
        <v>90000</v>
      </c>
    </row>
    <row r="39" spans="1:3" x14ac:dyDescent="0.25">
      <c r="A39" t="s">
        <v>25</v>
      </c>
      <c r="B39" t="s">
        <v>89</v>
      </c>
      <c r="C39" s="7">
        <f>450000-90000</f>
        <v>360000</v>
      </c>
    </row>
    <row r="40" spans="1:3" x14ac:dyDescent="0.25">
      <c r="A40" t="s">
        <v>90</v>
      </c>
      <c r="B40" t="s">
        <v>91</v>
      </c>
      <c r="C40" s="7">
        <f>1000000-360000</f>
        <v>640000</v>
      </c>
    </row>
    <row r="41" spans="1:3" x14ac:dyDescent="0.25">
      <c r="A41" t="s">
        <v>92</v>
      </c>
      <c r="B41">
        <f>4*20000</f>
        <v>80000</v>
      </c>
    </row>
    <row r="42" spans="1:3" x14ac:dyDescent="0.25">
      <c r="A42" t="s">
        <v>93</v>
      </c>
      <c r="B42" t="s">
        <v>94</v>
      </c>
      <c r="C42" s="7">
        <f>640000-80000</f>
        <v>560000</v>
      </c>
    </row>
    <row r="43" spans="1:3" x14ac:dyDescent="0.25">
      <c r="A43" t="s">
        <v>95</v>
      </c>
      <c r="B43" s="2">
        <v>300000</v>
      </c>
    </row>
    <row r="44" spans="1:3" x14ac:dyDescent="0.25">
      <c r="A44" t="s">
        <v>71</v>
      </c>
      <c r="B44" s="2">
        <v>190000</v>
      </c>
    </row>
    <row r="45" spans="1:3" x14ac:dyDescent="0.25">
      <c r="A45" t="s">
        <v>96</v>
      </c>
      <c r="B45" t="s">
        <v>97</v>
      </c>
      <c r="C45" s="5">
        <f>560000-(300000+190000)</f>
        <v>70000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"/>
  <sheetViews>
    <sheetView topLeftCell="A16" workbookViewId="0"/>
  </sheetViews>
  <sheetFormatPr defaultRowHeight="15" x14ac:dyDescent="0.25"/>
  <cols>
    <col min="1" max="1" width="28.85546875" customWidth="1"/>
    <col min="2" max="2" width="46.42578125" customWidth="1"/>
    <col min="3" max="3" width="13.28515625" customWidth="1"/>
    <col min="4" max="4" width="13.7109375" customWidth="1"/>
  </cols>
  <sheetData>
    <row r="1" spans="1:3" x14ac:dyDescent="0.25">
      <c r="A1" t="s">
        <v>27</v>
      </c>
      <c r="B1" s="2"/>
    </row>
    <row r="2" spans="1:3" x14ac:dyDescent="0.25">
      <c r="A2" t="s">
        <v>4</v>
      </c>
      <c r="B2" s="2">
        <v>500000</v>
      </c>
    </row>
    <row r="3" spans="1:3" x14ac:dyDescent="0.25">
      <c r="A3" t="s">
        <v>34</v>
      </c>
      <c r="B3" s="4">
        <v>0.46</v>
      </c>
    </row>
    <row r="4" spans="1:3" x14ac:dyDescent="0.25">
      <c r="A4" t="s">
        <v>126</v>
      </c>
      <c r="B4" s="2">
        <v>10000</v>
      </c>
    </row>
    <row r="5" spans="1:3" x14ac:dyDescent="0.25">
      <c r="A5" t="s">
        <v>5</v>
      </c>
      <c r="B5" t="s">
        <v>127</v>
      </c>
      <c r="C5" s="7">
        <f>500000-(0.46*500000)</f>
        <v>270000</v>
      </c>
    </row>
    <row r="7" spans="1:3" x14ac:dyDescent="0.25">
      <c r="B7" t="s">
        <v>128</v>
      </c>
    </row>
    <row r="8" spans="1:3" x14ac:dyDescent="0.25">
      <c r="A8" t="s">
        <v>4</v>
      </c>
      <c r="B8" s="2">
        <v>500000</v>
      </c>
    </row>
    <row r="9" spans="1:3" x14ac:dyDescent="0.25">
      <c r="A9" t="s">
        <v>5</v>
      </c>
      <c r="B9" s="2">
        <v>270000</v>
      </c>
    </row>
    <row r="10" spans="1:3" x14ac:dyDescent="0.25">
      <c r="A10" t="s">
        <v>133</v>
      </c>
      <c r="B10" t="s">
        <v>130</v>
      </c>
      <c r="C10" s="7">
        <f>500000-270000</f>
        <v>230000</v>
      </c>
    </row>
    <row r="11" spans="1:3" x14ac:dyDescent="0.25">
      <c r="A11" t="s">
        <v>131</v>
      </c>
      <c r="B11" s="2">
        <v>150000</v>
      </c>
    </row>
    <row r="12" spans="1:3" x14ac:dyDescent="0.25">
      <c r="A12" t="s">
        <v>132</v>
      </c>
      <c r="B12" s="4">
        <v>0.5</v>
      </c>
    </row>
    <row r="13" spans="1:3" x14ac:dyDescent="0.25">
      <c r="A13" t="s">
        <v>28</v>
      </c>
      <c r="B13" t="s">
        <v>134</v>
      </c>
      <c r="C13" s="7">
        <f>150000/0.5</f>
        <v>300000</v>
      </c>
    </row>
    <row r="14" spans="1:3" x14ac:dyDescent="0.25">
      <c r="A14" t="s">
        <v>135</v>
      </c>
      <c r="B14" t="s">
        <v>136</v>
      </c>
      <c r="C14" s="7">
        <f>500000-300000</f>
        <v>200000</v>
      </c>
    </row>
    <row r="15" spans="1:3" x14ac:dyDescent="0.25">
      <c r="A15" t="s">
        <v>137</v>
      </c>
      <c r="B15" t="s">
        <v>138</v>
      </c>
      <c r="C15" s="7">
        <f>300000-(0.5*300000)</f>
        <v>150000</v>
      </c>
    </row>
    <row r="16" spans="1:3" x14ac:dyDescent="0.25">
      <c r="A16" t="s">
        <v>139</v>
      </c>
      <c r="B16" t="s">
        <v>141</v>
      </c>
      <c r="C16" s="7">
        <f>270000-150000</f>
        <v>120000</v>
      </c>
    </row>
    <row r="17" spans="1:4" x14ac:dyDescent="0.25">
      <c r="A17" t="s">
        <v>140</v>
      </c>
      <c r="B17" t="s">
        <v>142</v>
      </c>
      <c r="C17" s="7">
        <f>230000-150000</f>
        <v>80000</v>
      </c>
    </row>
    <row r="18" spans="1:4" x14ac:dyDescent="0.25">
      <c r="A18" t="s">
        <v>145</v>
      </c>
      <c r="B18" s="2">
        <v>30000</v>
      </c>
      <c r="C18" s="7"/>
    </row>
    <row r="19" spans="1:4" x14ac:dyDescent="0.25">
      <c r="A19" t="s">
        <v>143</v>
      </c>
      <c r="B19" t="s">
        <v>144</v>
      </c>
      <c r="C19" s="7">
        <f>80000-30000</f>
        <v>50000</v>
      </c>
    </row>
    <row r="20" spans="1:4" x14ac:dyDescent="0.25">
      <c r="A20" t="s">
        <v>30</v>
      </c>
      <c r="B20" s="2">
        <v>90000</v>
      </c>
    </row>
    <row r="21" spans="1:4" x14ac:dyDescent="0.25">
      <c r="A21" t="s">
        <v>146</v>
      </c>
      <c r="B21" s="2">
        <v>10000</v>
      </c>
    </row>
    <row r="22" spans="1:4" x14ac:dyDescent="0.25">
      <c r="A22" t="s">
        <v>147</v>
      </c>
      <c r="B22" t="s">
        <v>148</v>
      </c>
      <c r="C22" s="7">
        <f>90000+10000</f>
        <v>100000</v>
      </c>
    </row>
    <row r="23" spans="1:4" x14ac:dyDescent="0.25">
      <c r="A23" t="s">
        <v>149</v>
      </c>
      <c r="B23" t="s">
        <v>150</v>
      </c>
      <c r="C23" s="7">
        <f>100000-30000</f>
        <v>70000</v>
      </c>
    </row>
    <row r="24" spans="1:4" x14ac:dyDescent="0.25">
      <c r="A24" t="s">
        <v>151</v>
      </c>
      <c r="B24" t="s">
        <v>152</v>
      </c>
      <c r="C24" s="7">
        <f>230000-100000</f>
        <v>130000</v>
      </c>
    </row>
    <row r="25" spans="1:4" x14ac:dyDescent="0.25">
      <c r="A25" t="s">
        <v>153</v>
      </c>
      <c r="B25" t="s">
        <v>154</v>
      </c>
      <c r="C25" s="7">
        <f>130000-50000</f>
        <v>80000</v>
      </c>
    </row>
    <row r="27" spans="1:4" x14ac:dyDescent="0.25">
      <c r="B27" t="s">
        <v>128</v>
      </c>
      <c r="C27" t="s">
        <v>61</v>
      </c>
      <c r="D27" t="s">
        <v>3</v>
      </c>
    </row>
    <row r="28" spans="1:4" x14ac:dyDescent="0.25">
      <c r="A28" t="s">
        <v>4</v>
      </c>
      <c r="B28" s="2" t="s">
        <v>162</v>
      </c>
      <c r="C28" s="2" t="s">
        <v>163</v>
      </c>
      <c r="D28" s="2" t="s">
        <v>164</v>
      </c>
    </row>
    <row r="29" spans="1:4" x14ac:dyDescent="0.25">
      <c r="A29" t="s">
        <v>155</v>
      </c>
      <c r="B29" s="2" t="s">
        <v>161</v>
      </c>
      <c r="C29" s="2" t="s">
        <v>165</v>
      </c>
      <c r="D29" s="2" t="s">
        <v>166</v>
      </c>
    </row>
    <row r="30" spans="1:4" x14ac:dyDescent="0.25">
      <c r="A30" t="s">
        <v>129</v>
      </c>
      <c r="B30" s="2" t="s">
        <v>160</v>
      </c>
      <c r="C30" s="2" t="s">
        <v>165</v>
      </c>
      <c r="D30" s="2" t="s">
        <v>167</v>
      </c>
    </row>
    <row r="31" spans="1:4" x14ac:dyDescent="0.25">
      <c r="A31" t="s">
        <v>156</v>
      </c>
      <c r="B31" s="2" t="s">
        <v>168</v>
      </c>
      <c r="C31" s="2" t="s">
        <v>169</v>
      </c>
      <c r="D31" s="2" t="s">
        <v>170</v>
      </c>
    </row>
    <row r="32" spans="1:4" x14ac:dyDescent="0.25">
      <c r="A32" t="s">
        <v>113</v>
      </c>
      <c r="B32" s="2" t="s">
        <v>171</v>
      </c>
      <c r="C32" s="2" t="s">
        <v>172</v>
      </c>
      <c r="D32" s="2" t="s">
        <v>173</v>
      </c>
    </row>
    <row r="33" spans="1:4" x14ac:dyDescent="0.25">
      <c r="A33" t="s">
        <v>157</v>
      </c>
      <c r="B33" s="2" t="s">
        <v>174</v>
      </c>
      <c r="C33" s="2">
        <v>0</v>
      </c>
      <c r="D33" s="2">
        <v>0</v>
      </c>
    </row>
    <row r="34" spans="1:4" x14ac:dyDescent="0.25">
      <c r="A34" t="s">
        <v>146</v>
      </c>
      <c r="B34" s="2" t="s">
        <v>175</v>
      </c>
    </row>
    <row r="37" spans="1:4" x14ac:dyDescent="0.25">
      <c r="A37" t="s">
        <v>158</v>
      </c>
      <c r="B37" t="s">
        <v>159</v>
      </c>
    </row>
    <row r="38" spans="1:4" x14ac:dyDescent="0.25">
      <c r="A38" t="s">
        <v>176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4"/>
  <sheetViews>
    <sheetView topLeftCell="A35" workbookViewId="0">
      <selection activeCell="C53" sqref="C53"/>
    </sheetView>
  </sheetViews>
  <sheetFormatPr defaultRowHeight="15" x14ac:dyDescent="0.25"/>
  <cols>
    <col min="1" max="1" width="39.28515625" customWidth="1"/>
    <col min="2" max="2" width="57.5703125" customWidth="1"/>
  </cols>
  <sheetData>
    <row r="1" spans="1:4" x14ac:dyDescent="0.25">
      <c r="A1" t="s">
        <v>39</v>
      </c>
    </row>
    <row r="2" spans="1:4" x14ac:dyDescent="0.25">
      <c r="A2" t="s">
        <v>29</v>
      </c>
      <c r="B2" s="2">
        <v>141000</v>
      </c>
    </row>
    <row r="3" spans="1:4" x14ac:dyDescent="0.25">
      <c r="A3" t="s">
        <v>30</v>
      </c>
      <c r="B3" s="2">
        <v>59000</v>
      </c>
    </row>
    <row r="4" spans="1:4" x14ac:dyDescent="0.25">
      <c r="A4" t="s">
        <v>31</v>
      </c>
      <c r="B4" t="s">
        <v>32</v>
      </c>
      <c r="C4">
        <f>141000+59000</f>
        <v>200000</v>
      </c>
    </row>
    <row r="5" spans="1:4" x14ac:dyDescent="0.25">
      <c r="A5" t="s">
        <v>33</v>
      </c>
      <c r="B5" s="2">
        <v>225000</v>
      </c>
    </row>
    <row r="6" spans="1:4" x14ac:dyDescent="0.25">
      <c r="A6" t="s">
        <v>4</v>
      </c>
      <c r="B6" s="2">
        <v>900000</v>
      </c>
    </row>
    <row r="7" spans="1:4" x14ac:dyDescent="0.25">
      <c r="A7" t="s">
        <v>34</v>
      </c>
      <c r="B7" t="s">
        <v>35</v>
      </c>
      <c r="C7">
        <f>225000/900000</f>
        <v>0.25</v>
      </c>
      <c r="D7" s="6">
        <v>0.25</v>
      </c>
    </row>
    <row r="8" spans="1:4" x14ac:dyDescent="0.25">
      <c r="A8" t="s">
        <v>36</v>
      </c>
      <c r="B8" t="s">
        <v>37</v>
      </c>
      <c r="C8" s="5">
        <f>200000/0.25</f>
        <v>800000</v>
      </c>
    </row>
    <row r="9" spans="1:4" x14ac:dyDescent="0.25">
      <c r="A9" t="s">
        <v>38</v>
      </c>
    </row>
    <row r="11" spans="1:4" x14ac:dyDescent="0.25">
      <c r="A11" t="s">
        <v>40</v>
      </c>
    </row>
    <row r="12" spans="1:4" x14ac:dyDescent="0.25">
      <c r="A12" t="s">
        <v>33</v>
      </c>
      <c r="B12" s="2">
        <v>120000</v>
      </c>
    </row>
    <row r="13" spans="1:4" x14ac:dyDescent="0.25">
      <c r="A13" t="s">
        <v>4</v>
      </c>
      <c r="B13" s="2">
        <v>600000</v>
      </c>
    </row>
    <row r="14" spans="1:4" x14ac:dyDescent="0.25">
      <c r="A14" t="s">
        <v>34</v>
      </c>
      <c r="B14" t="s">
        <v>41</v>
      </c>
      <c r="C14">
        <f>120000/600000</f>
        <v>0.2</v>
      </c>
      <c r="D14" s="6">
        <v>0.2</v>
      </c>
    </row>
    <row r="15" spans="1:4" x14ac:dyDescent="0.25">
      <c r="A15" t="s">
        <v>42</v>
      </c>
      <c r="B15" s="2">
        <v>50000</v>
      </c>
    </row>
    <row r="16" spans="1:4" x14ac:dyDescent="0.25">
      <c r="A16" t="s">
        <v>34</v>
      </c>
      <c r="B16" s="4">
        <v>0.2</v>
      </c>
    </row>
    <row r="17" spans="1:4" x14ac:dyDescent="0.25">
      <c r="A17" t="s">
        <v>43</v>
      </c>
      <c r="B17" t="s">
        <v>44</v>
      </c>
      <c r="C17" s="5">
        <f>50000/0.2</f>
        <v>250000</v>
      </c>
    </row>
    <row r="18" spans="1:4" x14ac:dyDescent="0.25">
      <c r="A18" t="s">
        <v>45</v>
      </c>
    </row>
    <row r="20" spans="1:4" x14ac:dyDescent="0.25">
      <c r="A20" t="s">
        <v>46</v>
      </c>
    </row>
    <row r="21" spans="1:4" x14ac:dyDescent="0.25">
      <c r="A21" t="s">
        <v>33</v>
      </c>
      <c r="B21" s="2">
        <v>105000</v>
      </c>
    </row>
    <row r="22" spans="1:4" x14ac:dyDescent="0.25">
      <c r="A22" t="s">
        <v>4</v>
      </c>
      <c r="B22" s="2">
        <v>300000</v>
      </c>
    </row>
    <row r="23" spans="1:4" x14ac:dyDescent="0.25">
      <c r="A23" t="s">
        <v>34</v>
      </c>
      <c r="B23" t="s">
        <v>35</v>
      </c>
      <c r="C23">
        <f>105000/300000</f>
        <v>0.35</v>
      </c>
      <c r="D23" s="6">
        <v>0.35</v>
      </c>
    </row>
    <row r="24" spans="1:4" x14ac:dyDescent="0.25">
      <c r="A24" t="s">
        <v>47</v>
      </c>
      <c r="B24" s="2">
        <v>91000</v>
      </c>
    </row>
    <row r="25" spans="1:4" x14ac:dyDescent="0.25">
      <c r="A25" t="s">
        <v>34</v>
      </c>
      <c r="B25" s="4">
        <v>0.35</v>
      </c>
    </row>
    <row r="26" spans="1:4" x14ac:dyDescent="0.25">
      <c r="A26" t="s">
        <v>48</v>
      </c>
      <c r="B26" t="s">
        <v>49</v>
      </c>
      <c r="C26" s="5">
        <f>91000/0.35</f>
        <v>260000.00000000003</v>
      </c>
    </row>
    <row r="27" spans="1:4" x14ac:dyDescent="0.25">
      <c r="A27" t="s">
        <v>50</v>
      </c>
    </row>
    <row r="29" spans="1:4" x14ac:dyDescent="0.25">
      <c r="A29" t="s">
        <v>51</v>
      </c>
    </row>
    <row r="30" spans="1:4" x14ac:dyDescent="0.25">
      <c r="A30" t="s">
        <v>52</v>
      </c>
      <c r="B30" s="2">
        <v>250000</v>
      </c>
    </row>
    <row r="31" spans="1:4" x14ac:dyDescent="0.25">
      <c r="A31" t="s">
        <v>53</v>
      </c>
      <c r="B31" s="2">
        <v>260000</v>
      </c>
    </row>
    <row r="32" spans="1:4" x14ac:dyDescent="0.25">
      <c r="A32" t="s">
        <v>54</v>
      </c>
      <c r="B32" t="s">
        <v>55</v>
      </c>
      <c r="C32" s="7">
        <f>250000+260000</f>
        <v>510000</v>
      </c>
    </row>
    <row r="33" spans="1:3" x14ac:dyDescent="0.25">
      <c r="A33" t="s">
        <v>56</v>
      </c>
    </row>
    <row r="34" spans="1:3" x14ac:dyDescent="0.25">
      <c r="A34" t="s">
        <v>57</v>
      </c>
      <c r="B34" s="2">
        <v>480000</v>
      </c>
    </row>
    <row r="35" spans="1:3" x14ac:dyDescent="0.25">
      <c r="A35" t="s">
        <v>58</v>
      </c>
      <c r="B35" s="2">
        <v>600000</v>
      </c>
    </row>
    <row r="36" spans="1:3" x14ac:dyDescent="0.25">
      <c r="A36" t="s">
        <v>100</v>
      </c>
      <c r="B36" t="s">
        <v>59</v>
      </c>
      <c r="C36" s="7">
        <f>(480000*250000)/600000</f>
        <v>200000</v>
      </c>
    </row>
    <row r="37" spans="1:3" x14ac:dyDescent="0.25">
      <c r="A37" t="s">
        <v>98</v>
      </c>
      <c r="B37" s="2">
        <v>195000</v>
      </c>
    </row>
    <row r="38" spans="1:3" x14ac:dyDescent="0.25">
      <c r="A38" t="s">
        <v>99</v>
      </c>
      <c r="B38" s="2">
        <v>300000</v>
      </c>
    </row>
    <row r="39" spans="1:3" x14ac:dyDescent="0.25">
      <c r="A39" t="s">
        <v>101</v>
      </c>
      <c r="B39" t="s">
        <v>102</v>
      </c>
      <c r="C39" s="7">
        <f>(195000*260000)/300000</f>
        <v>169000</v>
      </c>
    </row>
    <row r="40" spans="1:3" x14ac:dyDescent="0.25">
      <c r="A40" t="s">
        <v>103</v>
      </c>
      <c r="B40" t="s">
        <v>104</v>
      </c>
      <c r="C40" s="7">
        <f>200000+169000</f>
        <v>369000</v>
      </c>
    </row>
    <row r="41" spans="1:3" x14ac:dyDescent="0.25">
      <c r="A41" t="s">
        <v>105</v>
      </c>
      <c r="B41" t="s">
        <v>107</v>
      </c>
      <c r="C41" s="7">
        <f>250000-200000</f>
        <v>50000</v>
      </c>
    </row>
    <row r="42" spans="1:3" x14ac:dyDescent="0.25">
      <c r="A42" t="s">
        <v>106</v>
      </c>
      <c r="B42" t="s">
        <v>108</v>
      </c>
      <c r="C42" s="7">
        <f>260000-169000</f>
        <v>91000</v>
      </c>
    </row>
    <row r="43" spans="1:3" x14ac:dyDescent="0.25">
      <c r="A43" t="s">
        <v>109</v>
      </c>
      <c r="B43" t="s">
        <v>110</v>
      </c>
      <c r="C43" s="7">
        <f>510000-369000</f>
        <v>141000</v>
      </c>
    </row>
    <row r="44" spans="1:3" x14ac:dyDescent="0.25">
      <c r="A44" t="s">
        <v>111</v>
      </c>
      <c r="B44" s="2">
        <v>50000</v>
      </c>
    </row>
    <row r="45" spans="1:3" x14ac:dyDescent="0.25">
      <c r="A45" t="s">
        <v>112</v>
      </c>
      <c r="B45" s="2">
        <v>50000</v>
      </c>
    </row>
    <row r="46" spans="1:3" x14ac:dyDescent="0.25">
      <c r="A46" t="s">
        <v>117</v>
      </c>
      <c r="B46" t="s">
        <v>114</v>
      </c>
      <c r="C46" s="7">
        <f>50000-50000</f>
        <v>0</v>
      </c>
    </row>
    <row r="47" spans="1:3" x14ac:dyDescent="0.25">
      <c r="A47" t="s">
        <v>115</v>
      </c>
      <c r="B47" s="2">
        <v>91000</v>
      </c>
    </row>
    <row r="48" spans="1:3" x14ac:dyDescent="0.25">
      <c r="A48" t="s">
        <v>116</v>
      </c>
      <c r="B48" s="2">
        <v>91000</v>
      </c>
    </row>
    <row r="49" spans="1:3" x14ac:dyDescent="0.25">
      <c r="A49" t="s">
        <v>118</v>
      </c>
      <c r="B49" t="s">
        <v>119</v>
      </c>
      <c r="C49" s="7">
        <f>91000-91000</f>
        <v>0</v>
      </c>
    </row>
    <row r="50" spans="1:3" x14ac:dyDescent="0.25">
      <c r="A50" t="s">
        <v>120</v>
      </c>
      <c r="B50" t="s">
        <v>121</v>
      </c>
      <c r="C50" s="7">
        <f>50000+91000</f>
        <v>141000</v>
      </c>
    </row>
    <row r="51" spans="1:3" x14ac:dyDescent="0.25">
      <c r="A51" t="s">
        <v>29</v>
      </c>
      <c r="B51" s="2">
        <v>141000</v>
      </c>
    </row>
    <row r="52" spans="1:3" x14ac:dyDescent="0.25">
      <c r="A52" t="s">
        <v>113</v>
      </c>
      <c r="B52" t="s">
        <v>122</v>
      </c>
      <c r="C52" s="7">
        <f>141000-141000</f>
        <v>0</v>
      </c>
    </row>
    <row r="53" spans="1:3" x14ac:dyDescent="0.25">
      <c r="A53" t="s">
        <v>123</v>
      </c>
      <c r="B53" t="s">
        <v>124</v>
      </c>
      <c r="C53" s="5">
        <f>0-59000</f>
        <v>-59000</v>
      </c>
    </row>
    <row r="54" spans="1:3" x14ac:dyDescent="0.25">
      <c r="A54" t="s">
        <v>125</v>
      </c>
    </row>
  </sheetData>
  <pageMargins left="0.7" right="0.7" top="0.75" bottom="0.75" header="0.3" footer="0.3"/>
  <pageSetup orientation="portrait" horizontalDpi="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2019-10-31T23:06:09Z</dcterms:modified>
</cp:coreProperties>
</file>