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F13" i="5" l="1"/>
  <c r="E13" i="5"/>
  <c r="D13" i="5"/>
  <c r="C13" i="5"/>
  <c r="B13" i="5"/>
  <c r="F12" i="5"/>
  <c r="E12" i="5"/>
  <c r="D12" i="5"/>
  <c r="C12" i="5"/>
  <c r="B12" i="5"/>
  <c r="F11" i="5"/>
  <c r="C11" i="5"/>
  <c r="F7" i="5"/>
  <c r="E7" i="5"/>
  <c r="D7" i="5"/>
  <c r="C7" i="5"/>
  <c r="B7" i="5"/>
  <c r="F6" i="5"/>
  <c r="F5" i="5"/>
  <c r="E5" i="5"/>
  <c r="D5" i="5"/>
  <c r="C5" i="5"/>
  <c r="B5" i="5"/>
  <c r="F4" i="5"/>
  <c r="B13" i="4" l="1"/>
  <c r="F9" i="4"/>
  <c r="E9" i="4"/>
  <c r="D9" i="4"/>
  <c r="C9" i="4"/>
  <c r="B9" i="4"/>
  <c r="F8" i="4"/>
  <c r="F7" i="4"/>
  <c r="E7" i="4"/>
  <c r="D7" i="4"/>
  <c r="C7" i="4"/>
  <c r="B7" i="4"/>
  <c r="F6" i="4"/>
  <c r="F5" i="4"/>
  <c r="E5" i="4"/>
  <c r="D5" i="4"/>
  <c r="C5" i="4"/>
  <c r="B5" i="4"/>
  <c r="F3" i="4"/>
  <c r="F12" i="3"/>
  <c r="E12" i="3"/>
  <c r="D12" i="3"/>
  <c r="C12" i="3"/>
  <c r="B12" i="3"/>
  <c r="F10" i="3"/>
  <c r="E10" i="3"/>
  <c r="D10" i="3"/>
  <c r="C10" i="3"/>
  <c r="B10" i="3"/>
  <c r="F9" i="3"/>
  <c r="F8" i="3"/>
  <c r="F7" i="3"/>
  <c r="E8" i="3"/>
  <c r="D8" i="3"/>
  <c r="C8" i="3"/>
  <c r="B8" i="3"/>
  <c r="D7" i="3"/>
  <c r="C7" i="3"/>
  <c r="B7" i="3"/>
  <c r="F6" i="3"/>
  <c r="E6" i="3"/>
  <c r="D6" i="3"/>
  <c r="C6" i="3"/>
  <c r="B6" i="3"/>
  <c r="F4" i="3"/>
  <c r="E17" i="2"/>
  <c r="D17" i="2"/>
  <c r="C17" i="2"/>
  <c r="B17" i="2"/>
  <c r="D15" i="2"/>
  <c r="C15" i="2"/>
  <c r="B15" i="2"/>
  <c r="E13" i="2"/>
  <c r="D5" i="2"/>
  <c r="C5" i="2"/>
  <c r="B5" i="2"/>
  <c r="B13" i="1"/>
  <c r="B12" i="1"/>
  <c r="B11" i="1"/>
  <c r="E8" i="1"/>
  <c r="D8" i="1"/>
  <c r="C8" i="1"/>
  <c r="B8" i="1"/>
  <c r="D7" i="1"/>
  <c r="E6" i="1"/>
  <c r="D6" i="1"/>
  <c r="C6" i="1"/>
  <c r="E5" i="1"/>
  <c r="D5" i="1"/>
  <c r="C5" i="1"/>
  <c r="B5" i="1"/>
  <c r="E4" i="1"/>
  <c r="C4" i="1"/>
  <c r="B4" i="1"/>
  <c r="B3" i="1"/>
</calcChain>
</file>

<file path=xl/sharedStrings.xml><?xml version="1.0" encoding="utf-8"?>
<sst xmlns="http://schemas.openxmlformats.org/spreadsheetml/2006/main" count="90" uniqueCount="77">
  <si>
    <t>April</t>
  </si>
  <si>
    <t>May</t>
  </si>
  <si>
    <t xml:space="preserve">June </t>
  </si>
  <si>
    <t>Total</t>
  </si>
  <si>
    <t>February Sales</t>
  </si>
  <si>
    <t>March Sales</t>
  </si>
  <si>
    <t>April Sales</t>
  </si>
  <si>
    <t>May Sales</t>
  </si>
  <si>
    <t>June Sales</t>
  </si>
  <si>
    <t>Total cash collection</t>
  </si>
  <si>
    <t>2).</t>
  </si>
  <si>
    <t>May sales</t>
  </si>
  <si>
    <t>June sales</t>
  </si>
  <si>
    <t>Total receivable June 30</t>
  </si>
  <si>
    <t>Particulars</t>
  </si>
  <si>
    <t xml:space="preserve">May </t>
  </si>
  <si>
    <t>June</t>
  </si>
  <si>
    <t>Budget sales in following month</t>
  </si>
  <si>
    <t>Percentage of end of month inventory of following month's sales</t>
  </si>
  <si>
    <t>Inventory value at the end of the month</t>
  </si>
  <si>
    <t>Value of the inventory at the end of the quarter is $8,000.</t>
  </si>
  <si>
    <t>March</t>
  </si>
  <si>
    <t>Closing inventory of preceeding month</t>
  </si>
  <si>
    <t>Beginning inventory of current month</t>
  </si>
  <si>
    <t>Quarter</t>
  </si>
  <si>
    <t>Budgeted sales</t>
  </si>
  <si>
    <t>Inventory required in hand at the end of the month</t>
  </si>
  <si>
    <t>Total requirement</t>
  </si>
  <si>
    <t>Inventory in the beginning</t>
  </si>
  <si>
    <t>Required production</t>
  </si>
  <si>
    <t xml:space="preserve">First </t>
  </si>
  <si>
    <t>Second</t>
  </si>
  <si>
    <t>Third</t>
  </si>
  <si>
    <t>Fourth</t>
  </si>
  <si>
    <t>Year</t>
  </si>
  <si>
    <t>Required production of finished goods</t>
  </si>
  <si>
    <t>Units of beginning raw material inventory</t>
  </si>
  <si>
    <t>Total units of raw materials needed</t>
  </si>
  <si>
    <t>Units of ending raw material inventory</t>
  </si>
  <si>
    <t>Units of raw material needed to meet production</t>
  </si>
  <si>
    <t>Units of raw material needed per unit of finished goods</t>
  </si>
  <si>
    <t xml:space="preserve">Units of raw materials to be purchased </t>
  </si>
  <si>
    <t>Unit cost of raw materials per gram</t>
  </si>
  <si>
    <t xml:space="preserve">Cost of raw material purchased </t>
  </si>
  <si>
    <t>Total cost of raw materials to be purchased in the year is $1,809,000</t>
  </si>
  <si>
    <t>1st Quarter</t>
  </si>
  <si>
    <t>2nd Quarter</t>
  </si>
  <si>
    <t>3rd Quarter</t>
  </si>
  <si>
    <t>4th Quarter</t>
  </si>
  <si>
    <t>Budgeted direct labor-hours</t>
  </si>
  <si>
    <t>Variable overhead cost</t>
  </si>
  <si>
    <t>Variable manufacturing overhead</t>
  </si>
  <si>
    <t>Fixed manufacturing overhead</t>
  </si>
  <si>
    <t>Total manufacturing overhead</t>
  </si>
  <si>
    <t>Depreciation</t>
  </si>
  <si>
    <t xml:space="preserve">Cash disbursement for manufacturing overhead </t>
  </si>
  <si>
    <t>Manufacturing overhead rate for the year</t>
  </si>
  <si>
    <t>8-1)</t>
  </si>
  <si>
    <t>8-2).</t>
  </si>
  <si>
    <t>8.3). Direct materials year-2</t>
  </si>
  <si>
    <t>8-5).</t>
  </si>
  <si>
    <t>8-7).</t>
  </si>
  <si>
    <t>Quarter 1</t>
  </si>
  <si>
    <t>Quarter 2</t>
  </si>
  <si>
    <t xml:space="preserve">Quarter 3 </t>
  </si>
  <si>
    <t>Quarter 4</t>
  </si>
  <si>
    <t>Beginning cash balance</t>
  </si>
  <si>
    <t>Cash Receipts</t>
  </si>
  <si>
    <t>Total Cash available</t>
  </si>
  <si>
    <t>Cash disbursement</t>
  </si>
  <si>
    <t>Excess of cash</t>
  </si>
  <si>
    <t>Borrowings(beginning of Quarter)</t>
  </si>
  <si>
    <t>Repayments</t>
  </si>
  <si>
    <t>Interest</t>
  </si>
  <si>
    <t xml:space="preserve">Total Financing </t>
  </si>
  <si>
    <t>Ending cash balance</t>
  </si>
  <si>
    <t>Production required for second quarter is 2,18,000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</si>
</sst>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0" borderId="0" xfId="0" applyFont="1"/>
    <xf numFmtId="6" fontId="2" fillId="0" borderId="0" xfId="0" applyNumberFormat="1" applyFont="1"/>
    <xf numFmtId="3" fontId="0" fillId="0" borderId="0" xfId="0" applyNumberFormat="1"/>
    <xf numFmtId="9" fontId="0" fillId="0" borderId="0" xfId="0" applyNumberFormat="1"/>
    <xf numFmtId="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" sqref="B1"/>
    </sheetView>
  </sheetViews>
  <sheetFormatPr defaultRowHeight="15" x14ac:dyDescent="0.25"/>
  <cols>
    <col min="1" max="1" width="21.7109375" customWidth="1"/>
  </cols>
  <sheetData>
    <row r="1" spans="1:6" x14ac:dyDescent="0.25">
      <c r="A1" t="s">
        <v>57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  <c r="B3">
        <f>(230000*10)/100</f>
        <v>23000</v>
      </c>
      <c r="E3" s="4">
        <v>23000</v>
      </c>
    </row>
    <row r="4" spans="1:6" x14ac:dyDescent="0.25">
      <c r="A4" t="s">
        <v>5</v>
      </c>
      <c r="B4">
        <f>(260000*70)/100</f>
        <v>182000</v>
      </c>
      <c r="C4">
        <f>(260000*10)/100</f>
        <v>26000</v>
      </c>
      <c r="E4" s="3">
        <f>182000+26000</f>
        <v>208000</v>
      </c>
    </row>
    <row r="5" spans="1:6" x14ac:dyDescent="0.25">
      <c r="A5" t="s">
        <v>6</v>
      </c>
      <c r="B5">
        <f>(300000*20)/100</f>
        <v>60000</v>
      </c>
      <c r="C5">
        <f>(300000*70)/100</f>
        <v>210000</v>
      </c>
      <c r="D5">
        <f>(300000*10)/100</f>
        <v>30000</v>
      </c>
      <c r="E5" s="3">
        <f>60000+210000+30000</f>
        <v>300000</v>
      </c>
    </row>
    <row r="6" spans="1:6" x14ac:dyDescent="0.25">
      <c r="A6" t="s">
        <v>7</v>
      </c>
      <c r="C6">
        <f>(500000*20)/100</f>
        <v>100000</v>
      </c>
      <c r="D6">
        <f>(500000*70)/100</f>
        <v>350000</v>
      </c>
      <c r="E6" s="3">
        <f>100000+350000</f>
        <v>450000</v>
      </c>
    </row>
    <row r="7" spans="1:6" x14ac:dyDescent="0.25">
      <c r="A7" t="s">
        <v>8</v>
      </c>
      <c r="D7">
        <f>(200000*20)/100</f>
        <v>40000</v>
      </c>
      <c r="E7" s="4">
        <v>40000</v>
      </c>
    </row>
    <row r="8" spans="1:6" x14ac:dyDescent="0.25">
      <c r="A8" t="s">
        <v>9</v>
      </c>
      <c r="B8" s="2">
        <f>23000+182000+60000</f>
        <v>265000</v>
      </c>
      <c r="C8" s="2">
        <f>26000+210000+100000</f>
        <v>336000</v>
      </c>
      <c r="D8" s="2">
        <f>30000+350000+40000</f>
        <v>420000</v>
      </c>
      <c r="E8" s="2">
        <f>265000+336000+420000</f>
        <v>1021000</v>
      </c>
    </row>
    <row r="10" spans="1:6" x14ac:dyDescent="0.25">
      <c r="A10" t="s">
        <v>10</v>
      </c>
    </row>
    <row r="11" spans="1:6" x14ac:dyDescent="0.25">
      <c r="A11" t="s">
        <v>11</v>
      </c>
      <c r="B11" s="3">
        <f>(500000*10)/100</f>
        <v>50000</v>
      </c>
    </row>
    <row r="12" spans="1:6" x14ac:dyDescent="0.25">
      <c r="A12" t="s">
        <v>12</v>
      </c>
      <c r="B12" s="3">
        <f>200000*(70+10)/100</f>
        <v>160000</v>
      </c>
    </row>
    <row r="13" spans="1:6" x14ac:dyDescent="0.25">
      <c r="A13" t="s">
        <v>13</v>
      </c>
      <c r="B13" s="2">
        <f>50000+160000</f>
        <v>210000</v>
      </c>
    </row>
    <row r="15" spans="1:6" x14ac:dyDescent="0.25">
      <c r="F15" s="3"/>
    </row>
  </sheetData>
  <pageMargins left="0.7" right="0.7" top="0.75" bottom="0.75" header="0.3" footer="0.3"/>
  <pageSetup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"/>
    </sheetView>
  </sheetViews>
  <sheetFormatPr defaultRowHeight="15" x14ac:dyDescent="0.25"/>
  <cols>
    <col min="1" max="1" width="57.85546875" customWidth="1"/>
  </cols>
  <sheetData>
    <row r="1" spans="1:5" x14ac:dyDescent="0.25">
      <c r="A1" t="s">
        <v>58</v>
      </c>
    </row>
    <row r="2" spans="1:5" x14ac:dyDescent="0.25">
      <c r="A2" t="s">
        <v>14</v>
      </c>
      <c r="B2" t="s">
        <v>0</v>
      </c>
      <c r="C2" t="s">
        <v>15</v>
      </c>
      <c r="D2" t="s">
        <v>16</v>
      </c>
    </row>
    <row r="3" spans="1:5" x14ac:dyDescent="0.25">
      <c r="A3" t="s">
        <v>17</v>
      </c>
      <c r="B3" s="5">
        <v>75000</v>
      </c>
      <c r="C3" s="5">
        <v>90000</v>
      </c>
      <c r="D3" s="5">
        <v>80000</v>
      </c>
    </row>
    <row r="4" spans="1:5" x14ac:dyDescent="0.25">
      <c r="A4" t="s">
        <v>18</v>
      </c>
      <c r="B4" s="6">
        <v>0.1</v>
      </c>
      <c r="C4" s="6">
        <v>0.1</v>
      </c>
      <c r="D4" s="6">
        <v>0.1</v>
      </c>
    </row>
    <row r="5" spans="1:5" x14ac:dyDescent="0.25">
      <c r="A5" t="s">
        <v>19</v>
      </c>
      <c r="B5" s="3">
        <f>(75000*10)/100</f>
        <v>7500</v>
      </c>
      <c r="C5" s="3">
        <f>(90000*10)/100</f>
        <v>9000</v>
      </c>
      <c r="D5" s="3">
        <f>(80000*10)/100</f>
        <v>8000</v>
      </c>
    </row>
    <row r="6" spans="1:5" x14ac:dyDescent="0.25">
      <c r="A6" t="s">
        <v>20</v>
      </c>
    </row>
    <row r="8" spans="1:5" x14ac:dyDescent="0.25">
      <c r="A8" t="s">
        <v>14</v>
      </c>
      <c r="B8" t="s">
        <v>21</v>
      </c>
      <c r="C8" t="s">
        <v>0</v>
      </c>
      <c r="D8" t="s">
        <v>1</v>
      </c>
      <c r="E8" t="s">
        <v>16</v>
      </c>
    </row>
    <row r="9" spans="1:5" x14ac:dyDescent="0.25">
      <c r="A9" t="s">
        <v>22</v>
      </c>
      <c r="B9" s="5">
        <v>5000</v>
      </c>
      <c r="C9" s="5">
        <v>7500</v>
      </c>
      <c r="D9" s="5">
        <v>9000</v>
      </c>
      <c r="E9" s="5">
        <v>8000</v>
      </c>
    </row>
    <row r="10" spans="1:5" x14ac:dyDescent="0.25">
      <c r="A10" t="s">
        <v>23</v>
      </c>
      <c r="C10" s="5">
        <v>5000</v>
      </c>
      <c r="D10" s="5">
        <v>7500</v>
      </c>
      <c r="E10" s="5">
        <v>9000</v>
      </c>
    </row>
    <row r="12" spans="1:5" x14ac:dyDescent="0.25">
      <c r="A12" t="s">
        <v>14</v>
      </c>
      <c r="B12" t="s">
        <v>0</v>
      </c>
      <c r="C12" t="s">
        <v>1</v>
      </c>
      <c r="D12" t="s">
        <v>16</v>
      </c>
      <c r="E12" t="s">
        <v>24</v>
      </c>
    </row>
    <row r="13" spans="1:5" x14ac:dyDescent="0.25">
      <c r="A13" t="s">
        <v>25</v>
      </c>
      <c r="B13" s="5">
        <v>50000</v>
      </c>
      <c r="C13" s="5">
        <v>75000</v>
      </c>
      <c r="D13" s="5">
        <v>90000</v>
      </c>
      <c r="E13" s="3">
        <f>50000+75000+90000</f>
        <v>215000</v>
      </c>
    </row>
    <row r="14" spans="1:5" x14ac:dyDescent="0.25">
      <c r="A14" t="s">
        <v>26</v>
      </c>
      <c r="B14" s="5">
        <v>7500</v>
      </c>
      <c r="C14" s="5">
        <v>9000</v>
      </c>
      <c r="D14" s="5">
        <v>8000</v>
      </c>
      <c r="E14" s="3"/>
    </row>
    <row r="15" spans="1:5" x14ac:dyDescent="0.25">
      <c r="A15" t="s">
        <v>27</v>
      </c>
      <c r="B15" s="3">
        <f>50000+7500</f>
        <v>57500</v>
      </c>
      <c r="C15" s="3">
        <f>75000+9000</f>
        <v>84000</v>
      </c>
      <c r="D15" s="3">
        <f>90000+8000</f>
        <v>98000</v>
      </c>
    </row>
    <row r="16" spans="1:5" x14ac:dyDescent="0.25">
      <c r="A16" t="s">
        <v>28</v>
      </c>
      <c r="B16" s="5">
        <v>5000</v>
      </c>
      <c r="C16" s="5">
        <v>7500</v>
      </c>
      <c r="D16" s="5">
        <v>9000</v>
      </c>
    </row>
    <row r="17" spans="1:5" x14ac:dyDescent="0.25">
      <c r="A17" t="s">
        <v>29</v>
      </c>
      <c r="B17">
        <f>57500-5000</f>
        <v>52500</v>
      </c>
      <c r="C17">
        <f>84000-7500</f>
        <v>76500</v>
      </c>
      <c r="D17">
        <f>98000-9000</f>
        <v>89000</v>
      </c>
      <c r="E17" s="2">
        <f>52500+76500+89000</f>
        <v>218000</v>
      </c>
    </row>
    <row r="18" spans="1:5" x14ac:dyDescent="0.25">
      <c r="A18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" sqref="B1"/>
    </sheetView>
  </sheetViews>
  <sheetFormatPr defaultRowHeight="15" x14ac:dyDescent="0.25"/>
  <cols>
    <col min="1" max="1" width="49.7109375" customWidth="1"/>
  </cols>
  <sheetData>
    <row r="1" spans="1:7" x14ac:dyDescent="0.25">
      <c r="A1" t="s">
        <v>59</v>
      </c>
    </row>
    <row r="3" spans="1:7" x14ac:dyDescent="0.25">
      <c r="B3" t="s">
        <v>30</v>
      </c>
      <c r="C3" t="s">
        <v>31</v>
      </c>
      <c r="D3" t="s">
        <v>32</v>
      </c>
      <c r="E3" t="s">
        <v>33</v>
      </c>
      <c r="F3" t="s">
        <v>34</v>
      </c>
    </row>
    <row r="4" spans="1:7" x14ac:dyDescent="0.25">
      <c r="A4" t="s">
        <v>35</v>
      </c>
      <c r="B4" s="5">
        <v>60000</v>
      </c>
      <c r="C4" s="5">
        <v>90000</v>
      </c>
      <c r="D4" s="5">
        <v>150000</v>
      </c>
      <c r="E4" s="5">
        <v>100000</v>
      </c>
      <c r="F4" s="3">
        <f>60000+90000+150000+100000</f>
        <v>400000</v>
      </c>
    </row>
    <row r="5" spans="1:7" x14ac:dyDescent="0.25">
      <c r="A5" t="s">
        <v>40</v>
      </c>
      <c r="B5">
        <v>3</v>
      </c>
      <c r="C5">
        <v>3</v>
      </c>
      <c r="D5">
        <v>3</v>
      </c>
      <c r="E5">
        <v>3</v>
      </c>
      <c r="F5">
        <v>3</v>
      </c>
    </row>
    <row r="6" spans="1:7" x14ac:dyDescent="0.25">
      <c r="A6" t="s">
        <v>39</v>
      </c>
      <c r="B6">
        <f>60000*3</f>
        <v>180000</v>
      </c>
      <c r="C6">
        <f>90000*3</f>
        <v>270000</v>
      </c>
      <c r="D6">
        <f>150000*3</f>
        <v>450000</v>
      </c>
      <c r="E6">
        <f>100000*3</f>
        <v>300000</v>
      </c>
      <c r="F6" s="3">
        <f>180000+270000+450000+300000</f>
        <v>1200000</v>
      </c>
    </row>
    <row r="7" spans="1:7" x14ac:dyDescent="0.25">
      <c r="A7" t="s">
        <v>38</v>
      </c>
      <c r="B7">
        <f>(270000*20)/100</f>
        <v>54000</v>
      </c>
      <c r="C7">
        <f>(450000*20)/100</f>
        <v>90000</v>
      </c>
      <c r="D7">
        <f>(300000*20)/100</f>
        <v>60000</v>
      </c>
      <c r="E7">
        <v>42000</v>
      </c>
      <c r="F7" s="3">
        <f>54000+90000+60000+42000</f>
        <v>246000</v>
      </c>
    </row>
    <row r="8" spans="1:7" x14ac:dyDescent="0.25">
      <c r="A8" t="s">
        <v>37</v>
      </c>
      <c r="B8">
        <f>180000+54000</f>
        <v>234000</v>
      </c>
      <c r="C8">
        <f>270000+90000</f>
        <v>360000</v>
      </c>
      <c r="D8">
        <f>450000+60000</f>
        <v>510000</v>
      </c>
      <c r="E8">
        <f>300000+42000</f>
        <v>342000</v>
      </c>
      <c r="F8" s="3">
        <f>234000+360000+510000+342000</f>
        <v>1446000</v>
      </c>
    </row>
    <row r="9" spans="1:7" x14ac:dyDescent="0.25">
      <c r="A9" t="s">
        <v>36</v>
      </c>
      <c r="B9">
        <v>36000</v>
      </c>
      <c r="C9">
        <v>54000</v>
      </c>
      <c r="D9">
        <v>90000</v>
      </c>
      <c r="E9">
        <v>60000</v>
      </c>
      <c r="F9" s="3">
        <f>36000+54000+90000+60000</f>
        <v>240000</v>
      </c>
    </row>
    <row r="10" spans="1:7" x14ac:dyDescent="0.25">
      <c r="A10" t="s">
        <v>41</v>
      </c>
      <c r="B10">
        <f>234000-36000</f>
        <v>198000</v>
      </c>
      <c r="C10">
        <f>360000-54000</f>
        <v>306000</v>
      </c>
      <c r="D10">
        <f>510000-90000</f>
        <v>420000</v>
      </c>
      <c r="E10">
        <f>342000-60000</f>
        <v>282000</v>
      </c>
      <c r="F10" s="3">
        <f>198000+306000+420000+282000</f>
        <v>1206000</v>
      </c>
    </row>
    <row r="11" spans="1:7" x14ac:dyDescent="0.25">
      <c r="A11" t="s">
        <v>42</v>
      </c>
      <c r="B11" s="7">
        <v>1.5</v>
      </c>
      <c r="C11" s="7">
        <v>1.5</v>
      </c>
      <c r="D11" s="7">
        <v>1.5</v>
      </c>
      <c r="E11" s="7">
        <v>1.5</v>
      </c>
      <c r="F11" s="7">
        <v>1.5</v>
      </c>
    </row>
    <row r="12" spans="1:7" x14ac:dyDescent="0.25">
      <c r="A12" t="s">
        <v>43</v>
      </c>
      <c r="B12" s="2">
        <f>198000*1.5</f>
        <v>297000</v>
      </c>
      <c r="C12" s="2">
        <f>306000*1.5</f>
        <v>459000</v>
      </c>
      <c r="D12" s="2">
        <f>420000*1.5</f>
        <v>630000</v>
      </c>
      <c r="E12" s="2">
        <f>282000*1.5</f>
        <v>423000</v>
      </c>
      <c r="F12" s="2">
        <f>1206000*1.5</f>
        <v>1809000</v>
      </c>
      <c r="G12" s="2"/>
    </row>
    <row r="14" spans="1:7" x14ac:dyDescent="0.25">
      <c r="A1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"/>
    </sheetView>
  </sheetViews>
  <sheetFormatPr defaultRowHeight="15" x14ac:dyDescent="0.25"/>
  <cols>
    <col min="1" max="1" width="42.7109375" customWidth="1"/>
    <col min="2" max="2" width="10.5703125" customWidth="1"/>
    <col min="3" max="3" width="11.42578125" customWidth="1"/>
    <col min="4" max="4" width="11" customWidth="1"/>
    <col min="5" max="5" width="10.85546875" customWidth="1"/>
  </cols>
  <sheetData>
    <row r="1" spans="1:6" x14ac:dyDescent="0.25">
      <c r="A1" t="s">
        <v>60</v>
      </c>
    </row>
    <row r="2" spans="1:6" x14ac:dyDescent="0.25">
      <c r="B2" t="s">
        <v>45</v>
      </c>
      <c r="C2" t="s">
        <v>46</v>
      </c>
      <c r="D2" t="s">
        <v>47</v>
      </c>
      <c r="E2" t="s">
        <v>48</v>
      </c>
      <c r="F2" t="s">
        <v>34</v>
      </c>
    </row>
    <row r="3" spans="1:6" x14ac:dyDescent="0.25">
      <c r="A3" t="s">
        <v>49</v>
      </c>
      <c r="B3" s="5">
        <v>8000</v>
      </c>
      <c r="C3" s="5">
        <v>8200</v>
      </c>
      <c r="D3" s="5">
        <v>8500</v>
      </c>
      <c r="E3" s="5">
        <v>7800</v>
      </c>
      <c r="F3" s="3">
        <f>8000+8200+8500+7800</f>
        <v>32500</v>
      </c>
    </row>
    <row r="4" spans="1:6" x14ac:dyDescent="0.25">
      <c r="A4" t="s">
        <v>50</v>
      </c>
      <c r="B4" s="7">
        <v>3.25</v>
      </c>
      <c r="C4" s="7">
        <v>3.25</v>
      </c>
      <c r="D4" s="7">
        <v>3.25</v>
      </c>
      <c r="E4" s="7">
        <v>3.25</v>
      </c>
      <c r="F4" s="7">
        <v>3.25</v>
      </c>
    </row>
    <row r="5" spans="1:6" x14ac:dyDescent="0.25">
      <c r="A5" t="s">
        <v>51</v>
      </c>
      <c r="B5">
        <f>8000*3.25</f>
        <v>26000</v>
      </c>
      <c r="C5">
        <f>8200*3.25</f>
        <v>26650</v>
      </c>
      <c r="D5">
        <f>8500*3.25</f>
        <v>27625</v>
      </c>
      <c r="E5">
        <f>7800*3.25</f>
        <v>25350</v>
      </c>
      <c r="F5" s="3">
        <f>32500*3.25</f>
        <v>105625</v>
      </c>
    </row>
    <row r="6" spans="1:6" x14ac:dyDescent="0.25">
      <c r="A6" t="s">
        <v>52</v>
      </c>
      <c r="B6" s="1">
        <v>48000</v>
      </c>
      <c r="C6" s="1">
        <v>48000</v>
      </c>
      <c r="D6" s="1">
        <v>48000</v>
      </c>
      <c r="E6" s="1">
        <v>48000</v>
      </c>
      <c r="F6" s="3">
        <f>48000+48000+48000+48000</f>
        <v>192000</v>
      </c>
    </row>
    <row r="7" spans="1:6" x14ac:dyDescent="0.25">
      <c r="A7" t="s">
        <v>53</v>
      </c>
      <c r="B7">
        <f>26000+48000</f>
        <v>74000</v>
      </c>
      <c r="C7">
        <f>26650+48000</f>
        <v>74650</v>
      </c>
      <c r="D7">
        <f>27625+48000</f>
        <v>75625</v>
      </c>
      <c r="E7">
        <f>25350+48000</f>
        <v>73350</v>
      </c>
      <c r="F7" s="3">
        <f>105625+192000</f>
        <v>297625</v>
      </c>
    </row>
    <row r="8" spans="1:6" x14ac:dyDescent="0.25">
      <c r="A8" t="s">
        <v>54</v>
      </c>
      <c r="B8" s="1">
        <v>16000</v>
      </c>
      <c r="C8" s="1">
        <v>16000</v>
      </c>
      <c r="D8" s="1">
        <v>16000</v>
      </c>
      <c r="E8" s="1">
        <v>16000</v>
      </c>
      <c r="F8" s="3">
        <f>16000+16000+16000+16000</f>
        <v>64000</v>
      </c>
    </row>
    <row r="9" spans="1:6" x14ac:dyDescent="0.25">
      <c r="A9" t="s">
        <v>55</v>
      </c>
      <c r="B9">
        <f>74000-16000</f>
        <v>58000</v>
      </c>
      <c r="C9">
        <f>74650-16000</f>
        <v>58650</v>
      </c>
      <c r="D9">
        <f>75625-16000</f>
        <v>59625</v>
      </c>
      <c r="E9">
        <f>73350-16000</f>
        <v>57350</v>
      </c>
      <c r="F9" s="2">
        <f>297625-64000</f>
        <v>233625</v>
      </c>
    </row>
    <row r="11" spans="1:6" x14ac:dyDescent="0.25">
      <c r="A11" t="s">
        <v>49</v>
      </c>
      <c r="B11">
        <v>32500</v>
      </c>
    </row>
    <row r="12" spans="1:6" x14ac:dyDescent="0.25">
      <c r="A12" t="s">
        <v>53</v>
      </c>
      <c r="B12" s="1">
        <v>297625</v>
      </c>
    </row>
    <row r="13" spans="1:6" x14ac:dyDescent="0.25">
      <c r="A13" t="s">
        <v>56</v>
      </c>
      <c r="B13" s="8">
        <f>297625/32500</f>
        <v>9.157692307692308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0" sqref="D20"/>
    </sheetView>
  </sheetViews>
  <sheetFormatPr defaultRowHeight="15" x14ac:dyDescent="0.25"/>
  <cols>
    <col min="1" max="1" width="30.28515625" customWidth="1"/>
  </cols>
  <sheetData>
    <row r="1" spans="1:6" x14ac:dyDescent="0.25">
      <c r="A1" t="s">
        <v>61</v>
      </c>
    </row>
    <row r="2" spans="1:6" x14ac:dyDescent="0.25">
      <c r="B2" t="s">
        <v>62</v>
      </c>
      <c r="C2" t="s">
        <v>63</v>
      </c>
      <c r="D2" t="s">
        <v>64</v>
      </c>
      <c r="E2" t="s">
        <v>65</v>
      </c>
      <c r="F2" t="s">
        <v>34</v>
      </c>
    </row>
    <row r="3" spans="1:6" x14ac:dyDescent="0.25">
      <c r="A3" t="s">
        <v>66</v>
      </c>
      <c r="B3" s="1">
        <v>20000</v>
      </c>
      <c r="C3" s="1">
        <v>10000</v>
      </c>
      <c r="D3" s="1">
        <v>35800</v>
      </c>
      <c r="E3" s="1">
        <v>25800</v>
      </c>
      <c r="F3" s="1">
        <v>20000</v>
      </c>
    </row>
    <row r="4" spans="1:6" x14ac:dyDescent="0.25">
      <c r="A4" t="s">
        <v>67</v>
      </c>
      <c r="B4" s="1">
        <v>180000</v>
      </c>
      <c r="C4" s="1">
        <v>330000</v>
      </c>
      <c r="D4" s="1">
        <v>210000</v>
      </c>
      <c r="E4" s="1">
        <v>230000</v>
      </c>
      <c r="F4" s="3">
        <f>180000+330000+210000+230000</f>
        <v>950000</v>
      </c>
    </row>
    <row r="5" spans="1:6" x14ac:dyDescent="0.25">
      <c r="A5" t="s">
        <v>68</v>
      </c>
      <c r="B5" s="3">
        <f>20000+180000</f>
        <v>200000</v>
      </c>
      <c r="C5" s="3">
        <f>10000+330000</f>
        <v>340000</v>
      </c>
      <c r="D5" s="3">
        <f>35800+210000</f>
        <v>245800</v>
      </c>
      <c r="E5" s="3">
        <f>25800+230000</f>
        <v>255800</v>
      </c>
      <c r="F5" s="3">
        <f>20000+950000</f>
        <v>970000</v>
      </c>
    </row>
    <row r="6" spans="1:6" x14ac:dyDescent="0.25">
      <c r="A6" t="s">
        <v>69</v>
      </c>
      <c r="B6" s="1">
        <v>260000</v>
      </c>
      <c r="C6" s="1">
        <v>230000</v>
      </c>
      <c r="D6" s="1">
        <v>220000</v>
      </c>
      <c r="E6" s="1">
        <v>240000</v>
      </c>
      <c r="F6" s="3">
        <f>260000+230000+220000+240000</f>
        <v>950000</v>
      </c>
    </row>
    <row r="7" spans="1:6" x14ac:dyDescent="0.25">
      <c r="A7" t="s">
        <v>70</v>
      </c>
      <c r="B7" s="3">
        <f>200000-260000</f>
        <v>-60000</v>
      </c>
      <c r="C7" s="3">
        <f>340000-230000</f>
        <v>110000</v>
      </c>
      <c r="D7" s="3">
        <f>245800-220000</f>
        <v>25800</v>
      </c>
      <c r="E7" s="3">
        <f>255800-240000</f>
        <v>15800</v>
      </c>
      <c r="F7" s="2">
        <f>970000-950000</f>
        <v>20000</v>
      </c>
    </row>
    <row r="9" spans="1:6" x14ac:dyDescent="0.25">
      <c r="A9" t="s">
        <v>71</v>
      </c>
      <c r="B9" s="1">
        <v>70000</v>
      </c>
      <c r="C9" s="1">
        <v>0</v>
      </c>
      <c r="D9" s="1">
        <v>0</v>
      </c>
      <c r="E9" s="1">
        <v>0</v>
      </c>
      <c r="F9" s="4">
        <v>70000</v>
      </c>
    </row>
    <row r="10" spans="1:6" x14ac:dyDescent="0.25">
      <c r="A10" t="s">
        <v>72</v>
      </c>
      <c r="B10" s="1">
        <v>0</v>
      </c>
      <c r="C10" s="5">
        <v>-70000</v>
      </c>
      <c r="D10" s="1">
        <v>0</v>
      </c>
      <c r="E10" s="1">
        <v>0</v>
      </c>
      <c r="F10" s="4">
        <v>-70000</v>
      </c>
    </row>
    <row r="11" spans="1:6" x14ac:dyDescent="0.25">
      <c r="A11" t="s">
        <v>73</v>
      </c>
      <c r="B11" s="1">
        <v>0</v>
      </c>
      <c r="C11">
        <f>-(70000*3*2)/100</f>
        <v>-4200</v>
      </c>
      <c r="D11" s="1">
        <v>0</v>
      </c>
      <c r="E11" s="1">
        <v>0</v>
      </c>
      <c r="F11" s="3">
        <f>0-4200+0+0</f>
        <v>-4200</v>
      </c>
    </row>
    <row r="12" spans="1:6" x14ac:dyDescent="0.25">
      <c r="A12" t="s">
        <v>74</v>
      </c>
      <c r="B12" s="3">
        <f>70000+0+0</f>
        <v>70000</v>
      </c>
      <c r="C12" s="3">
        <f>0-70000-4200</f>
        <v>-74200</v>
      </c>
      <c r="D12" s="3">
        <f>0+0+0</f>
        <v>0</v>
      </c>
      <c r="E12" s="3">
        <f>0+0+0</f>
        <v>0</v>
      </c>
      <c r="F12" s="3">
        <f>70000-70000-4200</f>
        <v>-4200</v>
      </c>
    </row>
    <row r="13" spans="1:6" x14ac:dyDescent="0.25">
      <c r="A13" t="s">
        <v>75</v>
      </c>
      <c r="B13" s="2">
        <f>-60000+70000</f>
        <v>10000</v>
      </c>
      <c r="C13" s="2">
        <f>110000-74200</f>
        <v>35800</v>
      </c>
      <c r="D13" s="2">
        <f>25800+0</f>
        <v>25800</v>
      </c>
      <c r="E13" s="2">
        <f>15800+0</f>
        <v>15800</v>
      </c>
      <c r="F13" s="2">
        <f>20000-4200</f>
        <v>15800</v>
      </c>
    </row>
  </sheetData>
  <pageMargins left="0.7" right="0.7" top="0.75" bottom="0.75" header="0.3" footer="0.3"/>
  <pageSetup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2019-11-13T07:43:53Z</dcterms:modified>
</cp:coreProperties>
</file>