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Study\Personal Projects\QuantFlowFinancialSuite\templates\"/>
    </mc:Choice>
  </mc:AlternateContent>
  <xr:revisionPtr revIDLastSave="0" documentId="13_ncr:1_{81556314-D8D5-4FCF-A344-8FD26BBF80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ecutive Summary" sheetId="4" r:id="rId1"/>
    <sheet name="Historical Data" sheetId="1" r:id="rId2"/>
    <sheet name="Assumptions" sheetId="2" r:id="rId3"/>
    <sheet name="Projections " sheetId="3" r:id="rId4"/>
    <sheet name="DCF Valuation" sheetId="5" r:id="rId5"/>
    <sheet name="Sensitivity Analysis" sheetId="6" r:id="rId6"/>
    <sheet name="Supporting Calcs" sheetId="7" r:id="rId7"/>
  </sheets>
  <definedNames>
    <definedName name="g">'DCF Valuation'!$D$12</definedName>
    <definedName name="WACC">'DCF Valuation'!$D$13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5" i="7" l="1"/>
  <c r="C5" i="7"/>
  <c r="C6" i="7"/>
  <c r="C7" i="7"/>
  <c r="C8" i="7"/>
  <c r="C9" i="7"/>
  <c r="C4" i="7"/>
  <c r="C4" i="3"/>
  <c r="F12" i="3" s="1"/>
  <c r="J5" i="1"/>
  <c r="J6" i="1"/>
  <c r="J7" i="1"/>
  <c r="J8" i="1"/>
  <c r="J4" i="1"/>
  <c r="D15" i="5"/>
  <c r="D13" i="5"/>
  <c r="D8" i="7"/>
  <c r="D9" i="7" s="1"/>
  <c r="D7" i="7"/>
  <c r="D6" i="7"/>
  <c r="D5" i="7"/>
  <c r="D4" i="7"/>
  <c r="F3" i="6"/>
  <c r="D4" i="6"/>
  <c r="D3" i="6"/>
  <c r="D24" i="5"/>
  <c r="D8" i="6" s="1"/>
  <c r="D22" i="5"/>
  <c r="D7" i="6" s="1"/>
  <c r="D5" i="5"/>
  <c r="D6" i="5"/>
  <c r="D7" i="5"/>
  <c r="D8" i="5"/>
  <c r="D4" i="5"/>
  <c r="H12" i="3"/>
  <c r="D13" i="3"/>
  <c r="D14" i="3"/>
  <c r="D15" i="3"/>
  <c r="D16" i="3"/>
  <c r="D12" i="3"/>
  <c r="I14" i="1"/>
  <c r="I15" i="1"/>
  <c r="I16" i="1"/>
  <c r="I17" i="1"/>
  <c r="I13" i="1"/>
  <c r="H14" i="1"/>
  <c r="H15" i="1"/>
  <c r="H16" i="1"/>
  <c r="H17" i="1"/>
  <c r="H13" i="1"/>
  <c r="G14" i="1"/>
  <c r="G15" i="1"/>
  <c r="G16" i="1"/>
  <c r="G17" i="1"/>
  <c r="G13" i="1"/>
  <c r="C14" i="1"/>
  <c r="C15" i="1"/>
  <c r="C16" i="1"/>
  <c r="C13" i="1"/>
  <c r="E5" i="1"/>
  <c r="D14" i="1" s="1"/>
  <c r="E6" i="1"/>
  <c r="D15" i="1" s="1"/>
  <c r="E7" i="1"/>
  <c r="D16" i="1" s="1"/>
  <c r="E8" i="1"/>
  <c r="D17" i="1" s="1"/>
  <c r="E4" i="1"/>
  <c r="D13" i="1" s="1"/>
  <c r="C14" i="7" l="1"/>
  <c r="G4" i="3"/>
  <c r="C5" i="3"/>
  <c r="D4" i="3"/>
  <c r="E4" i="3" s="1"/>
  <c r="G12" i="3"/>
  <c r="H4" i="3"/>
  <c r="H13" i="3"/>
  <c r="F4" i="3"/>
  <c r="K8" i="1"/>
  <c r="K7" i="1"/>
  <c r="K4" i="1"/>
  <c r="K5" i="1"/>
  <c r="K6" i="1"/>
  <c r="G5" i="3" l="1"/>
  <c r="C15" i="7"/>
  <c r="I4" i="3"/>
  <c r="J4" i="3" s="1"/>
  <c r="K4" i="3" s="1"/>
  <c r="L4" i="3" s="1"/>
  <c r="H5" i="3"/>
  <c r="C6" i="3"/>
  <c r="D5" i="3"/>
  <c r="E5" i="3" s="1"/>
  <c r="F5" i="3"/>
  <c r="H14" i="3"/>
  <c r="G13" i="3"/>
  <c r="F13" i="3"/>
  <c r="C12" i="3"/>
  <c r="E12" i="3" s="1"/>
  <c r="I12" i="3" s="1"/>
  <c r="C4" i="5" s="1"/>
  <c r="E4" i="5" s="1"/>
  <c r="F16" i="1"/>
  <c r="G34" i="1" s="1"/>
  <c r="H34" i="1" s="1"/>
  <c r="E16" i="1"/>
  <c r="F15" i="1"/>
  <c r="G33" i="1" s="1"/>
  <c r="H33" i="1" s="1"/>
  <c r="E15" i="1"/>
  <c r="F17" i="1"/>
  <c r="G35" i="1" s="1"/>
  <c r="H35" i="1" s="1"/>
  <c r="E17" i="1"/>
  <c r="F14" i="1"/>
  <c r="G32" i="1" s="1"/>
  <c r="H32" i="1" s="1"/>
  <c r="E14" i="1"/>
  <c r="F13" i="1"/>
  <c r="G31" i="1" s="1"/>
  <c r="H31" i="1" s="1"/>
  <c r="E13" i="1"/>
  <c r="G14" i="3" l="1"/>
  <c r="C16" i="7"/>
  <c r="F6" i="3"/>
  <c r="F14" i="3"/>
  <c r="I5" i="3"/>
  <c r="J5" i="3" s="1"/>
  <c r="K5" i="3" s="1"/>
  <c r="L5" i="3" s="1"/>
  <c r="C7" i="3"/>
  <c r="G6" i="3"/>
  <c r="D6" i="3"/>
  <c r="E6" i="3" s="1"/>
  <c r="H15" i="3"/>
  <c r="H6" i="3"/>
  <c r="F15" i="3" l="1"/>
  <c r="C17" i="7"/>
  <c r="I6" i="3"/>
  <c r="J6" i="3" s="1"/>
  <c r="C14" i="3" s="1"/>
  <c r="E14" i="3" s="1"/>
  <c r="I14" i="3" s="1"/>
  <c r="C6" i="5" s="1"/>
  <c r="E6" i="5" s="1"/>
  <c r="D7" i="3"/>
  <c r="E7" i="3" s="1"/>
  <c r="C8" i="3"/>
  <c r="C13" i="3"/>
  <c r="E13" i="3" s="1"/>
  <c r="I13" i="3" s="1"/>
  <c r="C5" i="5" s="1"/>
  <c r="E5" i="5" s="1"/>
  <c r="F7" i="3"/>
  <c r="H16" i="3"/>
  <c r="G7" i="3"/>
  <c r="G15" i="3"/>
  <c r="H7" i="3"/>
  <c r="G8" i="3" l="1"/>
  <c r="C18" i="7"/>
  <c r="F16" i="3"/>
  <c r="D8" i="3"/>
  <c r="E8" i="3" s="1"/>
  <c r="K6" i="3"/>
  <c r="L6" i="3" s="1"/>
  <c r="H8" i="3"/>
  <c r="G16" i="3"/>
  <c r="F8" i="3"/>
  <c r="I7" i="3"/>
  <c r="J7" i="3" s="1"/>
  <c r="C15" i="3" s="1"/>
  <c r="E15" i="3" s="1"/>
  <c r="I15" i="3" s="1"/>
  <c r="C7" i="5" s="1"/>
  <c r="E7" i="5" s="1"/>
  <c r="K7" i="3" l="1"/>
  <c r="L7" i="3" s="1"/>
  <c r="I8" i="3"/>
  <c r="J8" i="3" s="1"/>
  <c r="C16" i="3" s="1"/>
  <c r="E16" i="3" s="1"/>
  <c r="I16" i="3" s="1"/>
  <c r="C8" i="5" s="1"/>
  <c r="D14" i="5" s="1"/>
  <c r="D16" i="5" s="1"/>
  <c r="D20" i="5" s="1"/>
  <c r="K8" i="3" l="1"/>
  <c r="L8" i="3" s="1"/>
  <c r="E8" i="5"/>
  <c r="D19" i="5" s="1"/>
  <c r="D6" i="6" s="1"/>
  <c r="D11" i="5"/>
  <c r="D5" i="6" s="1"/>
  <c r="B10" i="6" l="1"/>
  <c r="B13" i="6" s="1"/>
  <c r="D21" i="5"/>
  <c r="D23" i="5" s="1"/>
  <c r="D25" i="5" s="1"/>
</calcChain>
</file>

<file path=xl/sharedStrings.xml><?xml version="1.0" encoding="utf-8"?>
<sst xmlns="http://schemas.openxmlformats.org/spreadsheetml/2006/main" count="408" uniqueCount="264">
  <si>
    <t>Revenue</t>
  </si>
  <si>
    <t>EBIT</t>
  </si>
  <si>
    <t>Net Income</t>
  </si>
  <si>
    <t>D&amp;A</t>
  </si>
  <si>
    <t>FCFF</t>
  </si>
  <si>
    <t>Year</t>
  </si>
  <si>
    <t>Tax Expense</t>
  </si>
  <si>
    <t>Income Statement(in millions USD)</t>
  </si>
  <si>
    <t>COGS</t>
  </si>
  <si>
    <t>Gross Profit</t>
  </si>
  <si>
    <t>R&amp;D</t>
  </si>
  <si>
    <t xml:space="preserve"> G&amp;A</t>
  </si>
  <si>
    <t xml:space="preserve">Op. Expenses </t>
  </si>
  <si>
    <t xml:space="preserve">Diluted Shares </t>
  </si>
  <si>
    <t>#</t>
  </si>
  <si>
    <t xml:space="preserve"> Key Ratios (in %)</t>
  </si>
  <si>
    <t>Revenue Growth</t>
  </si>
  <si>
    <t>-</t>
  </si>
  <si>
    <t>Gross Margin</t>
  </si>
  <si>
    <t>Operating Margin (EBIT)</t>
  </si>
  <si>
    <t>Tax Rate (Effective)</t>
  </si>
  <si>
    <t>R&amp;D as % of Revenue</t>
  </si>
  <si>
    <t>S&amp;M</t>
  </si>
  <si>
    <t>S&amp;M as % of Revenue</t>
  </si>
  <si>
    <t>G&amp;A as % of Revenue</t>
  </si>
  <si>
    <t xml:space="preserve"> Balance Sheet (in millions USD)</t>
  </si>
  <si>
    <t>Cash &amp; Cash Equivalents</t>
  </si>
  <si>
    <t>Current Assets</t>
  </si>
  <si>
    <t>Total Assets</t>
  </si>
  <si>
    <t>PP&amp;E</t>
  </si>
  <si>
    <t>Current Liabilities</t>
  </si>
  <si>
    <t>Long-Term Debt</t>
  </si>
  <si>
    <t xml:space="preserve"> Cash Flow (in millions USD)</t>
  </si>
  <si>
    <t>Change in WC</t>
  </si>
  <si>
    <t>Operating Cash Flow</t>
  </si>
  <si>
    <t>Capital Expenditures</t>
  </si>
  <si>
    <t>NOPAT</t>
  </si>
  <si>
    <t>Curated &amp; Verified Assumptions</t>
  </si>
  <si>
    <t>Revenue Growth Rate</t>
  </si>
  <si>
    <t>Tax Rate</t>
  </si>
  <si>
    <t>D&amp;A as % of Revenue</t>
  </si>
  <si>
    <t>CapEx as % of Revenue</t>
  </si>
  <si>
    <t>ΔNWC as % of Rev. Growth</t>
  </si>
  <si>
    <t>2029E</t>
  </si>
  <si>
    <t>2028E</t>
  </si>
  <si>
    <t>2027E</t>
  </si>
  <si>
    <t>2026E</t>
  </si>
  <si>
    <t>2025E</t>
  </si>
  <si>
    <t>Terminal</t>
  </si>
  <si>
    <t>WACC Assumptions</t>
  </si>
  <si>
    <t>Risk-Free Rate</t>
  </si>
  <si>
    <t>Market Risk Premium</t>
  </si>
  <si>
    <t>Beta (2Y Adj.)</t>
  </si>
  <si>
    <t>Cost of Equity</t>
  </si>
  <si>
    <t>Pre-Tax Cost of Debt</t>
  </si>
  <si>
    <t>After-Tax Cost of Debt</t>
  </si>
  <si>
    <t>Market Value of Equity</t>
  </si>
  <si>
    <t>Market Value of Debt</t>
  </si>
  <si>
    <t>Total Capital</t>
  </si>
  <si>
    <t>Weight of Equity</t>
  </si>
  <si>
    <t>Weight of Debt</t>
  </si>
  <si>
    <t>WACC</t>
  </si>
  <si>
    <t xml:space="preserve">                $270B</t>
  </si>
  <si>
    <t xml:space="preserve">                $3.65B</t>
  </si>
  <si>
    <t xml:space="preserve">            $273.65B</t>
  </si>
  <si>
    <t>G&amp;A</t>
  </si>
  <si>
    <t>Total OpEx</t>
  </si>
  <si>
    <t>Tax</t>
  </si>
  <si>
    <t>Projected Income Statement (in millions USD)</t>
  </si>
  <si>
    <t>CapEx</t>
  </si>
  <si>
    <t>ΔNWC</t>
  </si>
  <si>
    <t>FCFF Calculation</t>
  </si>
  <si>
    <t>Present Value</t>
  </si>
  <si>
    <t>FCFF Forecast Table</t>
  </si>
  <si>
    <t xml:space="preserve">PV Factor </t>
  </si>
  <si>
    <t>Terminal Value</t>
  </si>
  <si>
    <t>PV of Terminal Value</t>
  </si>
  <si>
    <t>Terminal Value Calculation</t>
  </si>
  <si>
    <t xml:space="preserve">Enterprise Value &amp; Equity Value Summary
Enterprise Value &amp; Equity Value Summary
Enterprise Value &amp; Equity Value Summary
</t>
  </si>
  <si>
    <t>Sum of PV (2025–2029)</t>
  </si>
  <si>
    <t>PV of Terminal Value</t>
  </si>
  <si>
    <t>Enterprise Value (EV)</t>
  </si>
  <si>
    <t>Equity Value</t>
  </si>
  <si>
    <t>Value per Share</t>
  </si>
  <si>
    <t>Net Debt</t>
  </si>
  <si>
    <t>FCFF 2029</t>
  </si>
  <si>
    <t>Terminal Growth Rate (g)</t>
  </si>
  <si>
    <t>PV Factor (Year 5)</t>
  </si>
  <si>
    <t>Core Inputs</t>
  </si>
  <si>
    <t>PV of FCFFs (2025–2029)</t>
  </si>
  <si>
    <t>Net Cash Position</t>
  </si>
  <si>
    <t>Base Growth Rate</t>
  </si>
  <si>
    <t>Final Sensitivity Matrix (Values are per-share price in USD)</t>
  </si>
  <si>
    <t>PV Factor</t>
  </si>
  <si>
    <t>1. Present Value Factors</t>
  </si>
  <si>
    <t>D&amp;A %</t>
  </si>
  <si>
    <t>CapEx %</t>
  </si>
  <si>
    <t>ΔNWC %</t>
  </si>
  <si>
    <t>FCFF Formula Verification:</t>
  </si>
  <si>
    <t>FCFF in 2029</t>
  </si>
  <si>
    <t>Terminal FCF (2030)</t>
  </si>
  <si>
    <t>Terminal Value (2029)</t>
  </si>
  <si>
    <t>Terminal Value Checks:</t>
  </si>
  <si>
    <t>Short-Term Investments</t>
  </si>
  <si>
    <t>Total Cash</t>
  </si>
  <si>
    <t>Short-Term Debt</t>
  </si>
  <si>
    <t>Total Debt</t>
  </si>
  <si>
    <t>PV of FCFFs (2025-2029)</t>
  </si>
  <si>
    <t>Less: Net Debt</t>
  </si>
  <si>
    <t>Diluted Shares Outstanding</t>
  </si>
  <si>
    <t>Beta (2-Year Adjusted)</t>
  </si>
  <si>
    <t>Terminal Growth</t>
  </si>
  <si>
    <t>D&amp;A as % Revenue</t>
  </si>
  <si>
    <t>4.0-4.4%</t>
  </si>
  <si>
    <t>CapEx as % Revenue</t>
  </si>
  <si>
    <t>NWC Growth</t>
  </si>
  <si>
    <t>5-10%</t>
  </si>
  <si>
    <t>FCFF Calculation Components</t>
  </si>
  <si>
    <t>Terminal Value % of EV</t>
  </si>
  <si>
    <t xml:space="preserve"> 72.7% (80,285 ÷ 110,405)</t>
  </si>
  <si>
    <t>Terminal FCF Multiple</t>
  </si>
  <si>
    <t>13.6x (139,355 ÷ 10,264)</t>
  </si>
  <si>
    <t>Implied Terminal P/E:</t>
  </si>
  <si>
    <t xml:space="preserve"> ~18.0x (reasonable for mature growth)</t>
  </si>
  <si>
    <t>Terminal Value Breakdown</t>
  </si>
  <si>
    <t>Share Count &amp; Equity Value Calculation</t>
  </si>
  <si>
    <t>Net Debt Calculation</t>
  </si>
  <si>
    <t xml:space="preserve"> WACC Components Breakdown</t>
  </si>
  <si>
    <t>Key Assumption Sources &amp; Rationale</t>
  </si>
  <si>
    <t>Executive Summary - DCF Valuation</t>
  </si>
  <si>
    <t>Investment Recommendation</t>
  </si>
  <si>
    <r>
      <t>Analyst:</t>
    </r>
    <r>
      <rPr>
        <sz val="11"/>
        <color theme="1"/>
        <rFont val="Calibri"/>
        <family val="2"/>
        <scheme val="minor"/>
      </rPr>
      <t xml:space="preserve"> Mukul Desai</t>
    </r>
  </si>
  <si>
    <t>Company: Adobe</t>
  </si>
  <si>
    <t>Recommendation:</t>
  </si>
  <si>
    <t>Valuation Summary</t>
  </si>
  <si>
    <t>Metric</t>
  </si>
  <si>
    <t>Enterprise Value</t>
  </si>
  <si>
    <t>Shares Outstanding</t>
  </si>
  <si>
    <t xml:space="preserve">Current Price: </t>
  </si>
  <si>
    <t xml:space="preserve">Target Price: </t>
  </si>
  <si>
    <t>Key Investment Highlights</t>
  </si>
  <si>
    <r>
      <t>Strong Cash Generation:</t>
    </r>
    <r>
      <rPr>
        <sz val="11"/>
        <color theme="1"/>
        <rFont val="Calibri"/>
        <family val="2"/>
        <scheme val="minor"/>
      </rPr>
      <t xml:space="preserve"> $6.6B FCFF in 2025E, growing to $10.3B by 2029E</t>
    </r>
  </si>
  <si>
    <r>
      <t>Consistent Growth:</t>
    </r>
    <r>
      <rPr>
        <sz val="11"/>
        <color theme="1"/>
        <rFont val="Calibri"/>
        <family val="2"/>
        <scheme val="minor"/>
      </rPr>
      <t xml:space="preserve"> 12% revenue growth in 2025E, moderating to sustainable 6%</t>
    </r>
  </si>
  <si>
    <t>Financial Strengths:</t>
  </si>
  <si>
    <t>Growth Drivers:</t>
  </si>
  <si>
    <r>
      <t>R&amp;D Investment:</t>
    </r>
    <r>
      <rPr>
        <sz val="11"/>
        <color theme="1"/>
        <rFont val="Calibri"/>
        <family val="2"/>
        <scheme val="minor"/>
      </rPr>
      <t xml:space="preserve"> 17-18.5% of revenue maintains competitive edge</t>
    </r>
  </si>
  <si>
    <r>
      <t>Market Expansion:</t>
    </r>
    <r>
      <rPr>
        <sz val="11"/>
        <color theme="1"/>
        <rFont val="Calibri"/>
        <family val="2"/>
        <scheme val="minor"/>
      </rPr>
      <t xml:space="preserve"> Strong S&amp;M investment (25-27% of revenue)</t>
    </r>
  </si>
  <si>
    <r>
      <t>Operational Efficiency:</t>
    </r>
    <r>
      <rPr>
        <sz val="11"/>
        <color theme="1"/>
        <rFont val="Calibri"/>
        <family val="2"/>
        <scheme val="minor"/>
      </rPr>
      <t xml:space="preserve"> Declining operating expenses as % of revenue</t>
    </r>
  </si>
  <si>
    <t xml:space="preserve"> Financial Forecast (2025E-2029E)</t>
  </si>
  <si>
    <t>Growth</t>
  </si>
  <si>
    <t>2024A</t>
  </si>
  <si>
    <t>$6.6B</t>
  </si>
  <si>
    <r>
      <t>CAGR (2024-2029):</t>
    </r>
    <r>
      <rPr>
        <sz val="11"/>
        <color theme="1"/>
        <rFont val="Calibri"/>
        <family val="2"/>
        <scheme val="minor"/>
      </rPr>
      <t xml:space="preserve"> 9.0% Revenue | 10.7% FCFF</t>
    </r>
  </si>
  <si>
    <t>DCF Analysis:</t>
  </si>
  <si>
    <r>
      <t>Forecast Period:</t>
    </r>
    <r>
      <rPr>
        <sz val="11"/>
        <color theme="1"/>
        <rFont val="Calibri"/>
        <family val="2"/>
        <scheme val="minor"/>
      </rPr>
      <t xml:space="preserve"> 5 years (2025E-2029E)</t>
    </r>
  </si>
  <si>
    <t>Valuation Methodology</t>
  </si>
  <si>
    <t>22% → 21%</t>
  </si>
  <si>
    <t>2.3% of revenue</t>
  </si>
  <si>
    <t>Working Capital</t>
  </si>
  <si>
    <t>10% → 5% of growth</t>
  </si>
  <si>
    <t>Scenario Analysis</t>
  </si>
  <si>
    <t>Key Assumptions</t>
  </si>
  <si>
    <t>Sensitivity to Key Variables:</t>
  </si>
  <si>
    <t>Bear Case</t>
  </si>
  <si>
    <t>Base Case</t>
  </si>
  <si>
    <t>Bull Case</t>
  </si>
  <si>
    <t xml:space="preserve">Scenario </t>
  </si>
  <si>
    <t>Upside/Downside</t>
  </si>
  <si>
    <t>Price</t>
  </si>
  <si>
    <t>Base</t>
  </si>
  <si>
    <t>Price Range: $213 - $332</t>
  </si>
  <si>
    <t>Key Risks</t>
  </si>
  <si>
    <t>Downside Risks:</t>
  </si>
  <si>
    <r>
      <t>Market Saturation:</t>
    </r>
    <r>
      <rPr>
        <sz val="11"/>
        <color theme="1"/>
        <rFont val="Calibri"/>
        <family val="2"/>
        <scheme val="minor"/>
      </rPr>
      <t xml:space="preserve"> Slowing revenue growth below expectations</t>
    </r>
  </si>
  <si>
    <r>
      <t>Rising Interest Rates:</t>
    </r>
    <r>
      <rPr>
        <sz val="11"/>
        <color theme="1"/>
        <rFont val="Calibri"/>
        <family val="2"/>
        <scheme val="minor"/>
      </rPr>
      <t xml:space="preserve"> Higher WACC reduces valuation multiples</t>
    </r>
  </si>
  <si>
    <r>
      <t>Competitive Pressure:</t>
    </r>
    <r>
      <rPr>
        <sz val="11"/>
        <color theme="1"/>
        <rFont val="Calibri"/>
        <family val="2"/>
        <scheme val="minor"/>
      </rPr>
      <t xml:space="preserve"> Margin compression from new entrants</t>
    </r>
  </si>
  <si>
    <r>
      <t>Execution Risk:</t>
    </r>
    <r>
      <rPr>
        <sz val="11"/>
        <color theme="1"/>
        <rFont val="Calibri"/>
        <family val="2"/>
        <scheme val="minor"/>
      </rPr>
      <t xml:space="preserve"> Failure to maintain R&amp;D effectiveness</t>
    </r>
  </si>
  <si>
    <t>Upside Opportunities:</t>
  </si>
  <si>
    <r>
      <t>Market Expansion:</t>
    </r>
    <r>
      <rPr>
        <sz val="11"/>
        <color theme="1"/>
        <rFont val="Calibri"/>
        <family val="2"/>
        <scheme val="minor"/>
      </rPr>
      <t xml:space="preserve"> Faster international growth</t>
    </r>
  </si>
  <si>
    <r>
      <t>Operating Leverage:</t>
    </r>
    <r>
      <rPr>
        <sz val="11"/>
        <color theme="1"/>
        <rFont val="Calibri"/>
        <family val="2"/>
        <scheme val="minor"/>
      </rPr>
      <t xml:space="preserve"> Better-than-expected margin expansion</t>
    </r>
  </si>
  <si>
    <r>
      <t>New Products:</t>
    </r>
    <r>
      <rPr>
        <sz val="11"/>
        <color theme="1"/>
        <rFont val="Calibri"/>
        <family val="2"/>
        <scheme val="minor"/>
      </rPr>
      <t xml:space="preserve"> Successful innovation driving premium pricing</t>
    </r>
  </si>
  <si>
    <r>
      <t>M&amp;A Synergies:</t>
    </r>
    <r>
      <rPr>
        <sz val="11"/>
        <color theme="1"/>
        <rFont val="Calibri"/>
        <family val="2"/>
        <scheme val="minor"/>
      </rPr>
      <t xml:space="preserve"> Strategic acquisitions enhancing growth</t>
    </r>
  </si>
  <si>
    <t>Investment Thesis</t>
  </si>
  <si>
    <r>
      <t>1. Predictable Cash Flows:</t>
    </r>
    <r>
      <rPr>
        <sz val="11"/>
        <color theme="1"/>
        <rFont val="Calibri"/>
        <family val="2"/>
        <scheme val="minor"/>
      </rPr>
      <t xml:space="preserve"> High-margin, recurring revenue model</t>
    </r>
  </si>
  <si>
    <r>
      <t>2. Strong Market Position:</t>
    </r>
    <r>
      <rPr>
        <sz val="11"/>
        <color theme="1"/>
        <rFont val="Calibri"/>
        <family val="2"/>
        <scheme val="minor"/>
      </rPr>
      <t xml:space="preserve"> Demonstrated pricing power and customer loyalty</t>
    </r>
  </si>
  <si>
    <r>
      <t>3. Financial Flexibility:</t>
    </r>
    <r>
      <rPr>
        <sz val="11"/>
        <color theme="1"/>
        <rFont val="Calibri"/>
        <family val="2"/>
        <scheme val="minor"/>
      </rPr>
      <t xml:space="preserve"> Net cash enables strategic investments</t>
    </r>
  </si>
  <si>
    <r>
      <t>4. Management Quality:</t>
    </r>
    <r>
      <rPr>
        <sz val="11"/>
        <color theme="1"/>
        <rFont val="Calibri"/>
        <family val="2"/>
        <scheme val="minor"/>
      </rPr>
      <t xml:space="preserve"> Consistent execution of growth strategy</t>
    </r>
  </si>
  <si>
    <t>What Could Go Wrong:</t>
  </si>
  <si>
    <r>
      <t>1. Growth Deceleration:</t>
    </r>
    <r>
      <rPr>
        <sz val="11"/>
        <color theme="1"/>
        <rFont val="Calibri"/>
        <family val="2"/>
        <scheme val="minor"/>
      </rPr>
      <t xml:space="preserve"> Earlier-than-expected market saturation</t>
    </r>
  </si>
  <si>
    <r>
      <t>2. Margin Pressure:</t>
    </r>
    <r>
      <rPr>
        <sz val="11"/>
        <color theme="1"/>
        <rFont val="Calibri"/>
        <family val="2"/>
        <scheme val="minor"/>
      </rPr>
      <t xml:space="preserve"> Increased competition or cost inflation</t>
    </r>
  </si>
  <si>
    <r>
      <t>3. Capital Allocation:</t>
    </r>
    <r>
      <rPr>
        <sz val="11"/>
        <color theme="1"/>
        <rFont val="Calibri"/>
        <family val="2"/>
        <scheme val="minor"/>
      </rPr>
      <t xml:space="preserve"> Poor M&amp;A decisions or excessive shareholder returns</t>
    </r>
  </si>
  <si>
    <t>Valuation vs. Peers</t>
  </si>
  <si>
    <t>Company</t>
  </si>
  <si>
    <t>Peer Avg</t>
  </si>
  <si>
    <t>Premium/Discount</t>
  </si>
  <si>
    <t>EV/Revenue (2025E)</t>
  </si>
  <si>
    <t>EV/EBITDA (2025E)</t>
  </si>
  <si>
    <t>12.0x</t>
  </si>
  <si>
    <t>P/E (2025E)</t>
  </si>
  <si>
    <t>18.1x</t>
  </si>
  <si>
    <t>FCF Yield</t>
  </si>
  <si>
    <t>Model Reliability</t>
  </si>
  <si>
    <t>Confidence Level: High</t>
  </si>
  <si>
    <r>
      <t>Historical Accuracy:</t>
    </r>
    <r>
      <rPr>
        <sz val="11"/>
        <color theme="1"/>
        <rFont val="Calibri"/>
        <family val="2"/>
        <scheme val="minor"/>
      </rPr>
      <t xml:space="preserve"> Model assumptions based on 5-year trends</t>
    </r>
  </si>
  <si>
    <r>
      <t>Conservative Approach:</t>
    </r>
    <r>
      <rPr>
        <sz val="11"/>
        <color theme="1"/>
        <rFont val="Calibri"/>
        <family val="2"/>
        <scheme val="minor"/>
      </rPr>
      <t xml:space="preserve"> Terminal growth below historical rates</t>
    </r>
  </si>
  <si>
    <r>
      <t>Stress Tested:</t>
    </r>
    <r>
      <rPr>
        <sz val="11"/>
        <color theme="1"/>
        <rFont val="Calibri"/>
        <family val="2"/>
        <scheme val="minor"/>
      </rPr>
      <t xml:space="preserve"> Sensitivity analysis covers wide range of scenarios</t>
    </r>
  </si>
  <si>
    <r>
      <t>Cross-Validation:</t>
    </r>
    <r>
      <rPr>
        <sz val="11"/>
        <color theme="1"/>
        <rFont val="Calibri"/>
        <family val="2"/>
        <scheme val="minor"/>
      </rPr>
      <t xml:space="preserve"> Multiple valuation approaches considered</t>
    </r>
  </si>
  <si>
    <t>Model Limitations:</t>
  </si>
  <si>
    <r>
      <t>Assumption Sensitivity:</t>
    </r>
    <r>
      <rPr>
        <sz val="11"/>
        <color theme="1"/>
        <rFont val="Calibri"/>
        <family val="2"/>
        <scheme val="minor"/>
      </rPr>
      <t xml:space="preserve"> Small changes in WACC/growth significantly impact price</t>
    </r>
  </si>
  <si>
    <r>
      <t>Market Conditions:</t>
    </r>
    <r>
      <rPr>
        <sz val="11"/>
        <color theme="1"/>
        <rFont val="Calibri"/>
        <family val="2"/>
        <scheme val="minor"/>
      </rPr>
      <t xml:space="preserve"> Model doesn't account for broader market sentiment</t>
    </r>
  </si>
  <si>
    <t xml:space="preserve"> Conclusion</t>
  </si>
  <si>
    <t>Recommendation depends on current market price:</t>
  </si>
  <si>
    <r>
      <t>Model Version:</t>
    </r>
    <r>
      <rPr>
        <sz val="11"/>
        <color theme="1"/>
        <rFont val="Calibri"/>
        <family val="2"/>
        <scheme val="minor"/>
      </rPr>
      <t xml:space="preserve"> 1.0</t>
    </r>
  </si>
  <si>
    <r>
      <t>Prepared by:</t>
    </r>
    <r>
      <rPr>
        <sz val="11"/>
        <color theme="1"/>
        <rFont val="Calibri"/>
        <family val="2"/>
        <scheme val="minor"/>
      </rPr>
      <t xml:space="preserve"> Mukul Desai</t>
    </r>
  </si>
  <si>
    <t>Other Expenses</t>
  </si>
  <si>
    <t>11.5x</t>
  </si>
  <si>
    <t>VS</t>
  </si>
  <si>
    <t>=</t>
  </si>
  <si>
    <t>16.5x</t>
  </si>
  <si>
    <t>35.2x</t>
  </si>
  <si>
    <t xml:space="preserve"> +250 bps Premium</t>
  </si>
  <si>
    <t>SELL - Significantly Overvalued</t>
  </si>
  <si>
    <t>Downside</t>
  </si>
  <si>
    <t>$142.9 billion</t>
  </si>
  <si>
    <t>$145.2 billion</t>
  </si>
  <si>
    <t>$2.3 billion</t>
  </si>
  <si>
    <r>
      <t xml:space="preserve">Net Cash Position: </t>
    </r>
    <r>
      <rPr>
        <sz val="11"/>
        <color theme="1"/>
        <rFont val="Calibri"/>
        <family val="2"/>
        <scheme val="minor"/>
      </rPr>
      <t>$2.3B provides some financial flexibility</t>
    </r>
  </si>
  <si>
    <r>
      <t>Improved Margins:</t>
    </r>
    <r>
      <rPr>
        <sz val="11"/>
        <color theme="1"/>
        <rFont val="Calibri"/>
        <family val="2"/>
        <scheme val="minor"/>
      </rPr>
      <t xml:space="preserve"> 89.0% gross margin, 31%+ operating margin</t>
    </r>
  </si>
  <si>
    <t>$6.7B</t>
  </si>
  <si>
    <t>$7.3B</t>
  </si>
  <si>
    <t>$8.3B</t>
  </si>
  <si>
    <t>$9.5B</t>
  </si>
  <si>
    <t>$10.6B</t>
  </si>
  <si>
    <t>$11.8B</t>
  </si>
  <si>
    <t>$9.0B</t>
  </si>
  <si>
    <t>$10.1B</t>
  </si>
  <si>
    <t>$11.5B</t>
  </si>
  <si>
    <t>$12.9B</t>
  </si>
  <si>
    <t>$14.3B</t>
  </si>
  <si>
    <t>$26.5B</t>
  </si>
  <si>
    <t>$29.5B</t>
  </si>
  <si>
    <t>$32.4B</t>
  </si>
  <si>
    <t>$35.3B</t>
  </si>
  <si>
    <t>$38.2B</t>
  </si>
  <si>
    <t>$23.7B</t>
  </si>
  <si>
    <r>
      <t>WACC:</t>
    </r>
    <r>
      <rPr>
        <sz val="11"/>
        <color theme="1"/>
        <rFont val="Calibri"/>
        <family val="2"/>
        <scheme val="minor"/>
      </rPr>
      <t xml:space="preserve"> 10.80% </t>
    </r>
  </si>
  <si>
    <r>
      <t>Terminal Growth:</t>
    </r>
    <r>
      <rPr>
        <sz val="11"/>
        <color theme="1"/>
        <rFont val="Calibri"/>
        <family val="2"/>
        <scheme val="minor"/>
      </rPr>
      <t xml:space="preserve"> 5.0% (in line with long-term GDP)</t>
    </r>
  </si>
  <si>
    <r>
      <t>Terminal Value:</t>
    </r>
    <r>
      <rPr>
        <sz val="11"/>
        <color theme="1"/>
        <rFont val="Calibri"/>
        <family val="2"/>
        <scheme val="minor"/>
      </rPr>
      <t xml:space="preserve"> 76% of enterprise value</t>
    </r>
  </si>
  <si>
    <t>Target Price of $322.56 suggests Adobe is currently OVERVALUED based on</t>
  </si>
  <si>
    <t xml:space="preserve">Corrected 2024 baseline with actual Adobe financials </t>
  </si>
  <si>
    <t xml:space="preserve">Conservative assumptions aligned with mature growth profile </t>
  </si>
  <si>
    <t>Current market price of $389 implies 17% downside risk</t>
  </si>
  <si>
    <t>SELL/REDUCE positions</t>
  </si>
  <si>
    <t>Entry Point: Wait for decline to $275-325 range</t>
  </si>
  <si>
    <t>Company Strengths</t>
  </si>
  <si>
    <t>Why Current Price is Too High</t>
  </si>
  <si>
    <t>3. Better entry opportunities likely ahead</t>
  </si>
  <si>
    <t xml:space="preserve">2. Valuation multiples above historical norms  </t>
  </si>
  <si>
    <t>1. Market pricing in overly optimistic growth</t>
  </si>
  <si>
    <t>12% → 8%</t>
  </si>
  <si>
    <t>5.4x</t>
  </si>
  <si>
    <r>
      <t>Long-term Uncertainty:</t>
    </r>
    <r>
      <rPr>
        <sz val="11"/>
        <color theme="1"/>
        <rFont val="Calibri"/>
        <family val="2"/>
        <scheme val="minor"/>
      </rPr>
      <t xml:space="preserve"> Terminal value represents 76% of total value</t>
    </r>
  </si>
  <si>
    <r>
      <t>Analysis Date:</t>
    </r>
    <r>
      <rPr>
        <sz val="11"/>
        <color theme="1"/>
        <rFont val="Calibri"/>
        <family val="2"/>
        <scheme val="minor"/>
      </rPr>
      <t xml:space="preserve"> June 15, 2025</t>
    </r>
  </si>
  <si>
    <r>
      <t>Date:</t>
    </r>
    <r>
      <rPr>
        <sz val="11"/>
        <color theme="1"/>
        <rFont val="Calibri"/>
        <family val="2"/>
        <scheme val="minor"/>
      </rPr>
      <t xml:space="preserve"> June 15, 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</si>
</sst>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164" formatCode="0.0%"/>
    <numFmt numFmtId="165" formatCode="0.000"/>
    <numFmt numFmtId="166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1"/>
      <name val="Amasis MT Pro Black"/>
      <family val="1"/>
    </font>
    <font>
      <sz val="12"/>
      <color theme="1"/>
      <name val="Amasis MT Pro Black"/>
      <family val="1"/>
    </font>
    <font>
      <b/>
      <sz val="12"/>
      <color theme="1"/>
      <name val="Amasis MT Pro Black"/>
      <family val="1"/>
    </font>
    <font>
      <sz val="11"/>
      <color theme="1"/>
      <name val="Amasis MT Pro Black"/>
      <family val="1"/>
    </font>
    <font>
      <sz val="10"/>
      <color theme="1"/>
      <name val="Amasis MT Pro Black"/>
      <family val="1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/>
    <xf numFmtId="3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1" applyNumberFormat="1" applyFont="1"/>
    <xf numFmtId="10" fontId="0" fillId="0" borderId="0" xfId="1" applyNumberFormat="1" applyFont="1"/>
    <xf numFmtId="10" fontId="0" fillId="0" borderId="0" xfId="0" applyNumberFormat="1"/>
    <xf numFmtId="164" fontId="0" fillId="0" borderId="0" xfId="1" applyNumberFormat="1" applyFont="1" applyAlignment="1">
      <alignment vertical="center" wrapText="1"/>
    </xf>
    <xf numFmtId="164" fontId="1" fillId="0" borderId="0" xfId="1" applyNumberFormat="1" applyFont="1" applyAlignment="1">
      <alignment horizontal="center" vertical="center" wrapText="1"/>
    </xf>
    <xf numFmtId="164" fontId="1" fillId="0" borderId="0" xfId="1" applyNumberFormat="1" applyFont="1" applyAlignment="1">
      <alignment horizontal="center"/>
    </xf>
    <xf numFmtId="3" fontId="0" fillId="0" borderId="0" xfId="0" applyNumberFormat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4" fontId="0" fillId="0" borderId="0" xfId="0" applyNumberFormat="1"/>
    <xf numFmtId="166" fontId="0" fillId="0" borderId="0" xfId="0" applyNumberFormat="1"/>
    <xf numFmtId="165" fontId="0" fillId="0" borderId="0" xfId="0" applyNumberFormat="1"/>
    <xf numFmtId="9" fontId="0" fillId="0" borderId="0" xfId="1" applyFont="1"/>
    <xf numFmtId="2" fontId="0" fillId="0" borderId="0" xfId="0" applyNumberFormat="1"/>
    <xf numFmtId="165" fontId="3" fillId="0" borderId="0" xfId="0" applyNumberFormat="1" applyFont="1"/>
    <xf numFmtId="0" fontId="4" fillId="0" borderId="0" xfId="0" applyFont="1" applyAlignment="1">
      <alignment vertical="center"/>
    </xf>
    <xf numFmtId="10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3" fontId="1" fillId="0" borderId="0" xfId="0" applyNumberFormat="1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8" fontId="1" fillId="0" borderId="0" xfId="0" applyNumberFormat="1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6" fontId="0" fillId="0" borderId="0" xfId="0" applyNumberFormat="1"/>
    <xf numFmtId="6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 wrapText="1"/>
    </xf>
    <xf numFmtId="0" fontId="6" fillId="0" borderId="0" xfId="0" applyFont="1"/>
    <xf numFmtId="0" fontId="1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9" fillId="0" borderId="0" xfId="0" applyFont="1"/>
    <xf numFmtId="9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8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0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 wrapText="1"/>
    </xf>
    <xf numFmtId="8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7FD8-71AF-4972-9D97-549C4916114B}">
  <dimension ref="A2:O119"/>
  <sheetViews>
    <sheetView showGridLines="0" tabSelected="1" topLeftCell="A95" zoomScale="60" zoomScaleNormal="60" workbookViewId="0">
      <selection activeCell="Z130" sqref="Z130:AA131"/>
    </sheetView>
  </sheetViews>
  <sheetFormatPr defaultRowHeight="15" x14ac:dyDescent="0.25"/>
  <cols>
    <col min="3" max="3" width="9.28515625" customWidth="1"/>
  </cols>
  <sheetData>
    <row r="2" spans="1:15" ht="21.75" customHeight="1" x14ac:dyDescent="0.45">
      <c r="A2" s="58" t="s">
        <v>129</v>
      </c>
      <c r="B2" s="58"/>
      <c r="C2" s="58"/>
      <c r="D2" s="58"/>
      <c r="E2" s="58"/>
      <c r="F2" s="58"/>
      <c r="G2" s="34"/>
      <c r="H2" s="34"/>
      <c r="I2" s="34"/>
      <c r="J2" s="34"/>
      <c r="K2" s="34"/>
      <c r="L2" s="34"/>
      <c r="M2" s="34"/>
      <c r="N2" s="34"/>
      <c r="O2" s="34"/>
    </row>
    <row r="3" spans="1:15" ht="12" customHeight="1" x14ac:dyDescent="0.45">
      <c r="A3" s="57" t="s">
        <v>132</v>
      </c>
      <c r="B3" s="57"/>
      <c r="C3" s="57"/>
      <c r="D3" s="35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</row>
    <row r="4" spans="1:15" x14ac:dyDescent="0.25">
      <c r="A4" s="49" t="s">
        <v>262</v>
      </c>
      <c r="B4" s="49"/>
      <c r="C4" s="49"/>
      <c r="D4" s="49"/>
    </row>
    <row r="5" spans="1:15" x14ac:dyDescent="0.25">
      <c r="A5" s="49" t="s">
        <v>131</v>
      </c>
      <c r="B5" s="49"/>
      <c r="C5" s="49"/>
      <c r="D5" s="49"/>
    </row>
    <row r="7" spans="1:15" ht="15" customHeight="1" x14ac:dyDescent="0.25">
      <c r="A7" s="45" t="s">
        <v>130</v>
      </c>
      <c r="B7" s="45"/>
      <c r="C7" s="45"/>
      <c r="D7" s="45"/>
      <c r="E7" s="45"/>
      <c r="F7" s="45"/>
      <c r="G7" s="36"/>
      <c r="H7" s="36"/>
      <c r="I7" s="36"/>
      <c r="J7" s="36"/>
      <c r="K7" s="36"/>
      <c r="L7" s="36"/>
    </row>
    <row r="8" spans="1:15" ht="15" customHeight="1" x14ac:dyDescent="0.25">
      <c r="A8" s="46" t="s">
        <v>139</v>
      </c>
      <c r="B8" s="46"/>
      <c r="C8" s="51">
        <v>322.56</v>
      </c>
      <c r="D8" s="51"/>
      <c r="H8" s="36"/>
      <c r="I8" s="36"/>
      <c r="J8" s="36"/>
      <c r="K8" s="36"/>
      <c r="L8" s="36"/>
    </row>
    <row r="9" spans="1:15" ht="15" customHeight="1" x14ac:dyDescent="0.25">
      <c r="A9" s="55" t="s">
        <v>138</v>
      </c>
      <c r="B9" s="55"/>
      <c r="C9" s="52">
        <v>389.3</v>
      </c>
      <c r="D9" s="53"/>
      <c r="E9" s="37"/>
      <c r="F9" s="37"/>
      <c r="G9" s="37"/>
    </row>
    <row r="10" spans="1:15" ht="16.5" customHeight="1" x14ac:dyDescent="0.25">
      <c r="A10" s="55" t="s">
        <v>133</v>
      </c>
      <c r="B10" s="55"/>
      <c r="C10" s="53" t="s">
        <v>221</v>
      </c>
      <c r="D10" s="53"/>
      <c r="E10" s="53"/>
      <c r="F10" s="53"/>
      <c r="G10" s="37"/>
    </row>
    <row r="11" spans="1:15" ht="16.5" customHeight="1" x14ac:dyDescent="0.25">
      <c r="A11" s="55" t="s">
        <v>222</v>
      </c>
      <c r="B11" s="55"/>
      <c r="C11" s="54">
        <v>-0.17100000000000001</v>
      </c>
      <c r="D11" s="53"/>
      <c r="E11" s="37"/>
      <c r="F11" s="37"/>
      <c r="G11" s="37"/>
    </row>
    <row r="13" spans="1:15" ht="15.75" x14ac:dyDescent="0.25">
      <c r="A13" s="45" t="s">
        <v>134</v>
      </c>
      <c r="B13" s="45"/>
      <c r="C13" s="45"/>
      <c r="D13" s="45"/>
      <c r="E13" s="45"/>
      <c r="F13" s="45"/>
    </row>
    <row r="14" spans="1:15" ht="15" customHeight="1" x14ac:dyDescent="0.25">
      <c r="A14" s="48" t="s">
        <v>136</v>
      </c>
      <c r="B14" s="48"/>
      <c r="C14" s="50" t="s">
        <v>223</v>
      </c>
      <c r="D14" s="50"/>
    </row>
    <row r="15" spans="1:15" ht="15" customHeight="1" x14ac:dyDescent="0.25">
      <c r="A15" s="48" t="s">
        <v>82</v>
      </c>
      <c r="B15" s="48"/>
      <c r="C15" s="50" t="s">
        <v>224</v>
      </c>
      <c r="D15" s="50"/>
    </row>
    <row r="16" spans="1:15" ht="15" customHeight="1" x14ac:dyDescent="0.25">
      <c r="A16" s="48" t="s">
        <v>137</v>
      </c>
      <c r="B16" s="48"/>
      <c r="C16" s="50">
        <v>450</v>
      </c>
      <c r="D16" s="50"/>
    </row>
    <row r="17" spans="1:6" ht="15" customHeight="1" x14ac:dyDescent="0.25">
      <c r="A17" s="48" t="s">
        <v>83</v>
      </c>
      <c r="B17" s="48"/>
      <c r="C17" s="56">
        <v>322.56</v>
      </c>
      <c r="D17" s="56"/>
    </row>
    <row r="18" spans="1:6" ht="15" customHeight="1" x14ac:dyDescent="0.25">
      <c r="A18" s="48" t="s">
        <v>90</v>
      </c>
      <c r="B18" s="48"/>
      <c r="C18" s="50" t="s">
        <v>225</v>
      </c>
      <c r="D18" s="50"/>
    </row>
    <row r="20" spans="1:6" ht="15.75" x14ac:dyDescent="0.25">
      <c r="A20" s="45" t="s">
        <v>140</v>
      </c>
      <c r="B20" s="45"/>
      <c r="C20" s="45"/>
      <c r="D20" s="45"/>
      <c r="E20" s="45"/>
      <c r="F20" s="45"/>
    </row>
    <row r="21" spans="1:6" ht="15.75" x14ac:dyDescent="0.3">
      <c r="A21" s="5" t="s">
        <v>143</v>
      </c>
      <c r="B21" s="40"/>
      <c r="C21" s="38"/>
      <c r="D21" s="5" t="s">
        <v>141</v>
      </c>
    </row>
    <row r="22" spans="1:6" x14ac:dyDescent="0.25">
      <c r="D22" s="5" t="s">
        <v>227</v>
      </c>
    </row>
    <row r="23" spans="1:6" x14ac:dyDescent="0.25">
      <c r="D23" s="5" t="s">
        <v>226</v>
      </c>
    </row>
    <row r="24" spans="1:6" x14ac:dyDescent="0.25">
      <c r="D24" s="5" t="s">
        <v>142</v>
      </c>
    </row>
    <row r="26" spans="1:6" x14ac:dyDescent="0.25">
      <c r="A26" s="49" t="s">
        <v>144</v>
      </c>
      <c r="B26" s="49"/>
      <c r="C26" s="49"/>
      <c r="D26" s="5" t="s">
        <v>145</v>
      </c>
    </row>
    <row r="27" spans="1:6" x14ac:dyDescent="0.25">
      <c r="D27" s="5" t="s">
        <v>146</v>
      </c>
    </row>
    <row r="28" spans="1:6" x14ac:dyDescent="0.25">
      <c r="D28" s="5" t="s">
        <v>147</v>
      </c>
    </row>
    <row r="30" spans="1:6" ht="15.75" x14ac:dyDescent="0.25">
      <c r="A30" s="45" t="s">
        <v>148</v>
      </c>
      <c r="B30" s="45"/>
      <c r="C30" s="45"/>
      <c r="D30" s="45"/>
      <c r="E30" s="45"/>
      <c r="F30" s="45"/>
    </row>
    <row r="31" spans="1:6" x14ac:dyDescent="0.25">
      <c r="A31" s="1" t="s">
        <v>5</v>
      </c>
      <c r="B31" s="1" t="s">
        <v>0</v>
      </c>
      <c r="C31" s="1" t="s">
        <v>1</v>
      </c>
      <c r="D31" s="1" t="s">
        <v>4</v>
      </c>
      <c r="E31" s="1" t="s">
        <v>149</v>
      </c>
    </row>
    <row r="32" spans="1:6" x14ac:dyDescent="0.25">
      <c r="A32" t="s">
        <v>150</v>
      </c>
      <c r="B32" t="s">
        <v>244</v>
      </c>
      <c r="C32" t="s">
        <v>228</v>
      </c>
      <c r="D32" t="s">
        <v>151</v>
      </c>
      <c r="E32" s="10">
        <v>0.108</v>
      </c>
    </row>
    <row r="33" spans="1:7" x14ac:dyDescent="0.25">
      <c r="A33" t="s">
        <v>47</v>
      </c>
      <c r="B33" t="s">
        <v>239</v>
      </c>
      <c r="C33" t="s">
        <v>234</v>
      </c>
      <c r="D33" t="s">
        <v>229</v>
      </c>
      <c r="E33" s="8">
        <v>0.12</v>
      </c>
    </row>
    <row r="34" spans="1:7" x14ac:dyDescent="0.25">
      <c r="A34" t="s">
        <v>46</v>
      </c>
      <c r="B34" t="s">
        <v>240</v>
      </c>
      <c r="C34" t="s">
        <v>235</v>
      </c>
      <c r="D34" t="s">
        <v>230</v>
      </c>
      <c r="E34" s="8">
        <v>0.11</v>
      </c>
    </row>
    <row r="35" spans="1:7" x14ac:dyDescent="0.25">
      <c r="A35" t="s">
        <v>45</v>
      </c>
      <c r="B35" t="s">
        <v>241</v>
      </c>
      <c r="C35" t="s">
        <v>236</v>
      </c>
      <c r="D35" t="s">
        <v>231</v>
      </c>
      <c r="E35" s="8">
        <v>0.1</v>
      </c>
    </row>
    <row r="36" spans="1:7" x14ac:dyDescent="0.25">
      <c r="A36" t="s">
        <v>44</v>
      </c>
      <c r="B36" t="s">
        <v>242</v>
      </c>
      <c r="C36" t="s">
        <v>237</v>
      </c>
      <c r="D36" t="s">
        <v>232</v>
      </c>
      <c r="E36" s="8">
        <v>0.09</v>
      </c>
    </row>
    <row r="37" spans="1:7" x14ac:dyDescent="0.25">
      <c r="A37" t="s">
        <v>43</v>
      </c>
      <c r="B37" t="s">
        <v>243</v>
      </c>
      <c r="C37" t="s">
        <v>238</v>
      </c>
      <c r="D37" t="s">
        <v>233</v>
      </c>
      <c r="E37" s="8">
        <v>0.08</v>
      </c>
    </row>
    <row r="39" spans="1:7" x14ac:dyDescent="0.25">
      <c r="A39" s="49" t="s">
        <v>152</v>
      </c>
      <c r="B39" s="49"/>
      <c r="C39" s="49"/>
      <c r="D39" s="49"/>
      <c r="E39" s="49"/>
      <c r="F39" s="49"/>
      <c r="G39" s="49"/>
    </row>
    <row r="41" spans="1:7" ht="15.75" x14ac:dyDescent="0.25">
      <c r="A41" s="45" t="s">
        <v>155</v>
      </c>
      <c r="B41" s="45"/>
      <c r="C41" s="45"/>
      <c r="D41" s="45"/>
      <c r="E41" s="45"/>
      <c r="F41" s="45"/>
    </row>
    <row r="42" spans="1:7" x14ac:dyDescent="0.25">
      <c r="A42" s="49" t="s">
        <v>153</v>
      </c>
      <c r="B42" s="49"/>
      <c r="C42" s="49"/>
      <c r="D42" s="28" t="s">
        <v>154</v>
      </c>
    </row>
    <row r="43" spans="1:7" x14ac:dyDescent="0.25">
      <c r="A43" s="27"/>
      <c r="D43" s="28" t="s">
        <v>246</v>
      </c>
    </row>
    <row r="44" spans="1:7" x14ac:dyDescent="0.25">
      <c r="D44" s="28" t="s">
        <v>245</v>
      </c>
    </row>
    <row r="45" spans="1:7" x14ac:dyDescent="0.25">
      <c r="D45" s="28" t="s">
        <v>247</v>
      </c>
    </row>
    <row r="47" spans="1:7" ht="15.75" x14ac:dyDescent="0.25">
      <c r="A47" s="45" t="s">
        <v>161</v>
      </c>
      <c r="B47" s="45"/>
      <c r="C47" s="45"/>
      <c r="D47" s="45"/>
      <c r="E47" s="45"/>
      <c r="F47" s="45"/>
    </row>
    <row r="48" spans="1:7" x14ac:dyDescent="0.25">
      <c r="A48" s="48" t="s">
        <v>16</v>
      </c>
      <c r="B48" s="48"/>
      <c r="C48" s="44" t="s">
        <v>259</v>
      </c>
      <c r="D48" s="44"/>
    </row>
    <row r="49" spans="1:7" x14ac:dyDescent="0.25">
      <c r="A49" s="48" t="s">
        <v>18</v>
      </c>
      <c r="B49" s="48"/>
      <c r="C49" s="47">
        <v>0.875</v>
      </c>
      <c r="D49" s="47"/>
    </row>
    <row r="50" spans="1:7" x14ac:dyDescent="0.25">
      <c r="A50" s="48" t="s">
        <v>39</v>
      </c>
      <c r="B50" s="48"/>
      <c r="C50" s="44" t="s">
        <v>156</v>
      </c>
      <c r="D50" s="44"/>
    </row>
    <row r="51" spans="1:7" x14ac:dyDescent="0.25">
      <c r="A51" s="48" t="s">
        <v>69</v>
      </c>
      <c r="B51" s="48"/>
      <c r="C51" s="44" t="s">
        <v>157</v>
      </c>
      <c r="D51" s="44"/>
    </row>
    <row r="52" spans="1:7" x14ac:dyDescent="0.25">
      <c r="A52" s="48" t="s">
        <v>158</v>
      </c>
      <c r="B52" s="48"/>
      <c r="C52" s="44" t="s">
        <v>159</v>
      </c>
      <c r="D52" s="44"/>
    </row>
    <row r="54" spans="1:7" ht="15.75" x14ac:dyDescent="0.25">
      <c r="A54" s="45" t="s">
        <v>160</v>
      </c>
      <c r="B54" s="45"/>
      <c r="C54" s="45"/>
      <c r="D54" s="45"/>
      <c r="E54" s="45"/>
      <c r="F54" s="45"/>
    </row>
    <row r="55" spans="1:7" x14ac:dyDescent="0.25">
      <c r="A55" s="46" t="s">
        <v>162</v>
      </c>
      <c r="B55" s="46"/>
      <c r="C55" s="46"/>
      <c r="D55" s="46"/>
    </row>
    <row r="56" spans="1:7" x14ac:dyDescent="0.25">
      <c r="A56" s="46" t="s">
        <v>166</v>
      </c>
      <c r="B56" s="46"/>
      <c r="C56" t="s">
        <v>61</v>
      </c>
      <c r="D56" t="s">
        <v>111</v>
      </c>
      <c r="E56" t="s">
        <v>168</v>
      </c>
      <c r="F56" s="44" t="s">
        <v>167</v>
      </c>
      <c r="G56" s="44"/>
    </row>
    <row r="57" spans="1:7" x14ac:dyDescent="0.25">
      <c r="A57" s="44" t="s">
        <v>163</v>
      </c>
      <c r="B57" s="44"/>
      <c r="C57" s="8">
        <v>0.12</v>
      </c>
      <c r="D57" s="19">
        <v>0.03</v>
      </c>
      <c r="E57" s="31">
        <v>213</v>
      </c>
      <c r="F57" s="47">
        <v>-0.17299999999999999</v>
      </c>
      <c r="G57" s="47"/>
    </row>
    <row r="58" spans="1:7" x14ac:dyDescent="0.25">
      <c r="A58" s="44" t="s">
        <v>164</v>
      </c>
      <c r="B58" s="44"/>
      <c r="C58" s="8">
        <v>0.11700000000000001</v>
      </c>
      <c r="D58" s="19">
        <v>0.04</v>
      </c>
      <c r="E58" s="31">
        <v>258</v>
      </c>
      <c r="F58" s="44" t="s">
        <v>169</v>
      </c>
      <c r="G58" s="44"/>
    </row>
    <row r="59" spans="1:7" x14ac:dyDescent="0.25">
      <c r="A59" s="44" t="s">
        <v>165</v>
      </c>
      <c r="B59" s="44"/>
      <c r="C59" s="8">
        <v>0.107</v>
      </c>
      <c r="D59" s="19">
        <v>0.05</v>
      </c>
      <c r="E59" s="31">
        <v>332</v>
      </c>
      <c r="F59" s="47">
        <v>0.28899999999999998</v>
      </c>
      <c r="G59" s="47"/>
    </row>
    <row r="61" spans="1:7" x14ac:dyDescent="0.25">
      <c r="A61" s="46" t="s">
        <v>170</v>
      </c>
      <c r="B61" s="46"/>
      <c r="C61" s="46"/>
    </row>
    <row r="63" spans="1:7" ht="15.75" x14ac:dyDescent="0.25">
      <c r="A63" s="45" t="s">
        <v>171</v>
      </c>
      <c r="B63" s="45"/>
      <c r="C63" s="45"/>
      <c r="D63" s="45"/>
      <c r="E63" s="45"/>
      <c r="F63" s="45"/>
    </row>
    <row r="64" spans="1:7" x14ac:dyDescent="0.25">
      <c r="A64" s="39" t="s">
        <v>172</v>
      </c>
      <c r="B64" s="39"/>
      <c r="C64" s="5" t="s">
        <v>173</v>
      </c>
    </row>
    <row r="65" spans="1:6" x14ac:dyDescent="0.25">
      <c r="C65" s="5" t="s">
        <v>174</v>
      </c>
    </row>
    <row r="66" spans="1:6" x14ac:dyDescent="0.25">
      <c r="C66" s="5" t="s">
        <v>175</v>
      </c>
    </row>
    <row r="67" spans="1:6" x14ac:dyDescent="0.25">
      <c r="C67" s="5" t="s">
        <v>176</v>
      </c>
    </row>
    <row r="69" spans="1:6" x14ac:dyDescent="0.25">
      <c r="A69" s="39" t="s">
        <v>177</v>
      </c>
      <c r="B69" s="39"/>
      <c r="C69" s="5" t="s">
        <v>178</v>
      </c>
    </row>
    <row r="70" spans="1:6" x14ac:dyDescent="0.25">
      <c r="C70" s="5" t="s">
        <v>179</v>
      </c>
    </row>
    <row r="71" spans="1:6" x14ac:dyDescent="0.25">
      <c r="C71" s="5" t="s">
        <v>180</v>
      </c>
    </row>
    <row r="72" spans="1:6" x14ac:dyDescent="0.25">
      <c r="C72" s="5" t="s">
        <v>181</v>
      </c>
    </row>
    <row r="74" spans="1:6" ht="15.75" x14ac:dyDescent="0.25">
      <c r="A74" s="45" t="s">
        <v>182</v>
      </c>
      <c r="B74" s="45"/>
      <c r="C74" s="45"/>
      <c r="D74" s="45"/>
      <c r="E74" s="45"/>
      <c r="F74" s="45"/>
    </row>
    <row r="75" spans="1:6" x14ac:dyDescent="0.25">
      <c r="A75" s="5" t="s">
        <v>254</v>
      </c>
      <c r="B75" s="5"/>
      <c r="C75" s="5"/>
      <c r="D75" s="28" t="s">
        <v>183</v>
      </c>
    </row>
    <row r="76" spans="1:6" x14ac:dyDescent="0.25">
      <c r="D76" s="28" t="s">
        <v>184</v>
      </c>
    </row>
    <row r="77" spans="1:6" x14ac:dyDescent="0.25">
      <c r="D77" s="28" t="s">
        <v>185</v>
      </c>
    </row>
    <row r="78" spans="1:6" x14ac:dyDescent="0.25">
      <c r="D78" s="28" t="s">
        <v>186</v>
      </c>
    </row>
    <row r="79" spans="1:6" x14ac:dyDescent="0.25">
      <c r="D79" s="28"/>
    </row>
    <row r="80" spans="1:6" x14ac:dyDescent="0.25">
      <c r="A80" s="5" t="s">
        <v>255</v>
      </c>
      <c r="D80" s="28" t="s">
        <v>258</v>
      </c>
    </row>
    <row r="81" spans="1:7" x14ac:dyDescent="0.25">
      <c r="A81" s="5"/>
      <c r="D81" s="28" t="s">
        <v>257</v>
      </c>
    </row>
    <row r="82" spans="1:7" x14ac:dyDescent="0.25">
      <c r="A82" s="5"/>
      <c r="D82" s="28" t="s">
        <v>256</v>
      </c>
    </row>
    <row r="83" spans="1:7" x14ac:dyDescent="0.25">
      <c r="A83" s="5"/>
    </row>
    <row r="84" spans="1:7" x14ac:dyDescent="0.25">
      <c r="A84" s="5" t="s">
        <v>187</v>
      </c>
      <c r="B84" s="5"/>
      <c r="C84" s="5"/>
      <c r="D84" s="28" t="s">
        <v>188</v>
      </c>
    </row>
    <row r="85" spans="1:7" x14ac:dyDescent="0.25">
      <c r="D85" s="28" t="s">
        <v>189</v>
      </c>
    </row>
    <row r="86" spans="1:7" x14ac:dyDescent="0.25">
      <c r="D86" s="28" t="s">
        <v>190</v>
      </c>
    </row>
    <row r="88" spans="1:7" ht="15.75" x14ac:dyDescent="0.25">
      <c r="A88" s="45" t="s">
        <v>191</v>
      </c>
      <c r="B88" s="45"/>
      <c r="C88" s="45"/>
      <c r="D88" s="45"/>
      <c r="E88" s="45"/>
      <c r="F88" s="45"/>
    </row>
    <row r="89" spans="1:7" x14ac:dyDescent="0.25">
      <c r="A89" s="44" t="s">
        <v>135</v>
      </c>
      <c r="B89" s="44"/>
      <c r="C89" t="s">
        <v>192</v>
      </c>
      <c r="D89" t="s">
        <v>193</v>
      </c>
      <c r="E89" t="s">
        <v>194</v>
      </c>
    </row>
    <row r="90" spans="1:7" x14ac:dyDescent="0.25">
      <c r="A90" t="s">
        <v>195</v>
      </c>
      <c r="C90" t="s">
        <v>260</v>
      </c>
      <c r="D90" t="s">
        <v>216</v>
      </c>
      <c r="E90" t="s">
        <v>215</v>
      </c>
      <c r="F90" s="42" t="s">
        <v>217</v>
      </c>
      <c r="G90" s="41">
        <v>-0.6</v>
      </c>
    </row>
    <row r="91" spans="1:7" x14ac:dyDescent="0.25">
      <c r="A91" t="s">
        <v>196</v>
      </c>
      <c r="C91" t="s">
        <v>197</v>
      </c>
      <c r="D91" t="s">
        <v>216</v>
      </c>
      <c r="E91" t="s">
        <v>218</v>
      </c>
      <c r="F91" s="42" t="s">
        <v>217</v>
      </c>
      <c r="G91" s="41">
        <v>-0.27</v>
      </c>
    </row>
    <row r="92" spans="1:7" x14ac:dyDescent="0.25">
      <c r="A92" t="s">
        <v>198</v>
      </c>
      <c r="C92" t="s">
        <v>199</v>
      </c>
      <c r="D92" t="s">
        <v>216</v>
      </c>
      <c r="E92" t="s">
        <v>219</v>
      </c>
      <c r="F92" s="42" t="s">
        <v>217</v>
      </c>
      <c r="G92" s="41">
        <v>-0.49</v>
      </c>
    </row>
    <row r="93" spans="1:7" x14ac:dyDescent="0.25">
      <c r="A93" t="s">
        <v>200</v>
      </c>
      <c r="C93" s="43">
        <v>5.7000000000000002E-2</v>
      </c>
      <c r="D93" t="s">
        <v>216</v>
      </c>
      <c r="E93" s="10">
        <v>3.2000000000000001E-2</v>
      </c>
      <c r="F93" s="42" t="s">
        <v>217</v>
      </c>
      <c r="G93" t="s">
        <v>220</v>
      </c>
    </row>
    <row r="95" spans="1:7" ht="15.75" x14ac:dyDescent="0.25">
      <c r="A95" s="45" t="s">
        <v>201</v>
      </c>
      <c r="B95" s="45"/>
      <c r="C95" s="45"/>
      <c r="D95" s="45"/>
      <c r="E95" s="45"/>
      <c r="F95" s="45"/>
    </row>
    <row r="96" spans="1:7" x14ac:dyDescent="0.25">
      <c r="A96" s="46" t="s">
        <v>202</v>
      </c>
      <c r="B96" s="46"/>
      <c r="C96" s="46"/>
      <c r="D96" s="28" t="s">
        <v>203</v>
      </c>
    </row>
    <row r="97" spans="1:9" x14ac:dyDescent="0.25">
      <c r="D97" s="28" t="s">
        <v>204</v>
      </c>
    </row>
    <row r="98" spans="1:9" x14ac:dyDescent="0.25">
      <c r="D98" s="28" t="s">
        <v>205</v>
      </c>
    </row>
    <row r="99" spans="1:9" x14ac:dyDescent="0.25">
      <c r="D99" s="28" t="s">
        <v>206</v>
      </c>
    </row>
    <row r="101" spans="1:9" x14ac:dyDescent="0.25">
      <c r="A101" s="46" t="s">
        <v>207</v>
      </c>
      <c r="B101" s="46"/>
      <c r="C101" s="46"/>
      <c r="D101" s="5" t="s">
        <v>261</v>
      </c>
    </row>
    <row r="102" spans="1:9" x14ac:dyDescent="0.25">
      <c r="D102" s="5" t="s">
        <v>208</v>
      </c>
    </row>
    <row r="103" spans="1:9" x14ac:dyDescent="0.25">
      <c r="D103" s="5" t="s">
        <v>209</v>
      </c>
    </row>
    <row r="106" spans="1:9" ht="15.75" x14ac:dyDescent="0.25">
      <c r="A106" s="45" t="s">
        <v>210</v>
      </c>
      <c r="B106" s="45"/>
      <c r="C106" s="45"/>
      <c r="D106" s="45"/>
      <c r="E106" s="45"/>
      <c r="F106" s="45"/>
    </row>
    <row r="107" spans="1:9" x14ac:dyDescent="0.25">
      <c r="A107" s="5" t="s">
        <v>248</v>
      </c>
      <c r="B107" s="5"/>
      <c r="C107" s="5"/>
      <c r="D107" s="5"/>
      <c r="E107" s="5"/>
      <c r="F107" s="5"/>
      <c r="I107" t="s">
        <v>249</v>
      </c>
    </row>
    <row r="108" spans="1:9" x14ac:dyDescent="0.25">
      <c r="I108" t="s">
        <v>250</v>
      </c>
    </row>
    <row r="109" spans="1:9" x14ac:dyDescent="0.25">
      <c r="I109" t="s">
        <v>251</v>
      </c>
    </row>
    <row r="112" spans="1:9" x14ac:dyDescent="0.25">
      <c r="A112" s="5" t="s">
        <v>211</v>
      </c>
      <c r="B112" s="5"/>
      <c r="C112" s="5"/>
      <c r="D112" s="5"/>
      <c r="E112" s="5"/>
      <c r="F112" s="5"/>
      <c r="G112" s="44" t="s">
        <v>252</v>
      </c>
      <c r="H112" s="44"/>
      <c r="I112" s="44"/>
    </row>
    <row r="113" spans="1:7" x14ac:dyDescent="0.25">
      <c r="G113" s="5" t="s">
        <v>253</v>
      </c>
    </row>
    <row r="114" spans="1:7" x14ac:dyDescent="0.25">
      <c r="G114" s="5"/>
    </row>
    <row r="117" spans="1:7" x14ac:dyDescent="0.25">
      <c r="A117" s="5" t="s">
        <v>213</v>
      </c>
    </row>
    <row r="118" spans="1:7" x14ac:dyDescent="0.25">
      <c r="A118" s="5" t="s">
        <v>263</v>
      </c>
    </row>
    <row r="119" spans="1:7" x14ac:dyDescent="0.25">
      <c r="A119" s="5" t="s">
        <v>212</v>
      </c>
    </row>
  </sheetData>
  <mergeCells count="61">
    <mergeCell ref="A3:C3"/>
    <mergeCell ref="A2:F2"/>
    <mergeCell ref="A7:F7"/>
    <mergeCell ref="A4:D4"/>
    <mergeCell ref="A5:D5"/>
    <mergeCell ref="A16:B16"/>
    <mergeCell ref="A11:B11"/>
    <mergeCell ref="A20:F20"/>
    <mergeCell ref="A30:F30"/>
    <mergeCell ref="A39:G39"/>
    <mergeCell ref="A17:B17"/>
    <mergeCell ref="A18:B18"/>
    <mergeCell ref="C17:D17"/>
    <mergeCell ref="A13:F13"/>
    <mergeCell ref="A8:B8"/>
    <mergeCell ref="A9:B9"/>
    <mergeCell ref="A10:B10"/>
    <mergeCell ref="A14:B14"/>
    <mergeCell ref="A15:B15"/>
    <mergeCell ref="C8:D8"/>
    <mergeCell ref="C9:D9"/>
    <mergeCell ref="C14:D14"/>
    <mergeCell ref="C15:D15"/>
    <mergeCell ref="C16:D16"/>
    <mergeCell ref="C11:D11"/>
    <mergeCell ref="C10:F10"/>
    <mergeCell ref="A41:F41"/>
    <mergeCell ref="A42:C42"/>
    <mergeCell ref="A47:F47"/>
    <mergeCell ref="C18:D18"/>
    <mergeCell ref="A26:C26"/>
    <mergeCell ref="A48:B48"/>
    <mergeCell ref="A49:B49"/>
    <mergeCell ref="A50:B50"/>
    <mergeCell ref="A51:B51"/>
    <mergeCell ref="A52:B52"/>
    <mergeCell ref="C48:D48"/>
    <mergeCell ref="C49:D49"/>
    <mergeCell ref="C50:D50"/>
    <mergeCell ref="C51:D51"/>
    <mergeCell ref="C52:D52"/>
    <mergeCell ref="A56:B56"/>
    <mergeCell ref="F56:G56"/>
    <mergeCell ref="A61:C61"/>
    <mergeCell ref="A63:F63"/>
    <mergeCell ref="A54:F54"/>
    <mergeCell ref="A55:D55"/>
    <mergeCell ref="A57:B57"/>
    <mergeCell ref="A58:B58"/>
    <mergeCell ref="A74:F74"/>
    <mergeCell ref="F57:G57"/>
    <mergeCell ref="F58:G58"/>
    <mergeCell ref="F59:G59"/>
    <mergeCell ref="A59:B59"/>
    <mergeCell ref="G112:I112"/>
    <mergeCell ref="A88:F88"/>
    <mergeCell ref="A89:B89"/>
    <mergeCell ref="A95:F95"/>
    <mergeCell ref="A96:C96"/>
    <mergeCell ref="A101:C101"/>
    <mergeCell ref="A106:F106"/>
  </mergeCells>
  <conditionalFormatting sqref="A2:F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{7F5B7954-96B1-436E-AB39-DA21D8E4025C}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5B7954-96B1-436E-AB39-DA21D8E4025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A2:F5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5"/>
  <sheetViews>
    <sheetView zoomScale="59" zoomScaleNormal="59" workbookViewId="0">
      <selection activeCell="D5" sqref="D5"/>
    </sheetView>
  </sheetViews>
  <sheetFormatPr defaultRowHeight="15" outlineLevelRow="1" x14ac:dyDescent="0.25"/>
  <cols>
    <col min="1" max="1" width="2.7109375" customWidth="1"/>
    <col min="2" max="2" width="20.7109375" customWidth="1"/>
    <col min="3" max="3" width="24" customWidth="1"/>
    <col min="4" max="4" width="20.7109375" customWidth="1"/>
    <col min="5" max="5" width="23.42578125" customWidth="1"/>
    <col min="6" max="6" width="20.7109375" customWidth="1"/>
    <col min="7" max="8" width="21.140625" customWidth="1"/>
    <col min="9" max="9" width="21.28515625" customWidth="1"/>
    <col min="10" max="17" width="20.7109375" customWidth="1"/>
  </cols>
  <sheetData>
    <row r="2" spans="1:16" x14ac:dyDescent="0.25">
      <c r="A2" t="s">
        <v>14</v>
      </c>
      <c r="B2" s="59" t="s">
        <v>7</v>
      </c>
      <c r="C2" s="59"/>
      <c r="D2" s="59"/>
      <c r="E2" s="59"/>
      <c r="F2" s="59"/>
      <c r="G2" s="59"/>
      <c r="H2" s="59"/>
      <c r="I2" s="59"/>
      <c r="J2" s="59"/>
      <c r="K2" s="59"/>
      <c r="L2" s="59"/>
    </row>
    <row r="3" spans="1:16" x14ac:dyDescent="0.25">
      <c r="B3" s="1" t="s">
        <v>5</v>
      </c>
      <c r="C3" s="1" t="s">
        <v>0</v>
      </c>
      <c r="D3" s="1" t="s">
        <v>8</v>
      </c>
      <c r="E3" s="1" t="s">
        <v>9</v>
      </c>
      <c r="F3" s="1" t="s">
        <v>10</v>
      </c>
      <c r="G3" s="1" t="s">
        <v>22</v>
      </c>
      <c r="H3" s="1" t="s">
        <v>11</v>
      </c>
      <c r="I3" s="1" t="s">
        <v>214</v>
      </c>
      <c r="J3" s="1" t="s">
        <v>12</v>
      </c>
      <c r="K3" s="1" t="s">
        <v>1</v>
      </c>
      <c r="L3" s="1" t="s">
        <v>6</v>
      </c>
      <c r="M3" s="1" t="s">
        <v>13</v>
      </c>
      <c r="N3" s="1"/>
      <c r="O3" s="1"/>
      <c r="P3" s="1"/>
    </row>
    <row r="4" spans="1:16" outlineLevel="1" x14ac:dyDescent="0.25">
      <c r="B4" s="2">
        <v>2024</v>
      </c>
      <c r="C4" s="4">
        <v>23730</v>
      </c>
      <c r="D4" s="4">
        <v>2358</v>
      </c>
      <c r="E4" s="4">
        <f>C4-D4</f>
        <v>21372</v>
      </c>
      <c r="F4" s="4">
        <v>3944</v>
      </c>
      <c r="G4" s="4">
        <v>5764</v>
      </c>
      <c r="H4" s="4">
        <v>1529</v>
      </c>
      <c r="I4" s="4">
        <v>1169</v>
      </c>
      <c r="J4" s="4">
        <f>F4+G4+H4+I4</f>
        <v>12406</v>
      </c>
      <c r="K4" s="4">
        <f>E4-J4</f>
        <v>8966</v>
      </c>
      <c r="L4" s="4">
        <v>1785</v>
      </c>
      <c r="M4" s="4">
        <v>450</v>
      </c>
      <c r="N4" s="4"/>
      <c r="O4" s="4"/>
      <c r="P4" s="3"/>
    </row>
    <row r="5" spans="1:16" outlineLevel="1" x14ac:dyDescent="0.25">
      <c r="B5" s="2">
        <v>2023</v>
      </c>
      <c r="C5" s="4">
        <v>19409</v>
      </c>
      <c r="D5" s="4">
        <v>2354</v>
      </c>
      <c r="E5" s="4">
        <f t="shared" ref="E5:E8" si="0">C5-D5</f>
        <v>17055</v>
      </c>
      <c r="F5" s="4">
        <v>3473</v>
      </c>
      <c r="G5" s="4">
        <v>5351</v>
      </c>
      <c r="H5" s="4">
        <v>1413</v>
      </c>
      <c r="I5" s="4">
        <v>168</v>
      </c>
      <c r="J5" s="4">
        <f t="shared" ref="J5:J8" si="1">F5+G5+H5+I5</f>
        <v>10405</v>
      </c>
      <c r="K5" s="4">
        <f>E5-J5</f>
        <v>6650</v>
      </c>
      <c r="L5" s="4">
        <v>1258</v>
      </c>
      <c r="M5" s="4">
        <v>459</v>
      </c>
      <c r="N5" s="4"/>
      <c r="O5" s="4"/>
      <c r="P5" s="3"/>
    </row>
    <row r="6" spans="1:16" outlineLevel="1" x14ac:dyDescent="0.25">
      <c r="B6" s="2">
        <v>2022</v>
      </c>
      <c r="C6" s="4">
        <v>17606</v>
      </c>
      <c r="D6" s="4">
        <v>2165</v>
      </c>
      <c r="E6" s="4">
        <f t="shared" si="0"/>
        <v>15441</v>
      </c>
      <c r="F6" s="4">
        <v>2987</v>
      </c>
      <c r="G6" s="4">
        <v>4968</v>
      </c>
      <c r="H6" s="4">
        <v>1219</v>
      </c>
      <c r="I6" s="4">
        <v>199</v>
      </c>
      <c r="J6" s="4">
        <f t="shared" si="1"/>
        <v>9373</v>
      </c>
      <c r="K6" s="4">
        <f>E6-J6</f>
        <v>6068</v>
      </c>
      <c r="L6" s="4">
        <v>1140</v>
      </c>
      <c r="M6" s="4">
        <v>471</v>
      </c>
      <c r="N6" s="4"/>
      <c r="O6" s="4"/>
      <c r="P6" s="4"/>
    </row>
    <row r="7" spans="1:16" outlineLevel="1" x14ac:dyDescent="0.25">
      <c r="B7" s="2">
        <v>2021</v>
      </c>
      <c r="C7" s="4">
        <v>15785</v>
      </c>
      <c r="D7" s="4">
        <v>1865</v>
      </c>
      <c r="E7" s="4">
        <f t="shared" si="0"/>
        <v>13920</v>
      </c>
      <c r="F7" s="4">
        <v>2540</v>
      </c>
      <c r="G7" s="4">
        <v>4321</v>
      </c>
      <c r="H7" s="4">
        <v>1085</v>
      </c>
      <c r="I7" s="4">
        <v>172</v>
      </c>
      <c r="J7" s="4">
        <f t="shared" si="1"/>
        <v>8118</v>
      </c>
      <c r="K7" s="4">
        <f>E7-J7</f>
        <v>5802</v>
      </c>
      <c r="L7" s="4">
        <v>883</v>
      </c>
      <c r="M7" s="4">
        <v>481</v>
      </c>
      <c r="N7" s="4"/>
      <c r="O7" s="4"/>
      <c r="P7" s="4"/>
    </row>
    <row r="8" spans="1:16" outlineLevel="1" x14ac:dyDescent="0.25">
      <c r="B8" s="2">
        <v>2020</v>
      </c>
      <c r="C8" s="4">
        <v>12868</v>
      </c>
      <c r="D8" s="4">
        <v>1553</v>
      </c>
      <c r="E8" s="4">
        <f t="shared" si="0"/>
        <v>11315</v>
      </c>
      <c r="F8" s="4">
        <v>2188</v>
      </c>
      <c r="G8" s="4">
        <v>3591</v>
      </c>
      <c r="H8" s="4">
        <v>880</v>
      </c>
      <c r="I8" s="4">
        <v>250</v>
      </c>
      <c r="J8" s="4">
        <f t="shared" si="1"/>
        <v>6909</v>
      </c>
      <c r="K8" s="4">
        <f>E8-J8</f>
        <v>4406</v>
      </c>
      <c r="L8" s="4">
        <v>620</v>
      </c>
      <c r="M8" s="4">
        <v>485</v>
      </c>
    </row>
    <row r="11" spans="1:16" x14ac:dyDescent="0.25">
      <c r="A11" t="s">
        <v>14</v>
      </c>
      <c r="B11" s="59" t="s">
        <v>15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</row>
    <row r="12" spans="1:16" x14ac:dyDescent="0.25">
      <c r="B12" s="1" t="s">
        <v>5</v>
      </c>
      <c r="C12" s="1" t="s">
        <v>16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23</v>
      </c>
      <c r="I12" s="1" t="s">
        <v>24</v>
      </c>
    </row>
    <row r="13" spans="1:16" outlineLevel="1" x14ac:dyDescent="0.25">
      <c r="B13" s="2">
        <v>2024</v>
      </c>
      <c r="C13" s="8">
        <f>(C4-C5)/C5</f>
        <v>0.22262867741769282</v>
      </c>
      <c r="D13" s="8">
        <f>E4/C4</f>
        <v>0.90063211125158027</v>
      </c>
      <c r="E13" s="8">
        <f>K4/C4</f>
        <v>0.37783396544458492</v>
      </c>
      <c r="F13" s="9">
        <f>L4/K4</f>
        <v>0.19908543386125363</v>
      </c>
      <c r="G13" s="8">
        <f>F4/C4</f>
        <v>0.16620311841550781</v>
      </c>
      <c r="H13" s="8">
        <f>G4/C4</f>
        <v>0.24289928360724822</v>
      </c>
      <c r="I13" s="8">
        <f>H4/C4</f>
        <v>6.4433206911083021E-2</v>
      </c>
    </row>
    <row r="14" spans="1:16" outlineLevel="1" x14ac:dyDescent="0.25">
      <c r="B14" s="2">
        <v>2023</v>
      </c>
      <c r="C14" s="8">
        <f t="shared" ref="C14:C16" si="2">(C5-C6)/C6</f>
        <v>0.10240826990798592</v>
      </c>
      <c r="D14" s="8">
        <f t="shared" ref="D14:D17" si="3">E5/C5</f>
        <v>0.87871605955999799</v>
      </c>
      <c r="E14" s="8">
        <f>K5/C5</f>
        <v>0.3426245556185275</v>
      </c>
      <c r="F14" s="9">
        <f>L5/K5</f>
        <v>0.18917293233082708</v>
      </c>
      <c r="G14" s="8">
        <f t="shared" ref="G14:G17" si="4">F5/C5</f>
        <v>0.17893760626513472</v>
      </c>
      <c r="H14" s="8">
        <f t="shared" ref="H14:H17" si="5">G5/C5</f>
        <v>0.27569684167138958</v>
      </c>
      <c r="I14" s="8">
        <f>H5/C5</f>
        <v>7.2801277757741256E-2</v>
      </c>
    </row>
    <row r="15" spans="1:16" outlineLevel="1" x14ac:dyDescent="0.25">
      <c r="B15" s="2">
        <v>2022</v>
      </c>
      <c r="C15" s="8">
        <f t="shared" si="2"/>
        <v>0.11536268609439342</v>
      </c>
      <c r="D15" s="8">
        <f t="shared" si="3"/>
        <v>0.87703055776439853</v>
      </c>
      <c r="E15" s="8">
        <f>K6/C6</f>
        <v>0.34465523117119162</v>
      </c>
      <c r="F15" s="9">
        <f>L6/K6</f>
        <v>0.18787079762689518</v>
      </c>
      <c r="G15" s="8">
        <f t="shared" si="4"/>
        <v>0.16965807111212086</v>
      </c>
      <c r="H15" s="8">
        <f t="shared" si="5"/>
        <v>0.28217653072816085</v>
      </c>
      <c r="I15" s="8">
        <f>H6/C6</f>
        <v>6.923775985459503E-2</v>
      </c>
    </row>
    <row r="16" spans="1:16" outlineLevel="1" x14ac:dyDescent="0.25">
      <c r="B16" s="2">
        <v>2021</v>
      </c>
      <c r="C16" s="8">
        <f t="shared" si="2"/>
        <v>0.22668635374572582</v>
      </c>
      <c r="D16" s="8">
        <f t="shared" si="3"/>
        <v>0.88184985745961353</v>
      </c>
      <c r="E16" s="8">
        <f>K7/C7</f>
        <v>0.36756414317389929</v>
      </c>
      <c r="F16" s="9">
        <f>L7/K7</f>
        <v>0.15218890037917959</v>
      </c>
      <c r="G16" s="8">
        <f t="shared" si="4"/>
        <v>0.16091225847323409</v>
      </c>
      <c r="H16" s="8">
        <f t="shared" si="5"/>
        <v>0.27374089325308837</v>
      </c>
      <c r="I16" s="8">
        <f>H7/C7</f>
        <v>6.8736141906873618E-2</v>
      </c>
    </row>
    <row r="17" spans="1:12" outlineLevel="1" x14ac:dyDescent="0.25">
      <c r="B17" s="2">
        <v>2020</v>
      </c>
      <c r="C17" s="7" t="s">
        <v>17</v>
      </c>
      <c r="D17" s="8">
        <f t="shared" si="3"/>
        <v>0.87931302455704075</v>
      </c>
      <c r="E17" s="8">
        <f>K8/C8</f>
        <v>0.34239975132110662</v>
      </c>
      <c r="F17" s="9">
        <f>L8/K8</f>
        <v>0.14071720381298231</v>
      </c>
      <c r="G17" s="8">
        <f t="shared" si="4"/>
        <v>0.17003419334783959</v>
      </c>
      <c r="H17" s="8">
        <f t="shared" si="5"/>
        <v>0.27906434566366178</v>
      </c>
      <c r="I17" s="8">
        <f>H8/C8</f>
        <v>6.8386695679204232E-2</v>
      </c>
    </row>
    <row r="20" spans="1:12" x14ac:dyDescent="0.25">
      <c r="A20" t="s">
        <v>14</v>
      </c>
      <c r="B20" s="59" t="s">
        <v>25</v>
      </c>
      <c r="C20" s="59"/>
      <c r="D20" s="59"/>
      <c r="E20" s="59"/>
      <c r="F20" s="59"/>
      <c r="G20" s="59"/>
      <c r="H20" s="59"/>
      <c r="I20" s="59"/>
      <c r="J20" s="59"/>
      <c r="K20" s="59"/>
      <c r="L20" s="59"/>
    </row>
    <row r="21" spans="1:12" ht="15" customHeight="1" x14ac:dyDescent="0.25">
      <c r="B21" s="1" t="s">
        <v>5</v>
      </c>
      <c r="C21" s="1" t="s">
        <v>26</v>
      </c>
      <c r="D21" s="1" t="s">
        <v>27</v>
      </c>
      <c r="E21" s="1" t="s">
        <v>29</v>
      </c>
      <c r="F21" s="1" t="s">
        <v>28</v>
      </c>
      <c r="G21" s="1" t="s">
        <v>30</v>
      </c>
      <c r="H21" s="1" t="s">
        <v>31</v>
      </c>
    </row>
    <row r="22" spans="1:12" outlineLevel="1" x14ac:dyDescent="0.25">
      <c r="B22" s="2">
        <v>2024</v>
      </c>
      <c r="C22" s="6">
        <v>7886</v>
      </c>
      <c r="D22" s="6">
        <v>12876</v>
      </c>
      <c r="E22" s="6">
        <v>2291</v>
      </c>
      <c r="F22" s="6">
        <v>32453</v>
      </c>
      <c r="G22" s="6">
        <v>9345</v>
      </c>
      <c r="H22" s="6">
        <v>5628</v>
      </c>
    </row>
    <row r="23" spans="1:12" outlineLevel="1" x14ac:dyDescent="0.25">
      <c r="B23" s="2">
        <v>2023</v>
      </c>
      <c r="C23" s="6">
        <v>7141</v>
      </c>
      <c r="D23" s="6">
        <v>11084</v>
      </c>
      <c r="E23" s="6">
        <v>2030</v>
      </c>
      <c r="F23" s="6">
        <v>29779</v>
      </c>
      <c r="G23" s="6">
        <v>8251</v>
      </c>
      <c r="H23" s="6">
        <v>3634</v>
      </c>
    </row>
    <row r="24" spans="1:12" outlineLevel="1" x14ac:dyDescent="0.25">
      <c r="B24" s="2">
        <v>2022</v>
      </c>
      <c r="C24">
        <v>4236</v>
      </c>
      <c r="D24" s="6">
        <v>8996</v>
      </c>
      <c r="E24" s="6">
        <v>1908</v>
      </c>
      <c r="F24" s="6">
        <v>27165</v>
      </c>
      <c r="G24" s="6">
        <v>8128</v>
      </c>
      <c r="H24" s="6">
        <v>3629</v>
      </c>
    </row>
    <row r="25" spans="1:12" outlineLevel="1" x14ac:dyDescent="0.25">
      <c r="B25" s="2">
        <v>2021</v>
      </c>
      <c r="C25" s="6">
        <v>3844</v>
      </c>
      <c r="D25" s="6">
        <v>7707</v>
      </c>
      <c r="E25" s="6">
        <v>1783</v>
      </c>
      <c r="F25" s="6">
        <v>24285</v>
      </c>
      <c r="G25" s="6">
        <v>6343</v>
      </c>
      <c r="H25" s="6">
        <v>4123</v>
      </c>
    </row>
    <row r="26" spans="1:12" outlineLevel="1" x14ac:dyDescent="0.25">
      <c r="B26" s="2">
        <v>2020</v>
      </c>
      <c r="C26" s="6">
        <v>4892</v>
      </c>
      <c r="D26" s="6">
        <v>7854</v>
      </c>
      <c r="E26" s="6">
        <v>1537</v>
      </c>
      <c r="F26" s="6">
        <v>21530</v>
      </c>
      <c r="G26" s="6">
        <v>5482</v>
      </c>
      <c r="H26" s="6">
        <v>4118</v>
      </c>
    </row>
    <row r="29" spans="1:12" x14ac:dyDescent="0.25">
      <c r="A29" t="s">
        <v>14</v>
      </c>
      <c r="B29" s="59" t="s">
        <v>32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</row>
    <row r="30" spans="1:12" x14ac:dyDescent="0.25">
      <c r="B30" s="1" t="s">
        <v>5</v>
      </c>
      <c r="C30" s="1" t="s">
        <v>3</v>
      </c>
      <c r="D30" s="1" t="s">
        <v>33</v>
      </c>
      <c r="E30" s="1" t="s">
        <v>34</v>
      </c>
      <c r="F30" s="1" t="s">
        <v>35</v>
      </c>
      <c r="G30" s="1" t="s">
        <v>36</v>
      </c>
      <c r="H30" s="1" t="s">
        <v>4</v>
      </c>
    </row>
    <row r="31" spans="1:12" x14ac:dyDescent="0.25">
      <c r="B31" s="2">
        <v>2024</v>
      </c>
      <c r="C31">
        <v>935</v>
      </c>
      <c r="D31" s="6">
        <v>485</v>
      </c>
      <c r="E31" s="6">
        <v>8056</v>
      </c>
      <c r="F31" s="3">
        <v>-495</v>
      </c>
      <c r="G31" s="6">
        <f>K4*(1-F13)</f>
        <v>7181</v>
      </c>
      <c r="H31" s="6">
        <f>G31+C31-F31-D31</f>
        <v>8126</v>
      </c>
    </row>
    <row r="32" spans="1:12" x14ac:dyDescent="0.25">
      <c r="B32" s="2">
        <v>2023</v>
      </c>
      <c r="C32">
        <v>872</v>
      </c>
      <c r="D32" s="6">
        <v>-327</v>
      </c>
      <c r="E32" s="6">
        <v>7302</v>
      </c>
      <c r="F32" s="3">
        <v>-360</v>
      </c>
      <c r="G32" s="6">
        <f>K5*(1-F14)</f>
        <v>5392</v>
      </c>
      <c r="H32" s="6">
        <f t="shared" ref="H32:H35" si="6">G32+C32-F32-D32</f>
        <v>6951</v>
      </c>
    </row>
    <row r="33" spans="2:8" x14ac:dyDescent="0.25">
      <c r="B33" s="2">
        <v>2022</v>
      </c>
      <c r="C33">
        <v>856</v>
      </c>
      <c r="D33" s="6">
        <v>557</v>
      </c>
      <c r="E33" s="6">
        <v>7838</v>
      </c>
      <c r="F33" s="3">
        <v>-442</v>
      </c>
      <c r="G33" s="6">
        <f>K6*(1-F15)</f>
        <v>4928</v>
      </c>
      <c r="H33" s="6">
        <f t="shared" si="6"/>
        <v>5669</v>
      </c>
    </row>
    <row r="34" spans="2:8" x14ac:dyDescent="0.25">
      <c r="B34" s="2">
        <v>2021</v>
      </c>
      <c r="C34">
        <v>788</v>
      </c>
      <c r="D34" s="6">
        <v>1053</v>
      </c>
      <c r="E34" s="6">
        <v>7230</v>
      </c>
      <c r="F34" s="3">
        <v>-348</v>
      </c>
      <c r="G34" s="6">
        <f>K7*(1-F16)</f>
        <v>4919</v>
      </c>
      <c r="H34" s="6">
        <f t="shared" si="6"/>
        <v>5002</v>
      </c>
    </row>
    <row r="35" spans="2:8" x14ac:dyDescent="0.25">
      <c r="B35" s="2">
        <v>2020</v>
      </c>
      <c r="C35">
        <v>625</v>
      </c>
      <c r="D35" s="6">
        <v>452</v>
      </c>
      <c r="E35" s="6">
        <v>5723</v>
      </c>
      <c r="F35" s="3">
        <v>-379</v>
      </c>
      <c r="G35" s="6">
        <f>K8*(1-F17)</f>
        <v>3786</v>
      </c>
      <c r="H35" s="6">
        <f t="shared" si="6"/>
        <v>4338</v>
      </c>
    </row>
  </sheetData>
  <mergeCells count="4">
    <mergeCell ref="B2:L2"/>
    <mergeCell ref="B11:L11"/>
    <mergeCell ref="B20:L20"/>
    <mergeCell ref="B29:L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E817-CB87-4212-99F9-849A5613A2FC}">
  <dimension ref="A2:N13"/>
  <sheetViews>
    <sheetView zoomScale="60" zoomScaleNormal="60" workbookViewId="0">
      <selection activeCell="E30" sqref="E30"/>
    </sheetView>
  </sheetViews>
  <sheetFormatPr defaultRowHeight="15" outlineLevelRow="1" x14ac:dyDescent="0.25"/>
  <cols>
    <col min="1" max="1" width="2.7109375" customWidth="1"/>
    <col min="2" max="4" width="20.7109375" customWidth="1"/>
    <col min="5" max="5" width="26" customWidth="1"/>
    <col min="6" max="6" width="27.42578125" customWidth="1"/>
    <col min="7" max="7" width="27" customWidth="1"/>
    <col min="8" max="8" width="20.7109375" customWidth="1"/>
    <col min="9" max="9" width="25.5703125" customWidth="1"/>
    <col min="10" max="10" width="27.28515625" customWidth="1"/>
    <col min="11" max="11" width="29.28515625" customWidth="1"/>
    <col min="12" max="12" width="20.7109375" customWidth="1"/>
  </cols>
  <sheetData>
    <row r="2" spans="1:14" x14ac:dyDescent="0.25">
      <c r="A2" t="s">
        <v>14</v>
      </c>
      <c r="B2" s="59" t="s">
        <v>37</v>
      </c>
      <c r="C2" s="59"/>
      <c r="D2" s="59"/>
      <c r="E2" s="59"/>
      <c r="F2" s="59"/>
      <c r="G2" s="59"/>
      <c r="H2" s="59"/>
      <c r="I2" s="59"/>
      <c r="J2" s="59"/>
      <c r="K2" s="59"/>
    </row>
    <row r="3" spans="1:14" ht="30" outlineLevel="1" x14ac:dyDescent="0.25">
      <c r="B3" s="1" t="s">
        <v>5</v>
      </c>
      <c r="C3" s="1" t="s">
        <v>38</v>
      </c>
      <c r="D3" s="1" t="s">
        <v>18</v>
      </c>
      <c r="E3" s="1" t="s">
        <v>21</v>
      </c>
      <c r="F3" s="1" t="s">
        <v>23</v>
      </c>
      <c r="G3" s="1" t="s">
        <v>24</v>
      </c>
      <c r="H3" s="1" t="s">
        <v>39</v>
      </c>
      <c r="I3" s="5" t="s">
        <v>40</v>
      </c>
      <c r="J3" s="5" t="s">
        <v>41</v>
      </c>
      <c r="K3" s="5" t="s">
        <v>42</v>
      </c>
    </row>
    <row r="4" spans="1:14" outlineLevel="1" x14ac:dyDescent="0.25">
      <c r="B4" s="2" t="s">
        <v>47</v>
      </c>
      <c r="C4" s="8">
        <v>0.12</v>
      </c>
      <c r="D4" s="8">
        <v>0.875</v>
      </c>
      <c r="E4" s="8">
        <v>0.185</v>
      </c>
      <c r="F4" s="11">
        <v>0.27500000000000002</v>
      </c>
      <c r="G4" s="8">
        <v>7.4999999999999997E-2</v>
      </c>
      <c r="H4" s="8">
        <v>0.22</v>
      </c>
      <c r="I4" s="8">
        <v>4.3999999999999997E-2</v>
      </c>
      <c r="J4" s="8">
        <v>2.3E-2</v>
      </c>
      <c r="K4" s="8">
        <v>0.1</v>
      </c>
    </row>
    <row r="5" spans="1:14" outlineLevel="1" x14ac:dyDescent="0.25">
      <c r="B5" s="2" t="s">
        <v>46</v>
      </c>
      <c r="C5" s="8">
        <v>0.11</v>
      </c>
      <c r="D5" s="8">
        <v>0.875</v>
      </c>
      <c r="E5" s="8">
        <v>0.185</v>
      </c>
      <c r="F5" s="11">
        <v>0.27</v>
      </c>
      <c r="G5" s="8">
        <v>7.4999999999999997E-2</v>
      </c>
      <c r="H5" s="8">
        <v>0.215</v>
      </c>
      <c r="I5" s="8">
        <v>4.2999999999999997E-2</v>
      </c>
      <c r="J5" s="8">
        <v>2.3E-2</v>
      </c>
      <c r="K5" s="8">
        <v>0.08</v>
      </c>
    </row>
    <row r="6" spans="1:14" outlineLevel="1" x14ac:dyDescent="0.25">
      <c r="B6" s="2" t="s">
        <v>45</v>
      </c>
      <c r="C6" s="8">
        <v>0.1</v>
      </c>
      <c r="D6" s="8">
        <v>0.875</v>
      </c>
      <c r="E6" s="8">
        <v>0.18</v>
      </c>
      <c r="F6" s="11">
        <v>0.26500000000000001</v>
      </c>
      <c r="G6" s="8">
        <v>7.4999999999999997E-2</v>
      </c>
      <c r="H6" s="8">
        <v>0.21</v>
      </c>
      <c r="I6" s="8">
        <v>4.2000000000000003E-2</v>
      </c>
      <c r="J6" s="8">
        <v>2.3E-2</v>
      </c>
      <c r="K6" s="8">
        <v>0.06</v>
      </c>
    </row>
    <row r="7" spans="1:14" outlineLevel="1" x14ac:dyDescent="0.25">
      <c r="B7" s="2" t="s">
        <v>44</v>
      </c>
      <c r="C7" s="8">
        <v>0.09</v>
      </c>
      <c r="D7" s="8">
        <v>0.875</v>
      </c>
      <c r="E7" s="8">
        <v>0.17499999999999999</v>
      </c>
      <c r="F7" s="11">
        <v>0.26</v>
      </c>
      <c r="G7" s="8">
        <v>7.4999999999999997E-2</v>
      </c>
      <c r="H7" s="8">
        <v>0.21</v>
      </c>
      <c r="I7" s="8">
        <v>4.1000000000000002E-2</v>
      </c>
      <c r="J7" s="8">
        <v>2.3E-2</v>
      </c>
      <c r="K7" s="8">
        <v>0.05</v>
      </c>
    </row>
    <row r="8" spans="1:14" outlineLevel="1" x14ac:dyDescent="0.25">
      <c r="B8" s="2" t="s">
        <v>43</v>
      </c>
      <c r="C8" s="8">
        <v>0.08</v>
      </c>
      <c r="D8" s="8">
        <v>0.875</v>
      </c>
      <c r="E8" s="8">
        <v>0.17</v>
      </c>
      <c r="F8" s="11">
        <v>0.255</v>
      </c>
      <c r="G8" s="8">
        <v>7.4999999999999997E-2</v>
      </c>
      <c r="H8" s="8">
        <v>0.21</v>
      </c>
      <c r="I8" s="8">
        <v>0.04</v>
      </c>
      <c r="J8" s="8">
        <v>2.3E-2</v>
      </c>
      <c r="K8" s="8">
        <v>0.05</v>
      </c>
    </row>
    <row r="9" spans="1:14" outlineLevel="1" x14ac:dyDescent="0.25">
      <c r="B9" s="1" t="s">
        <v>48</v>
      </c>
      <c r="C9" s="12">
        <v>0.05</v>
      </c>
      <c r="D9" s="12">
        <v>0.875</v>
      </c>
      <c r="E9" s="12">
        <v>0.17</v>
      </c>
      <c r="F9" s="12">
        <v>0.255</v>
      </c>
      <c r="G9" s="12">
        <v>7.4999999999999997E-2</v>
      </c>
      <c r="H9" s="12">
        <v>0.21</v>
      </c>
      <c r="I9" s="13">
        <v>0.04</v>
      </c>
      <c r="J9" s="13">
        <v>2.3E-2</v>
      </c>
      <c r="K9" s="13">
        <v>0.05</v>
      </c>
    </row>
    <row r="11" spans="1:14" x14ac:dyDescent="0.25">
      <c r="A11" t="s">
        <v>14</v>
      </c>
      <c r="B11" s="59" t="s">
        <v>49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</row>
    <row r="12" spans="1:14" ht="30" x14ac:dyDescent="0.25">
      <c r="B12" s="1" t="s">
        <v>50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39</v>
      </c>
      <c r="H12" s="1" t="s">
        <v>55</v>
      </c>
      <c r="I12" s="1" t="s">
        <v>56</v>
      </c>
      <c r="J12" s="1" t="s">
        <v>57</v>
      </c>
      <c r="K12" s="1" t="s">
        <v>58</v>
      </c>
      <c r="L12" s="1" t="s">
        <v>59</v>
      </c>
      <c r="M12" s="1" t="s">
        <v>60</v>
      </c>
      <c r="N12" s="1" t="s">
        <v>61</v>
      </c>
    </row>
    <row r="13" spans="1:14" x14ac:dyDescent="0.25">
      <c r="B13" s="10">
        <v>4.41E-2</v>
      </c>
      <c r="C13" s="10">
        <v>6.5000000000000002E-2</v>
      </c>
      <c r="D13">
        <v>1.1499999999999999</v>
      </c>
      <c r="E13" s="10">
        <v>0.11799999999999999</v>
      </c>
      <c r="F13" s="10">
        <v>3.5000000000000003E-2</v>
      </c>
      <c r="G13" s="10">
        <v>0.21</v>
      </c>
      <c r="H13" s="10">
        <v>2.8000000000000001E-2</v>
      </c>
      <c r="I13" t="s">
        <v>62</v>
      </c>
      <c r="J13" t="s">
        <v>63</v>
      </c>
      <c r="K13" t="s">
        <v>64</v>
      </c>
      <c r="L13" s="10">
        <v>0.98699999999999999</v>
      </c>
      <c r="M13" s="10">
        <v>1.2999999999999999E-2</v>
      </c>
      <c r="N13" s="10">
        <v>0.108</v>
      </c>
    </row>
  </sheetData>
  <mergeCells count="3">
    <mergeCell ref="B11:K11"/>
    <mergeCell ref="L11:N11"/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DA4A-FEB8-4DD7-9A37-594D03D23176}">
  <dimension ref="A2:W16"/>
  <sheetViews>
    <sheetView zoomScale="87" zoomScaleNormal="87" workbookViewId="0">
      <selection activeCell="B3" sqref="B3"/>
    </sheetView>
  </sheetViews>
  <sheetFormatPr defaultRowHeight="15" outlineLevelRow="1" x14ac:dyDescent="0.25"/>
  <cols>
    <col min="1" max="1" width="2.7109375" customWidth="1"/>
    <col min="2" max="12" width="20.7109375" customWidth="1"/>
  </cols>
  <sheetData>
    <row r="2" spans="1:23" x14ac:dyDescent="0.25">
      <c r="A2" t="s">
        <v>14</v>
      </c>
      <c r="B2" s="59" t="s">
        <v>68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</row>
    <row r="3" spans="1:23" x14ac:dyDescent="0.25">
      <c r="B3" s="1" t="s">
        <v>5</v>
      </c>
      <c r="C3" s="1" t="s">
        <v>0</v>
      </c>
      <c r="D3" s="1" t="s">
        <v>8</v>
      </c>
      <c r="E3" s="1" t="s">
        <v>9</v>
      </c>
      <c r="F3" s="1" t="s">
        <v>10</v>
      </c>
      <c r="G3" s="1" t="s">
        <v>22</v>
      </c>
      <c r="H3" s="1" t="s">
        <v>65</v>
      </c>
      <c r="I3" s="1" t="s">
        <v>66</v>
      </c>
      <c r="J3" s="1" t="s">
        <v>1</v>
      </c>
      <c r="K3" s="1" t="s">
        <v>67</v>
      </c>
      <c r="L3" s="1" t="s">
        <v>2</v>
      </c>
    </row>
    <row r="4" spans="1:23" outlineLevel="1" x14ac:dyDescent="0.25">
      <c r="B4" s="2" t="s">
        <v>47</v>
      </c>
      <c r="C4" s="4">
        <f>'Historical Data'!C4*(1+Assumptions!C4)</f>
        <v>26577.600000000002</v>
      </c>
      <c r="D4" s="4">
        <f>C4*(1-Assumptions!D4)</f>
        <v>3322.2000000000003</v>
      </c>
      <c r="E4" s="4">
        <f>C4-D4</f>
        <v>23255.4</v>
      </c>
      <c r="F4" s="4">
        <f>C4*Assumptions!E4</f>
        <v>4916.8560000000007</v>
      </c>
      <c r="G4" s="4">
        <f>C4*Assumptions!F4</f>
        <v>7308.8400000000011</v>
      </c>
      <c r="H4" s="4">
        <f>C4*Assumptions!G4</f>
        <v>1993.3200000000002</v>
      </c>
      <c r="I4" s="4">
        <f>F4+G4+H4</f>
        <v>14219.016000000001</v>
      </c>
      <c r="J4" s="4">
        <f>E4-I4</f>
        <v>9036.384</v>
      </c>
      <c r="K4" s="4">
        <f>J4*Assumptions!H4</f>
        <v>1988.0044800000001</v>
      </c>
      <c r="L4" s="4">
        <f>J4-K4</f>
        <v>7048.3795200000004</v>
      </c>
    </row>
    <row r="5" spans="1:23" outlineLevel="1" x14ac:dyDescent="0.25">
      <c r="B5" s="2" t="s">
        <v>46</v>
      </c>
      <c r="C5" s="4">
        <f>C4*(1+Assumptions!C5)</f>
        <v>29501.136000000006</v>
      </c>
      <c r="D5" s="4">
        <f>C5*(1-Assumptions!D5)</f>
        <v>3687.6420000000007</v>
      </c>
      <c r="E5" s="4">
        <f t="shared" ref="E5:E8" si="0">C5-D5</f>
        <v>25813.494000000006</v>
      </c>
      <c r="F5" s="4">
        <f>C5*Assumptions!E5</f>
        <v>5457.7101600000015</v>
      </c>
      <c r="G5" s="4">
        <f>C5*Assumptions!F5</f>
        <v>7965.3067200000023</v>
      </c>
      <c r="H5" s="4">
        <f>C5*Assumptions!G5</f>
        <v>2212.5852000000004</v>
      </c>
      <c r="I5" s="4">
        <f t="shared" ref="I5:I8" si="1">F5+G5+H5</f>
        <v>15635.602080000004</v>
      </c>
      <c r="J5" s="4">
        <f t="shared" ref="J5:J8" si="2">E5-I5</f>
        <v>10177.891920000002</v>
      </c>
      <c r="K5" s="4">
        <f>J5*Assumptions!H5</f>
        <v>2188.2467628000004</v>
      </c>
      <c r="L5" s="4">
        <f t="shared" ref="L5:L8" si="3">J5-K5</f>
        <v>7989.6451572000014</v>
      </c>
    </row>
    <row r="6" spans="1:23" outlineLevel="1" x14ac:dyDescent="0.25">
      <c r="B6" s="2" t="s">
        <v>45</v>
      </c>
      <c r="C6" s="4">
        <f>C5*(1+Assumptions!C6)</f>
        <v>32451.24960000001</v>
      </c>
      <c r="D6" s="4">
        <f>C6*(1-Assumptions!D6)</f>
        <v>4056.4062000000013</v>
      </c>
      <c r="E6" s="4">
        <f t="shared" si="0"/>
        <v>28394.843400000009</v>
      </c>
      <c r="F6" s="4">
        <f>C6*Assumptions!E6</f>
        <v>5841.2249280000015</v>
      </c>
      <c r="G6" s="4">
        <f>C6*Assumptions!F6</f>
        <v>8599.5811440000034</v>
      </c>
      <c r="H6" s="4">
        <f>C6*Assumptions!G6</f>
        <v>2433.8437200000008</v>
      </c>
      <c r="I6" s="4">
        <f t="shared" si="1"/>
        <v>16874.649792000004</v>
      </c>
      <c r="J6" s="4">
        <f t="shared" si="2"/>
        <v>11520.193608000005</v>
      </c>
      <c r="K6" s="4">
        <f>J6*Assumptions!H6</f>
        <v>2419.2406576800008</v>
      </c>
      <c r="L6" s="4">
        <f t="shared" si="3"/>
        <v>9100.9529503200047</v>
      </c>
    </row>
    <row r="7" spans="1:23" outlineLevel="1" x14ac:dyDescent="0.25">
      <c r="B7" s="2" t="s">
        <v>44</v>
      </c>
      <c r="C7" s="4">
        <f>C6*(1+Assumptions!C7)</f>
        <v>35371.862064000015</v>
      </c>
      <c r="D7" s="4">
        <f>C7*(1-Assumptions!D7)</f>
        <v>4421.4827580000019</v>
      </c>
      <c r="E7" s="4">
        <f t="shared" si="0"/>
        <v>30950.379306000013</v>
      </c>
      <c r="F7" s="4">
        <f>C7*Assumptions!E7</f>
        <v>6190.0758612000027</v>
      </c>
      <c r="G7" s="4">
        <f>C7*Assumptions!F7</f>
        <v>9196.684136640004</v>
      </c>
      <c r="H7" s="4">
        <f>C7*Assumptions!G7</f>
        <v>2652.8896548000012</v>
      </c>
      <c r="I7" s="4">
        <f t="shared" si="1"/>
        <v>18039.649652640008</v>
      </c>
      <c r="J7" s="4">
        <f t="shared" si="2"/>
        <v>12910.729653360006</v>
      </c>
      <c r="K7" s="4">
        <f>J7*Assumptions!H7</f>
        <v>2711.253227205601</v>
      </c>
      <c r="L7" s="4">
        <f t="shared" si="3"/>
        <v>10199.476426154404</v>
      </c>
    </row>
    <row r="8" spans="1:23" outlineLevel="1" x14ac:dyDescent="0.25">
      <c r="B8" s="2" t="s">
        <v>43</v>
      </c>
      <c r="C8" s="4">
        <f>C7*(1+Assumptions!C8)</f>
        <v>38201.611029120017</v>
      </c>
      <c r="D8" s="4">
        <f>C8*(1-Assumptions!D8)</f>
        <v>4775.2013786400021</v>
      </c>
      <c r="E8" s="4">
        <f t="shared" si="0"/>
        <v>33426.409650480011</v>
      </c>
      <c r="F8" s="4">
        <f>C8*Assumptions!E8</f>
        <v>6494.2738749504033</v>
      </c>
      <c r="G8" s="4">
        <f>C8*Assumptions!F8</f>
        <v>9741.4108124256036</v>
      </c>
      <c r="H8" s="4">
        <f>C8*Assumptions!G8</f>
        <v>2865.120827184001</v>
      </c>
      <c r="I8" s="4">
        <f t="shared" si="1"/>
        <v>19100.805514560008</v>
      </c>
      <c r="J8" s="4">
        <f t="shared" si="2"/>
        <v>14325.604135920003</v>
      </c>
      <c r="K8" s="4">
        <f>J8*Assumptions!H8</f>
        <v>3008.3768685432005</v>
      </c>
      <c r="L8" s="4">
        <f t="shared" si="3"/>
        <v>11317.227267376802</v>
      </c>
    </row>
    <row r="9" spans="1:23" x14ac:dyDescent="0.25">
      <c r="B9" s="1"/>
    </row>
    <row r="10" spans="1:23" x14ac:dyDescent="0.25">
      <c r="A10" t="s">
        <v>14</v>
      </c>
      <c r="B10" s="59" t="s">
        <v>71</v>
      </c>
      <c r="C10" s="59"/>
      <c r="D10" s="59"/>
      <c r="E10" s="59"/>
      <c r="F10" s="59"/>
      <c r="G10" s="59"/>
      <c r="H10" s="59"/>
      <c r="I10" s="59"/>
    </row>
    <row r="11" spans="1:23" x14ac:dyDescent="0.25">
      <c r="B11" s="1" t="s">
        <v>5</v>
      </c>
      <c r="C11" s="1" t="s">
        <v>1</v>
      </c>
      <c r="D11" s="1" t="s">
        <v>39</v>
      </c>
      <c r="E11" s="1" t="s">
        <v>36</v>
      </c>
      <c r="F11" s="1" t="s">
        <v>3</v>
      </c>
      <c r="G11" s="1" t="s">
        <v>69</v>
      </c>
      <c r="H11" s="1" t="s">
        <v>70</v>
      </c>
      <c r="I11" s="1" t="s">
        <v>4</v>
      </c>
    </row>
    <row r="12" spans="1:23" outlineLevel="1" x14ac:dyDescent="0.25">
      <c r="B12" s="2" t="s">
        <v>47</v>
      </c>
      <c r="C12" s="14">
        <f>J4</f>
        <v>9036.384</v>
      </c>
      <c r="D12" s="15">
        <f>Assumptions!H4</f>
        <v>0.22</v>
      </c>
      <c r="E12" s="14">
        <f>C12*(1-D12)</f>
        <v>7048.3795200000004</v>
      </c>
      <c r="F12" s="14">
        <f>Assumptions!I4*C4</f>
        <v>1169.4144000000001</v>
      </c>
      <c r="G12" s="14">
        <f>(Assumptions!J4*'Projections '!C4)</f>
        <v>611.28480000000002</v>
      </c>
      <c r="H12" s="14">
        <f>Assumptions!C4*Assumptions!K4*'Historical Data'!C4</f>
        <v>284.76</v>
      </c>
      <c r="I12" s="14">
        <f>E12+F12-G12-H12</f>
        <v>7321.7491199999995</v>
      </c>
    </row>
    <row r="13" spans="1:23" outlineLevel="1" x14ac:dyDescent="0.25">
      <c r="B13" s="2" t="s">
        <v>46</v>
      </c>
      <c r="C13" s="14">
        <f t="shared" ref="C13:C16" si="4">J5</f>
        <v>10177.891920000002</v>
      </c>
      <c r="D13" s="15">
        <f>Assumptions!H5</f>
        <v>0.215</v>
      </c>
      <c r="E13" s="14">
        <f t="shared" ref="E13:E16" si="5">C13*(1-D13)</f>
        <v>7989.6451572000014</v>
      </c>
      <c r="F13" s="14">
        <f>Assumptions!I5*C5</f>
        <v>1268.5488480000001</v>
      </c>
      <c r="G13" s="14">
        <f>(Assumptions!J5*'Projections '!C5)</f>
        <v>678.52612800000009</v>
      </c>
      <c r="H13" s="14">
        <f>Assumptions!C5*Assumptions!K5*'Projections '!C4</f>
        <v>233.88288000000003</v>
      </c>
      <c r="I13" s="14">
        <f t="shared" ref="I13:I16" si="6">E13+F13-G13-H13</f>
        <v>8345.7849972000022</v>
      </c>
    </row>
    <row r="14" spans="1:23" outlineLevel="1" x14ac:dyDescent="0.25">
      <c r="B14" s="2" t="s">
        <v>45</v>
      </c>
      <c r="C14" s="14">
        <f t="shared" si="4"/>
        <v>11520.193608000005</v>
      </c>
      <c r="D14" s="15">
        <f>Assumptions!H6</f>
        <v>0.21</v>
      </c>
      <c r="E14" s="14">
        <f t="shared" si="5"/>
        <v>9100.9529503200047</v>
      </c>
      <c r="F14" s="14">
        <f>Assumptions!I6*C6</f>
        <v>1362.9524832000004</v>
      </c>
      <c r="G14" s="14">
        <f>(Assumptions!J6*'Projections '!C6)</f>
        <v>746.37874080000017</v>
      </c>
      <c r="H14" s="14">
        <f>Assumptions!C6*Assumptions!K6*'Projections '!C5</f>
        <v>177.00681600000004</v>
      </c>
      <c r="I14" s="14">
        <f t="shared" si="6"/>
        <v>9540.5198767200054</v>
      </c>
    </row>
    <row r="15" spans="1:23" outlineLevel="1" x14ac:dyDescent="0.25">
      <c r="B15" s="2" t="s">
        <v>44</v>
      </c>
      <c r="C15" s="14">
        <f t="shared" si="4"/>
        <v>12910.729653360006</v>
      </c>
      <c r="D15" s="15">
        <f>Assumptions!H7</f>
        <v>0.21</v>
      </c>
      <c r="E15" s="14">
        <f t="shared" si="5"/>
        <v>10199.476426154404</v>
      </c>
      <c r="F15" s="14">
        <f>Assumptions!I7*C7</f>
        <v>1450.2463446240006</v>
      </c>
      <c r="G15" s="14">
        <f>(Assumptions!J7*'Projections '!C7)</f>
        <v>813.55282747200033</v>
      </c>
      <c r="H15" s="14">
        <f>Assumptions!C7*Assumptions!K7*'Projections '!C6</f>
        <v>146.03062320000004</v>
      </c>
      <c r="I15" s="14">
        <f t="shared" si="6"/>
        <v>10690.139320106404</v>
      </c>
    </row>
    <row r="16" spans="1:23" outlineLevel="1" x14ac:dyDescent="0.25">
      <c r="B16" s="2" t="s">
        <v>43</v>
      </c>
      <c r="C16" s="14">
        <f t="shared" si="4"/>
        <v>14325.604135920003</v>
      </c>
      <c r="D16" s="15">
        <f>Assumptions!H8</f>
        <v>0.21</v>
      </c>
      <c r="E16" s="14">
        <f t="shared" si="5"/>
        <v>11317.227267376802</v>
      </c>
      <c r="F16" s="14">
        <f>Assumptions!I8*C8</f>
        <v>1528.0644411648007</v>
      </c>
      <c r="G16" s="14">
        <f>(Assumptions!J8*'Projections '!C8)</f>
        <v>878.63705366976035</v>
      </c>
      <c r="H16" s="14">
        <f>Assumptions!C8*Assumptions!K8*'Projections '!C7</f>
        <v>141.48744825600008</v>
      </c>
      <c r="I16" s="14">
        <f t="shared" si="6"/>
        <v>11825.167206615843</v>
      </c>
    </row>
  </sheetData>
  <mergeCells count="3">
    <mergeCell ref="B10:I10"/>
    <mergeCell ref="B2:L2"/>
    <mergeCell ref="M2:W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02AD-6BB6-4ED1-B37F-079A166D332A}">
  <dimension ref="A2:J25"/>
  <sheetViews>
    <sheetView zoomScale="84" zoomScaleNormal="84" workbookViewId="0">
      <selection activeCell="A3" sqref="A3:C8"/>
    </sheetView>
  </sheetViews>
  <sheetFormatPr defaultRowHeight="15" outlineLevelRow="1" x14ac:dyDescent="0.25"/>
  <cols>
    <col min="1" max="1" width="2.7109375" customWidth="1"/>
    <col min="2" max="2" width="26.7109375" customWidth="1"/>
    <col min="3" max="9" width="20.7109375" customWidth="1"/>
    <col min="10" max="10" width="21.42578125" customWidth="1"/>
    <col min="11" max="12" width="20.7109375" customWidth="1"/>
  </cols>
  <sheetData>
    <row r="2" spans="1:5" x14ac:dyDescent="0.25">
      <c r="A2" t="s">
        <v>14</v>
      </c>
      <c r="B2" s="59" t="s">
        <v>73</v>
      </c>
      <c r="C2" s="59"/>
      <c r="D2" s="59"/>
      <c r="E2" s="59"/>
    </row>
    <row r="3" spans="1:5" x14ac:dyDescent="0.25">
      <c r="B3" s="1" t="s">
        <v>5</v>
      </c>
      <c r="C3" s="1" t="s">
        <v>4</v>
      </c>
      <c r="D3" s="1" t="s">
        <v>74</v>
      </c>
      <c r="E3" s="1" t="s">
        <v>72</v>
      </c>
    </row>
    <row r="4" spans="1:5" outlineLevel="1" x14ac:dyDescent="0.25">
      <c r="B4" s="2" t="s">
        <v>47</v>
      </c>
      <c r="C4" s="6">
        <f>'Projections '!I12</f>
        <v>7321.7491199999995</v>
      </c>
      <c r="D4" s="17">
        <f>1 / (1 + WACC)^(ROW()-3)</f>
        <v>0.90252707581227432</v>
      </c>
      <c r="E4" s="6">
        <f>C4*D4</f>
        <v>6608.0768231046923</v>
      </c>
    </row>
    <row r="5" spans="1:5" outlineLevel="1" x14ac:dyDescent="0.25">
      <c r="B5" s="2" t="s">
        <v>46</v>
      </c>
      <c r="C5" s="6">
        <f>'Projections '!I13</f>
        <v>8345.7849972000022</v>
      </c>
      <c r="D5" s="17">
        <f>1 / (1 + WACC)^(ROW()-3)</f>
        <v>0.81455512257425466</v>
      </c>
      <c r="E5" s="6">
        <f t="shared" ref="E5:E8" si="0">C5*D5</f>
        <v>6798.1019213726231</v>
      </c>
    </row>
    <row r="6" spans="1:5" outlineLevel="1" x14ac:dyDescent="0.25">
      <c r="B6" s="2" t="s">
        <v>45</v>
      </c>
      <c r="C6" s="6">
        <f>'Projections '!I14</f>
        <v>9540.5198767200054</v>
      </c>
      <c r="D6" s="17">
        <f>1 / (1 + WACC)^(ROW()-3)</f>
        <v>0.7351580528648507</v>
      </c>
      <c r="E6" s="6">
        <f t="shared" si="0"/>
        <v>7013.7900158878847</v>
      </c>
    </row>
    <row r="7" spans="1:5" outlineLevel="1" x14ac:dyDescent="0.25">
      <c r="B7" s="2" t="s">
        <v>44</v>
      </c>
      <c r="C7" s="6">
        <f>'Projections '!I15</f>
        <v>10690.139320106404</v>
      </c>
      <c r="D7" s="17">
        <f>1 / (1 + WACC)^(ROW()-3)</f>
        <v>0.66350004771195903</v>
      </c>
      <c r="E7" s="6">
        <f t="shared" si="0"/>
        <v>7092.9079489380883</v>
      </c>
    </row>
    <row r="8" spans="1:5" outlineLevel="1" x14ac:dyDescent="0.25">
      <c r="B8" s="2" t="s">
        <v>43</v>
      </c>
      <c r="C8" s="6">
        <f>'Projections '!I16</f>
        <v>11825.167206615843</v>
      </c>
      <c r="D8" s="17">
        <f>1 / (1 + WACC)^(ROW()-3)</f>
        <v>0.59882675786277884</v>
      </c>
      <c r="E8" s="6">
        <f t="shared" si="0"/>
        <v>7081.2265395230179</v>
      </c>
    </row>
    <row r="10" spans="1:5" x14ac:dyDescent="0.25">
      <c r="A10" t="s">
        <v>14</v>
      </c>
      <c r="B10" s="59" t="s">
        <v>77</v>
      </c>
      <c r="C10" s="59"/>
      <c r="D10" s="59"/>
      <c r="E10" s="59"/>
    </row>
    <row r="11" spans="1:5" outlineLevel="1" x14ac:dyDescent="0.25">
      <c r="B11" s="48" t="s">
        <v>85</v>
      </c>
      <c r="C11" s="48"/>
      <c r="D11" s="6">
        <f>C8</f>
        <v>11825.167206615843</v>
      </c>
    </row>
    <row r="12" spans="1:5" outlineLevel="1" x14ac:dyDescent="0.25">
      <c r="B12" s="48" t="s">
        <v>86</v>
      </c>
      <c r="C12" s="48"/>
      <c r="D12" s="10">
        <v>0.04</v>
      </c>
    </row>
    <row r="13" spans="1:5" outlineLevel="1" x14ac:dyDescent="0.25">
      <c r="B13" s="48" t="s">
        <v>61</v>
      </c>
      <c r="C13" s="48"/>
      <c r="D13" s="10">
        <f>Assumptions!N13</f>
        <v>0.108</v>
      </c>
    </row>
    <row r="14" spans="1:5" outlineLevel="1" x14ac:dyDescent="0.25">
      <c r="B14" s="48" t="s">
        <v>75</v>
      </c>
      <c r="C14" s="48"/>
      <c r="D14" s="6">
        <f>(C8*(1+g))/(WACC-g)</f>
        <v>180855.49845412464</v>
      </c>
    </row>
    <row r="15" spans="1:5" outlineLevel="1" x14ac:dyDescent="0.25">
      <c r="B15" s="48" t="s">
        <v>87</v>
      </c>
      <c r="C15" s="48"/>
      <c r="D15" s="18">
        <f>1 / (1 + WACC)^5</f>
        <v>0.59882675786277884</v>
      </c>
    </row>
    <row r="16" spans="1:5" outlineLevel="1" x14ac:dyDescent="0.25">
      <c r="B16" s="48" t="s">
        <v>76</v>
      </c>
      <c r="C16" s="48"/>
      <c r="D16" s="6">
        <f>D14/((1+WACC)^5)</f>
        <v>108301.11178094026</v>
      </c>
    </row>
    <row r="18" spans="1:10" x14ac:dyDescent="0.25">
      <c r="A18" t="s">
        <v>14</v>
      </c>
      <c r="B18" s="60" t="s">
        <v>78</v>
      </c>
      <c r="C18" s="59"/>
      <c r="D18" s="59"/>
      <c r="E18" s="59"/>
    </row>
    <row r="19" spans="1:10" ht="20.25" customHeight="1" outlineLevel="1" x14ac:dyDescent="0.25">
      <c r="B19" s="48" t="s">
        <v>79</v>
      </c>
      <c r="C19" s="48"/>
      <c r="D19" s="6">
        <f>SUM(E4:E8)</f>
        <v>34594.103248826308</v>
      </c>
      <c r="G19" s="1"/>
      <c r="H19" s="1"/>
      <c r="I19" s="1"/>
      <c r="J19" s="1"/>
    </row>
    <row r="20" spans="1:10" outlineLevel="1" x14ac:dyDescent="0.25">
      <c r="B20" s="48" t="s">
        <v>80</v>
      </c>
      <c r="C20" s="48"/>
      <c r="D20" s="6">
        <f>D16</f>
        <v>108301.11178094026</v>
      </c>
    </row>
    <row r="21" spans="1:10" outlineLevel="1" x14ac:dyDescent="0.25">
      <c r="B21" s="48" t="s">
        <v>81</v>
      </c>
      <c r="C21" s="48"/>
      <c r="D21" s="6">
        <f>SUM(D19:D20)</f>
        <v>142895.21502976658</v>
      </c>
    </row>
    <row r="22" spans="1:10" outlineLevel="1" x14ac:dyDescent="0.25">
      <c r="B22" s="48" t="s">
        <v>84</v>
      </c>
      <c r="C22" s="48"/>
      <c r="D22" s="6">
        <f>'Historical Data'!H22-'Historical Data'!C22</f>
        <v>-2258</v>
      </c>
    </row>
    <row r="23" spans="1:10" outlineLevel="1" x14ac:dyDescent="0.25">
      <c r="B23" s="48" t="s">
        <v>82</v>
      </c>
      <c r="C23" s="48"/>
      <c r="D23" s="6">
        <f>D21-D22</f>
        <v>145153.21502976658</v>
      </c>
    </row>
    <row r="24" spans="1:10" outlineLevel="1" x14ac:dyDescent="0.25">
      <c r="B24" s="48" t="s">
        <v>13</v>
      </c>
      <c r="C24" s="48"/>
      <c r="D24" s="6">
        <f>'Historical Data'!M4</f>
        <v>450</v>
      </c>
    </row>
    <row r="25" spans="1:10" outlineLevel="1" x14ac:dyDescent="0.25">
      <c r="B25" s="48" t="s">
        <v>83</v>
      </c>
      <c r="C25" s="48"/>
      <c r="D25" s="16">
        <f>D23/D24</f>
        <v>322.56270006614795</v>
      </c>
    </row>
  </sheetData>
  <mergeCells count="16">
    <mergeCell ref="B2:E2"/>
    <mergeCell ref="B10:E10"/>
    <mergeCell ref="B18:E18"/>
    <mergeCell ref="B19:C19"/>
    <mergeCell ref="B20:C20"/>
    <mergeCell ref="B11:C11"/>
    <mergeCell ref="B12:C12"/>
    <mergeCell ref="B13:C13"/>
    <mergeCell ref="B14:C14"/>
    <mergeCell ref="B15:C15"/>
    <mergeCell ref="B16:C16"/>
    <mergeCell ref="B21:C21"/>
    <mergeCell ref="B22:C22"/>
    <mergeCell ref="B23:C23"/>
    <mergeCell ref="B24:C24"/>
    <mergeCell ref="B25:C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BBFD-806F-4713-B750-BB7731AE8C02}">
  <dimension ref="A2:G18"/>
  <sheetViews>
    <sheetView workbookViewId="0">
      <selection activeCell="C13" sqref="C13"/>
    </sheetView>
  </sheetViews>
  <sheetFormatPr defaultRowHeight="15" x14ac:dyDescent="0.25"/>
  <cols>
    <col min="1" max="1" width="2.7109375" customWidth="1"/>
    <col min="2" max="2" width="22.7109375" customWidth="1"/>
    <col min="3" max="8" width="20.7109375" customWidth="1"/>
  </cols>
  <sheetData>
    <row r="2" spans="1:7" x14ac:dyDescent="0.25">
      <c r="A2" t="s">
        <v>14</v>
      </c>
      <c r="B2" s="59" t="s">
        <v>88</v>
      </c>
      <c r="C2" s="59"/>
      <c r="D2" s="59"/>
    </row>
    <row r="3" spans="1:7" x14ac:dyDescent="0.25">
      <c r="B3" s="48" t="s">
        <v>61</v>
      </c>
      <c r="C3" s="48"/>
      <c r="D3" s="9">
        <f>WACC</f>
        <v>0.108</v>
      </c>
      <c r="F3" t="str">
        <f>B3</f>
        <v>WACC</v>
      </c>
    </row>
    <row r="4" spans="1:7" x14ac:dyDescent="0.25">
      <c r="B4" s="48" t="s">
        <v>91</v>
      </c>
      <c r="C4" s="48"/>
      <c r="D4" s="19">
        <f>g</f>
        <v>0.04</v>
      </c>
    </row>
    <row r="5" spans="1:7" x14ac:dyDescent="0.25">
      <c r="B5" s="48" t="s">
        <v>85</v>
      </c>
      <c r="C5" s="48"/>
      <c r="D5" s="6">
        <f>'DCF Valuation'!D11</f>
        <v>11825.167206615843</v>
      </c>
    </row>
    <row r="6" spans="1:7" ht="15.75" customHeight="1" x14ac:dyDescent="0.25">
      <c r="B6" s="48" t="s">
        <v>89</v>
      </c>
      <c r="C6" s="48"/>
      <c r="D6" s="6">
        <f>'DCF Valuation'!D19</f>
        <v>34594.103248826308</v>
      </c>
    </row>
    <row r="7" spans="1:7" x14ac:dyDescent="0.25">
      <c r="B7" s="48" t="s">
        <v>90</v>
      </c>
      <c r="C7" s="48"/>
      <c r="D7">
        <f>ABS('DCF Valuation'!D22)</f>
        <v>2258</v>
      </c>
    </row>
    <row r="8" spans="1:7" x14ac:dyDescent="0.25">
      <c r="B8" s="48" t="s">
        <v>13</v>
      </c>
      <c r="C8" s="48"/>
      <c r="D8" s="6">
        <f>'DCF Valuation'!D24</f>
        <v>450</v>
      </c>
    </row>
    <row r="10" spans="1:7" x14ac:dyDescent="0.25">
      <c r="B10" s="18">
        <f>((D5*(1+D4))/(D3-D4)/(1+D3)^5+D6+D7)/D8</f>
        <v>322.56270006614795</v>
      </c>
    </row>
    <row r="11" spans="1:7" x14ac:dyDescent="0.25">
      <c r="B11" s="18"/>
    </row>
    <row r="12" spans="1:7" x14ac:dyDescent="0.25">
      <c r="B12" s="59" t="s">
        <v>92</v>
      </c>
      <c r="C12" s="59"/>
      <c r="D12" s="59"/>
      <c r="E12" s="59"/>
      <c r="F12" s="59"/>
      <c r="G12" s="59"/>
    </row>
    <row r="13" spans="1:7" x14ac:dyDescent="0.25">
      <c r="B13" s="21">
        <f>B10</f>
        <v>322.56270006614795</v>
      </c>
      <c r="C13" s="9">
        <v>0.03</v>
      </c>
      <c r="D13" s="9">
        <v>3.5000000000000003E-2</v>
      </c>
      <c r="E13" s="9">
        <v>0.04</v>
      </c>
      <c r="F13" s="9">
        <v>4.4999999999999998E-2</v>
      </c>
      <c r="G13" s="9">
        <v>0.05</v>
      </c>
    </row>
    <row r="14" spans="1:7" x14ac:dyDescent="0.25">
      <c r="B14" s="10">
        <v>0.1066</v>
      </c>
      <c r="C14" s="20">
        <f t="dataTable" ref="C14:G18" dt2D="1" dtr="1" r1="D4" r2="D3"/>
        <v>294.82996023806186</v>
      </c>
      <c r="D14" s="20">
        <v>310.80567601560409</v>
      </c>
      <c r="E14" s="20">
        <v>329.18014791590036</v>
      </c>
      <c r="F14" s="20">
        <v>350.53748863117983</v>
      </c>
      <c r="G14" s="20">
        <v>375.66821109827549</v>
      </c>
    </row>
    <row r="15" spans="1:7" x14ac:dyDescent="0.25">
      <c r="B15" s="10">
        <v>0.1116</v>
      </c>
      <c r="C15" s="20">
        <v>277.32712674159978</v>
      </c>
      <c r="D15" s="20">
        <v>291.09451943248445</v>
      </c>
      <c r="E15" s="20">
        <v>306.7847323315932</v>
      </c>
      <c r="F15" s="20">
        <v>324.83083305339102</v>
      </c>
      <c r="G15" s="20">
        <v>345.80649558067546</v>
      </c>
    </row>
    <row r="16" spans="1:7" x14ac:dyDescent="0.25">
      <c r="B16" s="10">
        <v>0.1166</v>
      </c>
      <c r="C16" s="20">
        <v>261.95718887697785</v>
      </c>
      <c r="D16" s="20">
        <v>273.91815433155608</v>
      </c>
      <c r="E16" s="20">
        <v>287.44060352694095</v>
      </c>
      <c r="F16" s="20">
        <v>302.85166294514488</v>
      </c>
      <c r="G16" s="20">
        <v>320.57669524896511</v>
      </c>
    </row>
    <row r="17" spans="2:7" x14ac:dyDescent="0.25">
      <c r="B17" s="10">
        <v>0.1216</v>
      </c>
      <c r="C17" s="20">
        <v>248.36760482186517</v>
      </c>
      <c r="D17" s="20">
        <v>258.8340550539092</v>
      </c>
      <c r="E17" s="20">
        <v>270.58315850066458</v>
      </c>
      <c r="F17" s="20">
        <v>283.86608746266228</v>
      </c>
      <c r="G17" s="20">
        <v>299.00417410091643</v>
      </c>
    </row>
    <row r="18" spans="2:7" x14ac:dyDescent="0.25">
      <c r="B18" s="10">
        <v>0.12659999999999999</v>
      </c>
      <c r="C18" s="20">
        <v>236.27893184696694</v>
      </c>
      <c r="D18" s="20">
        <v>245.49643284308169</v>
      </c>
      <c r="E18" s="20">
        <v>255.7783103976393</v>
      </c>
      <c r="F18" s="20">
        <v>267.32022196623575</v>
      </c>
      <c r="G18" s="20">
        <v>280.36891050201194</v>
      </c>
    </row>
  </sheetData>
  <mergeCells count="8">
    <mergeCell ref="B12:G12"/>
    <mergeCell ref="B2:D2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90EA-6EB7-41F7-8FFD-016DA3EE0FC0}">
  <dimension ref="A2:I82"/>
  <sheetViews>
    <sheetView zoomScale="70" zoomScaleNormal="70" workbookViewId="0">
      <selection activeCell="G88" sqref="G88"/>
    </sheetView>
  </sheetViews>
  <sheetFormatPr defaultRowHeight="15" outlineLevelRow="1" x14ac:dyDescent="0.25"/>
  <cols>
    <col min="1" max="1" width="2.7109375" customWidth="1"/>
    <col min="2" max="11" width="20.7109375" customWidth="1"/>
  </cols>
  <sheetData>
    <row r="2" spans="1:9" x14ac:dyDescent="0.25">
      <c r="A2" t="s">
        <v>14</v>
      </c>
      <c r="B2" s="59" t="s">
        <v>94</v>
      </c>
      <c r="C2" s="59"/>
      <c r="D2" s="59"/>
    </row>
    <row r="3" spans="1:9" x14ac:dyDescent="0.25">
      <c r="B3" s="1" t="s">
        <v>5</v>
      </c>
      <c r="C3" s="1" t="s">
        <v>61</v>
      </c>
      <c r="D3" s="1" t="s">
        <v>93</v>
      </c>
      <c r="E3" s="1"/>
      <c r="F3" s="1"/>
    </row>
    <row r="4" spans="1:9" outlineLevel="1" x14ac:dyDescent="0.25">
      <c r="B4" s="2" t="s">
        <v>47</v>
      </c>
      <c r="C4" s="23">
        <f t="shared" ref="C4:C9" si="0">WACC</f>
        <v>0.108</v>
      </c>
      <c r="D4" s="3">
        <f>1/(1+WACC)^1</f>
        <v>0.90252707581227432</v>
      </c>
      <c r="E4" s="3"/>
      <c r="F4" s="3"/>
    </row>
    <row r="5" spans="1:9" outlineLevel="1" x14ac:dyDescent="0.25">
      <c r="B5" s="2" t="s">
        <v>46</v>
      </c>
      <c r="C5" s="23">
        <f t="shared" si="0"/>
        <v>0.108</v>
      </c>
      <c r="D5" s="3">
        <f>1/(1+WACC)^2</f>
        <v>0.81455512257425466</v>
      </c>
      <c r="E5" s="3"/>
      <c r="F5" s="3"/>
    </row>
    <row r="6" spans="1:9" outlineLevel="1" x14ac:dyDescent="0.25">
      <c r="B6" s="2" t="s">
        <v>45</v>
      </c>
      <c r="C6" s="23">
        <f t="shared" si="0"/>
        <v>0.108</v>
      </c>
      <c r="D6" s="3">
        <f>1/(1+WACC)^3</f>
        <v>0.7351580528648507</v>
      </c>
      <c r="E6" s="3"/>
      <c r="F6" s="3"/>
    </row>
    <row r="7" spans="1:9" outlineLevel="1" x14ac:dyDescent="0.25">
      <c r="B7" s="2" t="s">
        <v>44</v>
      </c>
      <c r="C7" s="23">
        <f t="shared" si="0"/>
        <v>0.108</v>
      </c>
      <c r="D7" s="3">
        <f>1/(1+WACC)^4</f>
        <v>0.66350004771195903</v>
      </c>
      <c r="E7" s="3"/>
      <c r="F7" s="3"/>
    </row>
    <row r="8" spans="1:9" outlineLevel="1" x14ac:dyDescent="0.25">
      <c r="B8" s="2" t="s">
        <v>43</v>
      </c>
      <c r="C8" s="23">
        <f t="shared" si="0"/>
        <v>0.108</v>
      </c>
      <c r="D8" s="3">
        <f>1/(1+WACC)^5</f>
        <v>0.59882675786277884</v>
      </c>
      <c r="E8" s="3"/>
      <c r="F8" s="3"/>
    </row>
    <row r="9" spans="1:9" outlineLevel="1" x14ac:dyDescent="0.25">
      <c r="B9" s="24" t="s">
        <v>48</v>
      </c>
      <c r="C9" s="23">
        <f t="shared" si="0"/>
        <v>0.108</v>
      </c>
      <c r="D9" s="3">
        <f>D8</f>
        <v>0.59882675786277884</v>
      </c>
      <c r="E9" s="3"/>
      <c r="F9" s="3"/>
    </row>
    <row r="12" spans="1:9" x14ac:dyDescent="0.25">
      <c r="A12" t="s">
        <v>14</v>
      </c>
      <c r="B12" s="59" t="s">
        <v>117</v>
      </c>
      <c r="C12" s="59"/>
      <c r="D12" s="59"/>
      <c r="E12" s="59"/>
      <c r="F12" s="59"/>
      <c r="G12" s="59"/>
      <c r="H12" s="59"/>
      <c r="I12" s="59"/>
    </row>
    <row r="13" spans="1:9" x14ac:dyDescent="0.25">
      <c r="B13" s="1" t="s">
        <v>5</v>
      </c>
      <c r="C13" s="1" t="s">
        <v>0</v>
      </c>
      <c r="D13" s="1" t="s">
        <v>95</v>
      </c>
      <c r="E13" s="1" t="s">
        <v>3</v>
      </c>
      <c r="F13" s="1" t="s">
        <v>96</v>
      </c>
      <c r="G13" s="1" t="s">
        <v>69</v>
      </c>
      <c r="H13" s="1" t="s">
        <v>97</v>
      </c>
      <c r="I13" s="1" t="s">
        <v>70</v>
      </c>
    </row>
    <row r="14" spans="1:9" outlineLevel="1" x14ac:dyDescent="0.25">
      <c r="B14" s="2" t="s">
        <v>47</v>
      </c>
      <c r="C14" s="4">
        <f>'Projections '!C4</f>
        <v>26577.600000000002</v>
      </c>
      <c r="D14" s="23">
        <v>4.3999999999999997E-2</v>
      </c>
      <c r="E14" s="4">
        <v>1060</v>
      </c>
      <c r="F14" s="23">
        <v>2.3E-2</v>
      </c>
      <c r="G14" s="3">
        <v>554</v>
      </c>
      <c r="H14" s="23">
        <v>0.1</v>
      </c>
      <c r="I14" s="3">
        <v>258</v>
      </c>
    </row>
    <row r="15" spans="1:9" outlineLevel="1" x14ac:dyDescent="0.25">
      <c r="B15" s="2" t="s">
        <v>46</v>
      </c>
      <c r="C15" s="4">
        <f>'Projections '!C5</f>
        <v>29501.136000000006</v>
      </c>
      <c r="D15" s="23">
        <v>4.2999999999999997E-2</v>
      </c>
      <c r="E15" s="4">
        <v>1145</v>
      </c>
      <c r="F15" s="23">
        <v>2.3E-2</v>
      </c>
      <c r="G15" s="3">
        <v>612</v>
      </c>
      <c r="H15" s="23">
        <v>0.08</v>
      </c>
      <c r="I15" s="3">
        <v>202</v>
      </c>
    </row>
    <row r="16" spans="1:9" outlineLevel="1" x14ac:dyDescent="0.25">
      <c r="B16" s="2" t="s">
        <v>45</v>
      </c>
      <c r="C16" s="4">
        <f>'Projections '!C6</f>
        <v>32451.24960000001</v>
      </c>
      <c r="D16" s="23">
        <v>4.2000000000000003E-2</v>
      </c>
      <c r="E16" s="4">
        <v>1219</v>
      </c>
      <c r="F16" s="23">
        <v>2.3E-2</v>
      </c>
      <c r="G16" s="3">
        <v>667</v>
      </c>
      <c r="H16" s="23">
        <v>0.06</v>
      </c>
      <c r="I16" s="3">
        <v>144</v>
      </c>
    </row>
    <row r="17" spans="1:9" outlineLevel="1" x14ac:dyDescent="0.25">
      <c r="B17" s="2" t="s">
        <v>44</v>
      </c>
      <c r="C17" s="4">
        <f>'Projections '!C7</f>
        <v>35371.862064000015</v>
      </c>
      <c r="D17" s="23">
        <v>4.1000000000000002E-2</v>
      </c>
      <c r="E17" s="4">
        <v>1279</v>
      </c>
      <c r="F17" s="23">
        <v>2.3E-2</v>
      </c>
      <c r="G17" s="3">
        <v>717</v>
      </c>
      <c r="H17" s="23">
        <v>0.05</v>
      </c>
      <c r="I17" s="3">
        <v>109</v>
      </c>
    </row>
    <row r="18" spans="1:9" outlineLevel="1" x14ac:dyDescent="0.25">
      <c r="B18" s="2" t="s">
        <v>43</v>
      </c>
      <c r="C18" s="4">
        <f>'Projections '!C8</f>
        <v>38201.611029120017</v>
      </c>
      <c r="D18" s="23">
        <v>0.04</v>
      </c>
      <c r="E18" s="4">
        <v>1323</v>
      </c>
      <c r="F18" s="23">
        <v>2.3E-2</v>
      </c>
      <c r="G18" s="3">
        <v>760</v>
      </c>
      <c r="H18" s="23">
        <v>0.05</v>
      </c>
      <c r="I18" s="3">
        <v>94</v>
      </c>
    </row>
    <row r="20" spans="1:9" ht="18" x14ac:dyDescent="0.25">
      <c r="B20" s="25" t="s">
        <v>98</v>
      </c>
    </row>
    <row r="21" spans="1:9" x14ac:dyDescent="0.25">
      <c r="B21" s="1" t="s">
        <v>5</v>
      </c>
      <c r="C21" s="1" t="s">
        <v>1</v>
      </c>
      <c r="D21" s="1" t="s">
        <v>39</v>
      </c>
      <c r="E21" s="1" t="s">
        <v>36</v>
      </c>
      <c r="F21" s="1" t="s">
        <v>3</v>
      </c>
      <c r="G21" s="1" t="s">
        <v>69</v>
      </c>
      <c r="H21" s="1" t="s">
        <v>70</v>
      </c>
      <c r="I21" s="1" t="s">
        <v>4</v>
      </c>
    </row>
    <row r="22" spans="1:9" outlineLevel="1" x14ac:dyDescent="0.25">
      <c r="B22" s="2" t="s">
        <v>47</v>
      </c>
      <c r="C22" s="6">
        <v>8191</v>
      </c>
      <c r="D22" s="8">
        <v>0.22</v>
      </c>
      <c r="E22" s="6">
        <v>6389</v>
      </c>
      <c r="F22" s="6">
        <v>1060</v>
      </c>
      <c r="G22" s="6">
        <v>-554</v>
      </c>
      <c r="H22" s="6">
        <v>-258</v>
      </c>
      <c r="I22" s="6">
        <v>6637</v>
      </c>
    </row>
    <row r="23" spans="1:9" outlineLevel="1" x14ac:dyDescent="0.25">
      <c r="B23" s="2" t="s">
        <v>46</v>
      </c>
      <c r="C23" s="6">
        <v>9184</v>
      </c>
      <c r="D23" s="8">
        <v>0.215</v>
      </c>
      <c r="E23" s="6">
        <v>7210</v>
      </c>
      <c r="F23" s="6">
        <v>1145</v>
      </c>
      <c r="G23" s="6">
        <v>-612</v>
      </c>
      <c r="H23" s="6">
        <v>-202</v>
      </c>
      <c r="I23" s="6">
        <v>7540</v>
      </c>
    </row>
    <row r="24" spans="1:9" outlineLevel="1" x14ac:dyDescent="0.25">
      <c r="B24" s="2" t="s">
        <v>45</v>
      </c>
      <c r="C24" s="6">
        <v>10301</v>
      </c>
      <c r="D24" s="8">
        <v>0.21</v>
      </c>
      <c r="E24" s="6">
        <v>8138</v>
      </c>
      <c r="F24" s="6">
        <v>1219</v>
      </c>
      <c r="G24" s="6">
        <v>-667</v>
      </c>
      <c r="H24" s="6">
        <v>-144</v>
      </c>
      <c r="I24" s="6">
        <v>8545</v>
      </c>
    </row>
    <row r="25" spans="1:9" outlineLevel="1" x14ac:dyDescent="0.25">
      <c r="B25" s="2" t="s">
        <v>44</v>
      </c>
      <c r="C25" s="6">
        <v>11385</v>
      </c>
      <c r="D25" s="8">
        <v>0.21</v>
      </c>
      <c r="E25" s="6">
        <v>8995</v>
      </c>
      <c r="F25" s="6">
        <v>1279</v>
      </c>
      <c r="G25" s="6">
        <v>-717</v>
      </c>
      <c r="H25" s="6">
        <v>-109</v>
      </c>
      <c r="I25" s="6">
        <v>9447</v>
      </c>
    </row>
    <row r="26" spans="1:9" outlineLevel="1" x14ac:dyDescent="0.25">
      <c r="B26" s="2" t="s">
        <v>43</v>
      </c>
      <c r="C26" s="6">
        <v>12399</v>
      </c>
      <c r="D26" s="8">
        <v>0.21</v>
      </c>
      <c r="E26" s="6">
        <v>9795</v>
      </c>
      <c r="F26" s="6">
        <v>1323</v>
      </c>
      <c r="G26" s="6">
        <v>-760</v>
      </c>
      <c r="H26" s="6">
        <v>-94</v>
      </c>
      <c r="I26" s="6">
        <v>10264</v>
      </c>
    </row>
    <row r="29" spans="1:9" ht="17.25" customHeight="1" x14ac:dyDescent="0.25">
      <c r="A29" t="s">
        <v>14</v>
      </c>
      <c r="B29" s="59" t="s">
        <v>124</v>
      </c>
      <c r="C29" s="59"/>
      <c r="D29" s="59"/>
      <c r="E29" s="59"/>
      <c r="F29" s="22"/>
      <c r="G29" s="22"/>
      <c r="H29" s="22"/>
      <c r="I29" s="22"/>
    </row>
    <row r="30" spans="1:9" outlineLevel="1" x14ac:dyDescent="0.25">
      <c r="B30" s="48" t="s">
        <v>99</v>
      </c>
      <c r="C30" s="48"/>
      <c r="D30" s="4">
        <v>10264</v>
      </c>
    </row>
    <row r="31" spans="1:9" ht="30" customHeight="1" outlineLevel="1" x14ac:dyDescent="0.25">
      <c r="B31" s="48" t="s">
        <v>86</v>
      </c>
      <c r="C31" s="48"/>
      <c r="D31" s="23">
        <v>0.04</v>
      </c>
    </row>
    <row r="32" spans="1:9" outlineLevel="1" x14ac:dyDescent="0.25">
      <c r="B32" s="48" t="s">
        <v>61</v>
      </c>
      <c r="C32" s="48"/>
      <c r="D32" s="23">
        <v>0.1166</v>
      </c>
    </row>
    <row r="33" spans="1:5" outlineLevel="1" x14ac:dyDescent="0.25">
      <c r="B33" s="48" t="s">
        <v>100</v>
      </c>
      <c r="C33" s="48"/>
      <c r="D33" s="4">
        <v>10675</v>
      </c>
    </row>
    <row r="34" spans="1:5" outlineLevel="1" x14ac:dyDescent="0.25">
      <c r="B34" s="48" t="s">
        <v>101</v>
      </c>
      <c r="C34" s="48"/>
      <c r="D34" s="4">
        <v>139355</v>
      </c>
    </row>
    <row r="35" spans="1:5" outlineLevel="1" x14ac:dyDescent="0.25">
      <c r="B35" s="48" t="s">
        <v>87</v>
      </c>
      <c r="C35" s="48"/>
      <c r="D35" s="3">
        <v>0.57609999999999995</v>
      </c>
    </row>
    <row r="36" spans="1:5" outlineLevel="1" x14ac:dyDescent="0.25">
      <c r="B36" s="48" t="s">
        <v>80</v>
      </c>
      <c r="C36" s="48"/>
      <c r="D36" s="4">
        <v>80285</v>
      </c>
    </row>
    <row r="37" spans="1:5" outlineLevel="1" x14ac:dyDescent="0.25"/>
    <row r="38" spans="1:5" ht="18" outlineLevel="1" x14ac:dyDescent="0.25">
      <c r="B38" s="25" t="s">
        <v>102</v>
      </c>
    </row>
    <row r="39" spans="1:5" outlineLevel="1" x14ac:dyDescent="0.25">
      <c r="B39" s="61" t="s">
        <v>120</v>
      </c>
      <c r="C39" s="61"/>
      <c r="D39" t="s">
        <v>121</v>
      </c>
    </row>
    <row r="40" spans="1:5" outlineLevel="1" x14ac:dyDescent="0.25">
      <c r="B40" s="61" t="s">
        <v>118</v>
      </c>
      <c r="C40" s="61"/>
      <c r="D40" t="s">
        <v>119</v>
      </c>
    </row>
    <row r="41" spans="1:5" outlineLevel="1" x14ac:dyDescent="0.25">
      <c r="B41" s="61" t="s">
        <v>122</v>
      </c>
      <c r="C41" s="61"/>
      <c r="D41" t="s">
        <v>123</v>
      </c>
    </row>
    <row r="43" spans="1:5" x14ac:dyDescent="0.25">
      <c r="A43" t="s">
        <v>14</v>
      </c>
      <c r="B43" s="59" t="s">
        <v>126</v>
      </c>
      <c r="C43" s="59"/>
      <c r="D43" s="59"/>
      <c r="E43" s="59"/>
    </row>
    <row r="44" spans="1:5" ht="16.5" customHeight="1" outlineLevel="1" x14ac:dyDescent="0.25">
      <c r="B44" s="48" t="s">
        <v>26</v>
      </c>
      <c r="C44" s="48"/>
      <c r="D44" s="4">
        <v>8910</v>
      </c>
    </row>
    <row r="45" spans="1:5" ht="18" customHeight="1" outlineLevel="1" x14ac:dyDescent="0.25">
      <c r="B45" s="48" t="s">
        <v>103</v>
      </c>
      <c r="C45" s="48"/>
      <c r="D45" s="33" t="s">
        <v>17</v>
      </c>
    </row>
    <row r="46" spans="1:5" outlineLevel="1" x14ac:dyDescent="0.25">
      <c r="B46" s="48" t="s">
        <v>104</v>
      </c>
      <c r="C46" s="48"/>
      <c r="D46" s="4">
        <v>8910</v>
      </c>
    </row>
    <row r="47" spans="1:5" outlineLevel="1" x14ac:dyDescent="0.25">
      <c r="B47" s="48" t="s">
        <v>105</v>
      </c>
      <c r="C47" s="48"/>
      <c r="D47" s="33" t="s">
        <v>17</v>
      </c>
    </row>
    <row r="48" spans="1:5" outlineLevel="1" x14ac:dyDescent="0.25">
      <c r="B48" s="48" t="s">
        <v>31</v>
      </c>
      <c r="C48" s="48"/>
      <c r="D48" s="4">
        <v>3641</v>
      </c>
    </row>
    <row r="49" spans="1:5" outlineLevel="1" x14ac:dyDescent="0.25">
      <c r="B49" s="48" t="s">
        <v>106</v>
      </c>
      <c r="C49" s="48"/>
      <c r="D49" s="4">
        <v>3641</v>
      </c>
    </row>
    <row r="50" spans="1:5" outlineLevel="1" x14ac:dyDescent="0.25">
      <c r="B50" s="48" t="s">
        <v>84</v>
      </c>
      <c r="C50" s="48"/>
      <c r="D50" s="4">
        <v>-5269</v>
      </c>
    </row>
    <row r="51" spans="1:5" outlineLevel="1" x14ac:dyDescent="0.25">
      <c r="B51" s="48" t="s">
        <v>90</v>
      </c>
      <c r="C51" s="48"/>
      <c r="D51" s="4">
        <v>5269</v>
      </c>
    </row>
    <row r="53" spans="1:5" x14ac:dyDescent="0.25">
      <c r="A53" t="s">
        <v>14</v>
      </c>
      <c r="B53" s="59" t="s">
        <v>125</v>
      </c>
      <c r="C53" s="59"/>
      <c r="D53" s="59"/>
      <c r="E53" s="59"/>
    </row>
    <row r="54" spans="1:5" ht="20.25" customHeight="1" outlineLevel="1" x14ac:dyDescent="0.25">
      <c r="B54" s="48" t="s">
        <v>107</v>
      </c>
      <c r="C54" s="48"/>
      <c r="D54" s="4">
        <v>30120</v>
      </c>
    </row>
    <row r="55" spans="1:5" outlineLevel="1" x14ac:dyDescent="0.25">
      <c r="B55" s="48" t="s">
        <v>80</v>
      </c>
      <c r="C55" s="48"/>
      <c r="D55" s="4">
        <v>80285</v>
      </c>
    </row>
    <row r="56" spans="1:5" outlineLevel="1" x14ac:dyDescent="0.25">
      <c r="B56" s="48" t="s">
        <v>81</v>
      </c>
      <c r="C56" s="48"/>
      <c r="D56" s="26">
        <v>142920</v>
      </c>
    </row>
    <row r="57" spans="1:5" outlineLevel="1" x14ac:dyDescent="0.25">
      <c r="B57" s="48" t="s">
        <v>108</v>
      </c>
      <c r="C57" s="48"/>
      <c r="D57" s="4">
        <v>-5269</v>
      </c>
    </row>
    <row r="58" spans="1:5" outlineLevel="1" x14ac:dyDescent="0.25">
      <c r="B58" s="48" t="s">
        <v>82</v>
      </c>
      <c r="C58" s="48"/>
      <c r="D58" s="26">
        <v>145202</v>
      </c>
    </row>
    <row r="59" spans="1:5" ht="30" customHeight="1" outlineLevel="1" x14ac:dyDescent="0.25">
      <c r="B59" s="48" t="s">
        <v>109</v>
      </c>
      <c r="C59" s="48"/>
      <c r="D59" s="3">
        <v>449</v>
      </c>
    </row>
    <row r="60" spans="1:5" outlineLevel="1" x14ac:dyDescent="0.25">
      <c r="B60" s="48" t="s">
        <v>83</v>
      </c>
      <c r="C60" s="48"/>
      <c r="D60" s="29">
        <v>322.56</v>
      </c>
    </row>
    <row r="62" spans="1:5" x14ac:dyDescent="0.25">
      <c r="A62" t="s">
        <v>14</v>
      </c>
      <c r="B62" s="59" t="s">
        <v>127</v>
      </c>
      <c r="C62" s="59"/>
      <c r="D62" s="59"/>
      <c r="E62" s="59"/>
    </row>
    <row r="63" spans="1:5" outlineLevel="1" x14ac:dyDescent="0.25">
      <c r="B63" s="48" t="s">
        <v>50</v>
      </c>
      <c r="C63" s="48"/>
      <c r="D63" s="23">
        <v>4.41E-2</v>
      </c>
    </row>
    <row r="64" spans="1:5" outlineLevel="1" x14ac:dyDescent="0.25">
      <c r="B64" s="48" t="s">
        <v>51</v>
      </c>
      <c r="C64" s="48"/>
      <c r="D64" s="23">
        <v>6.5000000000000002E-2</v>
      </c>
    </row>
    <row r="65" spans="1:5" ht="30" customHeight="1" outlineLevel="1" x14ac:dyDescent="0.25">
      <c r="B65" s="48" t="s">
        <v>110</v>
      </c>
      <c r="C65" s="48"/>
      <c r="D65" s="3">
        <v>1.1499999999999999</v>
      </c>
    </row>
    <row r="66" spans="1:5" outlineLevel="1" x14ac:dyDescent="0.25">
      <c r="B66" s="48" t="s">
        <v>53</v>
      </c>
      <c r="C66" s="48"/>
      <c r="D66" s="23">
        <v>0.11799999999999999</v>
      </c>
    </row>
    <row r="67" spans="1:5" outlineLevel="1" x14ac:dyDescent="0.25">
      <c r="B67" s="48" t="s">
        <v>54</v>
      </c>
      <c r="C67" s="48"/>
      <c r="D67" s="23">
        <v>3.5000000000000003E-2</v>
      </c>
    </row>
    <row r="68" spans="1:5" outlineLevel="1" x14ac:dyDescent="0.25">
      <c r="B68" s="48" t="s">
        <v>39</v>
      </c>
      <c r="C68" s="48"/>
      <c r="D68" s="23">
        <v>0.21</v>
      </c>
    </row>
    <row r="69" spans="1:5" ht="30" customHeight="1" outlineLevel="1" x14ac:dyDescent="0.25">
      <c r="B69" s="48" t="s">
        <v>55</v>
      </c>
      <c r="C69" s="48"/>
      <c r="D69" s="30">
        <v>2.7699999999999999E-2</v>
      </c>
    </row>
    <row r="70" spans="1:5" ht="30" customHeight="1" outlineLevel="1" x14ac:dyDescent="0.25">
      <c r="B70" s="48" t="s">
        <v>56</v>
      </c>
      <c r="C70" s="48"/>
      <c r="D70" s="32">
        <v>270000</v>
      </c>
    </row>
    <row r="71" spans="1:5" outlineLevel="1" x14ac:dyDescent="0.25">
      <c r="B71" s="48" t="s">
        <v>57</v>
      </c>
      <c r="C71" s="48"/>
      <c r="D71" s="32">
        <v>3650</v>
      </c>
    </row>
    <row r="72" spans="1:5" outlineLevel="1" x14ac:dyDescent="0.25">
      <c r="B72" s="48" t="s">
        <v>58</v>
      </c>
      <c r="C72" s="48"/>
      <c r="D72" s="32">
        <v>273650</v>
      </c>
    </row>
    <row r="73" spans="1:5" outlineLevel="1" x14ac:dyDescent="0.25">
      <c r="B73" s="48" t="s">
        <v>59</v>
      </c>
      <c r="C73" s="48"/>
      <c r="D73" s="23">
        <v>0.98699999999999999</v>
      </c>
    </row>
    <row r="74" spans="1:5" outlineLevel="1" x14ac:dyDescent="0.25">
      <c r="B74" s="48" t="s">
        <v>60</v>
      </c>
      <c r="C74" s="48"/>
      <c r="D74" s="23">
        <v>1.2999999999999999E-2</v>
      </c>
    </row>
    <row r="75" spans="1:5" outlineLevel="1" x14ac:dyDescent="0.25">
      <c r="B75" s="48" t="s">
        <v>61</v>
      </c>
      <c r="C75" s="48"/>
      <c r="D75" s="30">
        <f>WACC</f>
        <v>0.108</v>
      </c>
    </row>
    <row r="77" spans="1:5" x14ac:dyDescent="0.25">
      <c r="A77" t="s">
        <v>14</v>
      </c>
      <c r="B77" s="59" t="s">
        <v>128</v>
      </c>
      <c r="C77" s="59"/>
      <c r="D77" s="59"/>
      <c r="E77" s="59"/>
    </row>
    <row r="78" spans="1:5" outlineLevel="1" x14ac:dyDescent="0.25">
      <c r="B78" s="48" t="s">
        <v>111</v>
      </c>
      <c r="C78" s="48"/>
      <c r="D78" s="23">
        <v>0.04</v>
      </c>
      <c r="E78" s="3"/>
    </row>
    <row r="79" spans="1:5" outlineLevel="1" x14ac:dyDescent="0.25">
      <c r="B79" s="48" t="s">
        <v>39</v>
      </c>
      <c r="C79" s="48"/>
      <c r="D79" s="23">
        <v>0.21</v>
      </c>
      <c r="E79" s="3"/>
    </row>
    <row r="80" spans="1:5" outlineLevel="1" x14ac:dyDescent="0.25">
      <c r="B80" s="48" t="s">
        <v>112</v>
      </c>
      <c r="C80" s="48"/>
      <c r="D80" s="33" t="s">
        <v>113</v>
      </c>
      <c r="E80" s="3"/>
    </row>
    <row r="81" spans="2:5" outlineLevel="1" x14ac:dyDescent="0.25">
      <c r="B81" s="48" t="s">
        <v>114</v>
      </c>
      <c r="C81" s="48"/>
      <c r="D81" s="23">
        <v>2.3E-2</v>
      </c>
      <c r="E81" s="3"/>
    </row>
    <row r="82" spans="2:5" outlineLevel="1" x14ac:dyDescent="0.25">
      <c r="B82" s="48" t="s">
        <v>115</v>
      </c>
      <c r="C82" s="48"/>
      <c r="D82" s="33" t="s">
        <v>116</v>
      </c>
      <c r="E82" s="3"/>
    </row>
  </sheetData>
  <mergeCells count="51">
    <mergeCell ref="B50:C50"/>
    <mergeCell ref="B39:C39"/>
    <mergeCell ref="B40:C40"/>
    <mergeCell ref="B41:C41"/>
    <mergeCell ref="B44:C44"/>
    <mergeCell ref="B45:C45"/>
    <mergeCell ref="B46:C46"/>
    <mergeCell ref="B47:C47"/>
    <mergeCell ref="B48:C48"/>
    <mergeCell ref="B49:C49"/>
    <mergeCell ref="B51:C51"/>
    <mergeCell ref="B54:C54"/>
    <mergeCell ref="B55:C55"/>
    <mergeCell ref="B56:C56"/>
    <mergeCell ref="B57:C57"/>
    <mergeCell ref="B2:D2"/>
    <mergeCell ref="B30:C30"/>
    <mergeCell ref="B31:C31"/>
    <mergeCell ref="B73:C73"/>
    <mergeCell ref="B74:C74"/>
    <mergeCell ref="B67:C67"/>
    <mergeCell ref="B68:C68"/>
    <mergeCell ref="B69:C69"/>
    <mergeCell ref="B70:C70"/>
    <mergeCell ref="B71:C71"/>
    <mergeCell ref="B72:C72"/>
    <mergeCell ref="B59:C59"/>
    <mergeCell ref="B60:C60"/>
    <mergeCell ref="B63:C63"/>
    <mergeCell ref="B64:C64"/>
    <mergeCell ref="B65:C65"/>
    <mergeCell ref="B53:E53"/>
    <mergeCell ref="B62:E62"/>
    <mergeCell ref="B77:E77"/>
    <mergeCell ref="B82:C82"/>
    <mergeCell ref="B81:C81"/>
    <mergeCell ref="B75:C75"/>
    <mergeCell ref="B78:C78"/>
    <mergeCell ref="B79:C79"/>
    <mergeCell ref="B80:C80"/>
    <mergeCell ref="B66:C66"/>
    <mergeCell ref="B58:C58"/>
    <mergeCell ref="B12:G12"/>
    <mergeCell ref="H12:I12"/>
    <mergeCell ref="B36:C36"/>
    <mergeCell ref="B29:E29"/>
    <mergeCell ref="B43:E43"/>
    <mergeCell ref="B32:C32"/>
    <mergeCell ref="B33:C33"/>
    <mergeCell ref="B34:C34"/>
    <mergeCell ref="B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Executive Summary</vt:lpstr>
      <vt:lpstr>Historical Data</vt:lpstr>
      <vt:lpstr>Assumptions</vt:lpstr>
      <vt:lpstr>Projections </vt:lpstr>
      <vt:lpstr>DCF Valuation</vt:lpstr>
      <vt:lpstr>Sensitivity Analysis</vt:lpstr>
      <vt:lpstr>Supporting Calcs</vt:lpstr>
      <vt:lpstr>g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Desai</dc:creator>
  <cp:lastModifiedBy>Mukul Desai</cp:lastModifiedBy>
  <cp:lastPrinted>2025-06-16T01:37:16Z</cp:lastPrinted>
  <dcterms:created xsi:type="dcterms:W3CDTF">2015-06-05T18:17:20Z</dcterms:created>
  <dcterms:modified xsi:type="dcterms:W3CDTF">2025-06-16T01:37:45Z</dcterms:modified>
</cp:coreProperties>
</file>