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d.docs.live.net/f5981f02d10e9d75/Desktop/MSK/Excel_Learning_Analytics/"/>
    </mc:Choice>
  </mc:AlternateContent>
  <xr:revisionPtr revIDLastSave="752" documentId="13_ncr:1_{D05438BA-8C38-4964-8C17-A693D6DEBA6A}" xr6:coauthVersionLast="47" xr6:coauthVersionMax="47" xr10:uidLastSave="{E89F4FCC-EEA5-43ED-9CC1-C7395F826473}"/>
  <bookViews>
    <workbookView xWindow="-108" yWindow="-108" windowWidth="23256" windowHeight="12456" firstSheet="2" activeTab="8" xr2:uid="{26D4546B-D2A1-4444-8EAF-A6228F96F0C1}"/>
  </bookViews>
  <sheets>
    <sheet name="Data" sheetId="1" r:id="rId1"/>
    <sheet name="India Staff" sheetId="2" r:id="rId2"/>
    <sheet name="all_staff" sheetId="3" r:id="rId3"/>
    <sheet name="Info Finder" sheetId="4" r:id="rId4"/>
    <sheet name="Male vs Female" sheetId="5" r:id="rId5"/>
    <sheet name="salary viz" sheetId="6" r:id="rId6"/>
    <sheet name="Salary vs Rating" sheetId="7" r:id="rId7"/>
    <sheet name="Employee Trend" sheetId="8" r:id="rId8"/>
    <sheet name="Report" sheetId="9" r:id="rId9"/>
  </sheets>
  <definedNames>
    <definedName name="_xlnm._FilterDatabase" localSheetId="0" hidden="1">Data!$C$5:$I$105</definedName>
    <definedName name="_xlnm._FilterDatabase" localSheetId="1" hidden="1">'India Staff'!$B$2:$H$114</definedName>
    <definedName name="_xlchart.v1.0" hidden="1">all_staff!$G$2:$G$184</definedName>
    <definedName name="_xlchart.v1.1" hidden="1">all_staff!$G$2:$G$184</definedName>
    <definedName name="_xlcn.WorksheetConnection_Employee_data_analytics.xlsxstaff_data1" hidden="1">staff_data[]</definedName>
    <definedName name="ExternalData_1" localSheetId="2" hidden="1">all_staff!$A$1:$H$184</definedName>
    <definedName name="Slicer_Country">#N/A</definedName>
  </definedNames>
  <calcPr calcId="191029"/>
  <pivotCaches>
    <pivotCache cacheId="0" r:id="rId10"/>
    <pivotCache cacheId="1" r:id="rId11"/>
    <pivotCache cacheId="2" r:id="rId12"/>
    <pivotCache cacheId="3" r:id="rId13"/>
    <pivotCache cacheId="4" r:id="rId14"/>
  </pivotCaches>
  <extLst>
    <ext xmlns:x14="http://schemas.microsoft.com/office/spreadsheetml/2009/9/main" uri="{876F7934-8845-4945-9796-88D515C7AA90}">
      <x14:pivotCaches>
        <pivotCache cacheId="5"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_data" name="staff_data" connection="WorksheetConnection_Employee_data_analytics.xlsx!staff_data"/>
        </x15:modelTables>
        <x15:extLst>
          <ext xmlns:x16="http://schemas.microsoft.com/office/spreadsheetml/2014/11/main" uri="{9835A34E-60A6-4A7C-AAB8-D5F71C897F49}">
            <x16:modelTimeGroupings>
              <x16:modelTimeGrouping tableName="staff_data"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9" l="1"/>
  <c r="J3" i="9"/>
  <c r="L3" i="9" s="1"/>
  <c r="F3" i="9"/>
  <c r="B3" i="9"/>
  <c r="D3" i="9" s="1"/>
  <c r="R5" i="8"/>
  <c r="R6" i="8"/>
  <c r="R7" i="8"/>
  <c r="R8" i="8"/>
  <c r="R9" i="8"/>
  <c r="R10" i="8"/>
  <c r="R11" i="8"/>
  <c r="R12" i="8"/>
  <c r="R13" i="8"/>
  <c r="R14" i="8"/>
  <c r="R15" i="8"/>
  <c r="R16" i="8"/>
  <c r="R17" i="8"/>
  <c r="R18" i="8"/>
  <c r="R19" i="8"/>
  <c r="R20" i="8"/>
  <c r="R21" i="8"/>
  <c r="R22" i="8"/>
  <c r="R23" i="8"/>
  <c r="R24" i="8"/>
  <c r="R25" i="8"/>
  <c r="R26" i="8"/>
  <c r="R27" i="8"/>
  <c r="R28" i="8"/>
  <c r="R29" i="8"/>
  <c r="R30" i="8"/>
  <c r="R31" i="8"/>
  <c r="R32" i="8"/>
  <c r="R33" i="8"/>
  <c r="R34" i="8"/>
  <c r="R35" i="8"/>
  <c r="R36" i="8"/>
  <c r="R37" i="8"/>
  <c r="R38" i="8"/>
  <c r="R39" i="8"/>
  <c r="P4" i="8" a="1"/>
  <c r="P4" i="8" s="1"/>
  <c r="Q4" i="8" s="1" a="1"/>
  <c r="Q4" i="8" s="1"/>
  <c r="R4" i="8"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B8" i="4" a="1"/>
  <c r="B8" i="4" s="1"/>
  <c r="C5" i="4"/>
  <c r="X3" i="3" a="1"/>
  <c r="X3" i="3" s="1"/>
  <c r="P9" i="3"/>
  <c r="I2" i="3"/>
  <c r="J2" i="3" s="1"/>
  <c r="I3" i="3"/>
  <c r="J3" i="3" s="1"/>
  <c r="I4" i="3"/>
  <c r="J4" i="3" s="1"/>
  <c r="I5" i="3"/>
  <c r="J5" i="3" s="1"/>
  <c r="I103" i="3"/>
  <c r="J103" i="3" s="1"/>
  <c r="I7" i="3"/>
  <c r="J7" i="3" s="1"/>
  <c r="I8" i="3"/>
  <c r="J8" i="3" s="1"/>
  <c r="I9" i="3"/>
  <c r="J9" i="3" s="1"/>
  <c r="I10" i="3"/>
  <c r="J10" i="3" s="1"/>
  <c r="I11" i="3"/>
  <c r="J11" i="3" s="1"/>
  <c r="I12" i="3"/>
  <c r="J12" i="3" s="1"/>
  <c r="I13" i="3"/>
  <c r="J13" i="3" s="1"/>
  <c r="I14" i="3"/>
  <c r="J14" i="3" s="1"/>
  <c r="I15" i="3"/>
  <c r="J15" i="3" s="1"/>
  <c r="I16" i="3"/>
  <c r="J16" i="3" s="1"/>
  <c r="I17" i="3"/>
  <c r="J17" i="3" s="1"/>
  <c r="I38" i="3"/>
  <c r="J3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s="1"/>
  <c r="I6" i="3"/>
  <c r="J6" i="3" s="1"/>
  <c r="I39" i="3"/>
  <c r="J39" i="3" s="1"/>
  <c r="I143" i="3"/>
  <c r="J143" i="3" s="1"/>
  <c r="I41" i="3"/>
  <c r="J41" i="3" s="1"/>
  <c r="I42" i="3"/>
  <c r="J42" i="3" s="1"/>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J57" i="3" s="1"/>
  <c r="I58" i="3"/>
  <c r="J58" i="3" s="1"/>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J73" i="3" s="1"/>
  <c r="I74" i="3"/>
  <c r="J74" i="3" s="1"/>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J89" i="3" s="1"/>
  <c r="I90" i="3"/>
  <c r="J90" i="3" s="1"/>
  <c r="I91" i="3"/>
  <c r="J91" i="3" s="1"/>
  <c r="I92" i="3"/>
  <c r="J92" i="3" s="1"/>
  <c r="I93" i="3"/>
  <c r="J93" i="3" s="1"/>
  <c r="I94" i="3"/>
  <c r="J94" i="3" s="1"/>
  <c r="I95" i="3"/>
  <c r="J95" i="3" s="1"/>
  <c r="I96" i="3"/>
  <c r="J96" i="3" s="1"/>
  <c r="I125" i="3"/>
  <c r="J125" i="3" s="1"/>
  <c r="I98" i="3"/>
  <c r="J98" i="3" s="1"/>
  <c r="I99" i="3"/>
  <c r="J99" i="3" s="1"/>
  <c r="I100" i="3"/>
  <c r="J100" i="3" s="1"/>
  <c r="I101" i="3"/>
  <c r="J101" i="3" s="1"/>
  <c r="I102" i="3"/>
  <c r="J102" i="3" s="1"/>
  <c r="I18" i="3"/>
  <c r="J18" i="3" s="1"/>
  <c r="I104" i="3"/>
  <c r="J104" i="3" s="1"/>
  <c r="I105" i="3"/>
  <c r="J105" i="3" s="1"/>
  <c r="I106" i="3"/>
  <c r="J106" i="3" s="1"/>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J121" i="3" s="1"/>
  <c r="I122" i="3"/>
  <c r="J122" i="3" s="1"/>
  <c r="I123" i="3"/>
  <c r="J123" i="3" s="1"/>
  <c r="I124" i="3"/>
  <c r="J124" i="3" s="1"/>
  <c r="I97" i="3"/>
  <c r="J97"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J137" i="3" s="1"/>
  <c r="I138" i="3"/>
  <c r="J138" i="3" s="1"/>
  <c r="I139" i="3"/>
  <c r="J139" i="3" s="1"/>
  <c r="I140" i="3"/>
  <c r="J140" i="3" s="1"/>
  <c r="I141" i="3"/>
  <c r="J141" i="3" s="1"/>
  <c r="I142" i="3"/>
  <c r="J142" i="3" s="1"/>
  <c r="I40" i="3"/>
  <c r="J40" i="3" s="1"/>
  <c r="I144" i="3"/>
  <c r="J144" i="3" s="1"/>
  <c r="I145" i="3"/>
  <c r="J145" i="3" s="1"/>
  <c r="I146" i="3"/>
  <c r="J146" i="3" s="1"/>
  <c r="I147" i="3"/>
  <c r="J147" i="3" s="1"/>
  <c r="I148" i="3"/>
  <c r="J148" i="3" s="1"/>
  <c r="I149" i="3"/>
  <c r="J149" i="3" s="1"/>
  <c r="I150" i="3"/>
  <c r="J150" i="3" s="1"/>
  <c r="I151" i="3"/>
  <c r="J151" i="3" s="1"/>
  <c r="I152" i="3"/>
  <c r="J152" i="3" s="1"/>
  <c r="I153" i="3"/>
  <c r="J153" i="3" s="1"/>
  <c r="I154" i="3"/>
  <c r="J154" i="3" s="1"/>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J169" i="3" s="1"/>
  <c r="I170" i="3"/>
  <c r="J170" i="3" s="1"/>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Q6" i="3"/>
  <c r="Q5" i="3"/>
  <c r="P6" i="3"/>
  <c r="P5" i="3"/>
  <c r="P4" i="3"/>
  <c r="F106" i="1"/>
  <c r="I106" i="1"/>
  <c r="H106" i="1"/>
  <c r="S5" i="8" l="1"/>
  <c r="S13" i="8"/>
  <c r="S21" i="8"/>
  <c r="S29" i="8"/>
  <c r="S37" i="8"/>
  <c r="S39" i="8"/>
  <c r="S6" i="8"/>
  <c r="S14" i="8"/>
  <c r="S22" i="8"/>
  <c r="S30" i="8"/>
  <c r="S38" i="8"/>
  <c r="S15" i="8"/>
  <c r="S32" i="8"/>
  <c r="S7" i="8"/>
  <c r="S8" i="8"/>
  <c r="S9" i="8"/>
  <c r="S17" i="8"/>
  <c r="S25" i="8"/>
  <c r="S33" i="8"/>
  <c r="S31" i="8"/>
  <c r="S24" i="8"/>
  <c r="S10" i="8"/>
  <c r="S18" i="8"/>
  <c r="S26" i="8"/>
  <c r="S34" i="8"/>
  <c r="S4" i="8"/>
  <c r="S11" i="8"/>
  <c r="S19" i="8"/>
  <c r="S27" i="8"/>
  <c r="S35" i="8"/>
  <c r="S12" i="8"/>
  <c r="S20" i="8"/>
  <c r="S28" i="8"/>
  <c r="S36" i="8"/>
  <c r="S23" i="8"/>
  <c r="S16" i="8"/>
  <c r="P11" i="3"/>
  <c r="P8" i="3"/>
  <c r="P18" i="3" a="1"/>
  <c r="P18" i="3" s="1"/>
  <c r="P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56049D-3E8E-4314-BC42-FE66C705FD39}"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EA6DD414-911F-4B55-B735-497319E8FD66}"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9F5AC720-D0CE-44C8-A369-2F9C0B1B0253}" keepAlive="1" name="Query - staff_data" description="Connection to the 'staff_data' query in the workbook." type="5" refreshedVersion="8" background="1" saveData="1">
    <dbPr connection="Provider=Microsoft.Mashup.OleDb.1;Data Source=$Workbook$;Location=staff_data;Extended Properties=&quot;&quot;" command="SELECT * FROM [staff_data]"/>
  </connection>
  <connection id="4" xr16:uid="{EA08957F-C37F-471F-B70D-9735CBEE37A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36FE1A16-4FBA-4301-8BEB-F3C7A27EF321}" name="WorksheetConnection_Employee_data_analytics.xlsx!staff_data" type="102" refreshedVersion="8" minRefreshableVersion="5">
    <extLst>
      <ext xmlns:x15="http://schemas.microsoft.com/office/spreadsheetml/2010/11/main" uri="{DE250136-89BD-433C-8126-D09CA5730AF9}">
        <x15:connection id="staff_data" autoDelete="1">
          <x15:rangePr sourceName="_xlcn.WorksheetConnection_Employee_data_analytics.xlsxstaff_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_data].[Country].&amp;[IND]}"/>
    <s v="{[staff_data].[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<sst xmlns="http://schemas.openxmlformats.org/spreadsheetml/2006/main" count="2259" uniqueCount="256">
  <si>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</si>
  <si>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</si>
  <si>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</si>
  <si>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</si>
  <si>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</si>
  <si>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</si>
  <si>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</si>
  <si>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</si>
  <si>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</si>
  <si>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</si>
  <si>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</si>
  <si>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</si>
  <si>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</si>
  <si>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</si>
  <si>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</si>
  <si>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</si>
  <si>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</si>
  <si>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</si>
  <si>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</si>
  <si>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</si>
  <si>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</si>
  <si>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</si>
  <si>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</si>
  <si>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</si>
  <si>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</si>
  <si>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</si>
  <si>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</si>
  <si>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</si>
  <si>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</si>
  <si>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</si>
  <si>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</si>
  <si>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</si>
  <si>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</si>
  <si>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</si>
  <si>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</si>
  <si>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</si>
  <si>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</si>
  <si>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</si>
  <si>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</si>
  <si>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</si>
  <si>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</si>
  <si>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</si>
  <si>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</si>
  <si>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</si>
  <si>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</si>
  <si>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</si>
  <si>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</si>
  <si>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</si>
  <si>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</si>
  <si>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</si>
  <si>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</si>
  <si>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</si>
  <si>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</si>
  <si>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</si>
  <si>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</si>
  <si>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</si>
  <si>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</si>
  <si>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</si>
  <si>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</si>
  <si>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</si>
  <si>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</si>
  <si>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</si>
  <si>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</si>
  <si>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</si>
  <si>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</si>
  <si>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</si>
  <si>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</si>
  <si>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</si>
  <si>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</si>
  <si>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</si>
  <si>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</si>
  <si>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</si>
  <si>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</si>
  <si>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</si>
  <si>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</si>
  <si>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</si>
  <si>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</si>
  <si>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</si>
  <si>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</si>
  <si>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</si>
  <si>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</si>
  <si>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</si>
  <si>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</si>
  <si>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</si>
  <si>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</si>
  <si>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</si>
  <si>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</si>
  <si>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</si>
  <si>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</si>
  <si>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</si>
  <si>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</si>
  <si>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</si>
  <si>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</si>
  <si>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</si>
  <si>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</si>
  <si>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</si>
  <si>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</si>
  <si>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</si>
  <si>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</si>
  <si>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</si>
  <si>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</si>
  <si>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</si>
  <si>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</si>
  <si>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</si>
  <si>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</si>
  <si>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</si>
  <si>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</si>
  <si>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</si>
  <si>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</si>
  <si>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</si>
  <si>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</si>
  <si>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</si>
  <si>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</si>
  <si>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</si>
  <si>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</si>
  <si>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</si>
  <si>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</si>
  <si>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</si>
  <si>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</si>
  <si>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</si>
  <si>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</si>
  <si>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</si>
  <si>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</si>
  <si>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</si>
  <si>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</si>
  <si>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</si>
  <si>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</si>
  <si>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</si>
  <si>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</si>
  <si>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</si>
  <si>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</si>
  <si>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</si>
  <si>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</si>
  <si>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</si>
  <si>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</si>
  <si>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</si>
  <si>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</si>
  <si>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</si>
  <si>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</si>
  <si>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</si>
  <si>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</si>
  <si>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</si>
  <si>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</si>
  <si>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</si>
  <si>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</si>
  <si>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</si>
  <si>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</si>
  <si>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</si>
  <si>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</si>
  <si>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</si>
  <si>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</si>
  <si>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</si>
  <si>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</si>
  <si>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</si>
  <si>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</si>
  <si>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</si>
  <si>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</si>
  <si>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</si>
  <si>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</si>
  <si>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</si>
  <si>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</si>
  <si>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</si>
  <si>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</si>
  <si>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</si>
  <si>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</si>
  <si>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</si>
  <si>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</si>
  <si>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</si>
  <si>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</si>
  <si>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</si>
  <si>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</si>
  <si>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</si>
  <si>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</si>
  <si>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</si>
  <si>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</si>
  <si>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</si>
  <si>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</si>
  <si>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</si>
  <si>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</si>
  <si>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</si>
  <si>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</si>
  <si>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</si>
  <si>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</si>
  <si>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</si>
  <si>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</si>
  <si>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</si>
  <si>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</si>
  <si>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</si>
  <si>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</si>
  <si>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</si>
  <si>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</si>
  <si>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</si>
  <si>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</si>
  <si>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</si>
  <si>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</si>
  <si>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</si>
  <si>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</si>
  <si>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</si>
  <si>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</si>
  <si>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</si>
  <si>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</si>
  <si>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</si>
  <si>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</si>
  <si>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</si>
  <si>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</si>
  <si>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</si>
  <si>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</si>
  <si>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employess</t>
  </si>
  <si>
    <t>Average Salary</t>
  </si>
  <si>
    <t>Average Age</t>
  </si>
  <si>
    <t>Average Tenure</t>
  </si>
  <si>
    <t>Female ratio%</t>
  </si>
  <si>
    <t>Tenure</t>
  </si>
  <si>
    <t>Female count</t>
  </si>
  <si>
    <t>Ratio of &gt; $90,000</t>
  </si>
  <si>
    <t>Salary &gt; $90,000</t>
  </si>
  <si>
    <t>Basic Stats and Info</t>
  </si>
  <si>
    <t>Employee details with XLOOKUP</t>
  </si>
  <si>
    <t>Department name</t>
  </si>
  <si>
    <t>No of People</t>
  </si>
  <si>
    <t>sales</t>
  </si>
  <si>
    <t>Male vs Female</t>
  </si>
  <si>
    <t>Column Labels</t>
  </si>
  <si>
    <t>Count of Name</t>
  </si>
  <si>
    <t>Average of Age</t>
  </si>
  <si>
    <t>Values</t>
  </si>
  <si>
    <t>Average of Salary</t>
  </si>
  <si>
    <t>Average of Tenure</t>
  </si>
  <si>
    <t>Bonus</t>
  </si>
  <si>
    <t>Row Labels</t>
  </si>
  <si>
    <t>Grand Total</t>
  </si>
  <si>
    <t>Rating as num</t>
  </si>
  <si>
    <t>2020</t>
  </si>
  <si>
    <t>May</t>
  </si>
  <si>
    <t>Jun</t>
  </si>
  <si>
    <t>Jul</t>
  </si>
  <si>
    <t>Aug</t>
  </si>
  <si>
    <t>Sep</t>
  </si>
  <si>
    <t>Oct</t>
  </si>
  <si>
    <t>Nov</t>
  </si>
  <si>
    <t>Dec</t>
  </si>
  <si>
    <t>2021</t>
  </si>
  <si>
    <t>Jan</t>
  </si>
  <si>
    <t>Feb</t>
  </si>
  <si>
    <t>Mar</t>
  </si>
  <si>
    <t>Apr</t>
  </si>
  <si>
    <t>2022</t>
  </si>
  <si>
    <t>2023</t>
  </si>
  <si>
    <t>Month</t>
  </si>
  <si>
    <t>Head Count</t>
  </si>
  <si>
    <t>Running Total</t>
  </si>
  <si>
    <t>Headcount by Department</t>
  </si>
  <si>
    <t>New Zealand</t>
  </si>
  <si>
    <t>India</t>
  </si>
  <si>
    <t>Employee Data Analytics</t>
  </si>
  <si>
    <t>Info Finder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</si>
</sst>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409]d\-mmm\-yy;@"/>
    <numFmt numFmtId="165" formatCode="&quot;$&quot;#,##0.00"/>
    <numFmt numFmtId="166" formatCode="0.0"/>
    <numFmt numFmtId="167" formatCode="&quot;$&quot;#,##0"/>
    <numFmt numFmtId="168" formatCode="[$-409]mmmm\-yy;@"/>
  </numFmts>
  <fonts count="9" x14ac:knownFonts="1">
    <font>
      <sz val="11"/>
      <color theme="1"/>
      <name val="Calibri"/>
      <family val="2"/>
      <scheme val="minor"/>
    </font>
    <font>
      <sz val="28"/>
      <color theme="1"/>
      <name val="Segoe UI Light"/>
      <family val="2"/>
    </font>
    <font>
      <sz val="11"/>
      <color theme="1"/>
      <name val="Calibri"/>
      <family val="2"/>
      <scheme val="minor"/>
    </font>
    <font>
      <sz val="11"/>
      <color rgb="FFFF0000"/>
      <name val="Calibri"/>
      <family val="2"/>
      <scheme val="minor"/>
    </font>
    <font>
      <b/>
      <sz val="14"/>
      <color theme="1"/>
      <name val="Calibri"/>
      <family val="2"/>
      <scheme val="minor"/>
    </font>
    <font>
      <sz val="18"/>
      <color theme="1"/>
      <name val="Calibri"/>
      <family val="2"/>
      <scheme val="minor"/>
    </font>
    <font>
      <b/>
      <sz val="28"/>
      <color theme="1" tint="0.34998626667073579"/>
      <name val="Calibri"/>
      <family val="2"/>
      <scheme val="minor"/>
    </font>
    <font>
      <b/>
      <sz val="22"/>
      <color theme="1" tint="0.34998626667073579"/>
      <name val="Calibri"/>
      <family val="2"/>
      <scheme val="minor"/>
    </font>
    <font>
      <sz val="20"/>
      <color theme="1"/>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rgb="FFFFC000"/>
        <bgColor indexed="64"/>
      </patternFill>
    </fill>
    <fill>
      <patternFill patternType="solid">
        <fgColor theme="9" tint="0.79998168889431442"/>
        <bgColor theme="9" tint="0.79998168889431442"/>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9933"/>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54">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44" fontId="0" fillId="0" borderId="0" xfId="1" applyFont="1"/>
    <xf numFmtId="14" fontId="0" fillId="0" borderId="0" xfId="0" applyNumberFormat="1"/>
    <xf numFmtId="164" fontId="0" fillId="0" borderId="0" xfId="0" applyNumberFormat="1"/>
    <xf numFmtId="2" fontId="0" fillId="0" borderId="0" xfId="0" applyNumberFormat="1"/>
    <xf numFmtId="10" fontId="0" fillId="0" borderId="0" xfId="2" applyNumberFormat="1" applyFont="1"/>
    <xf numFmtId="0" fontId="3" fillId="4" borderId="0" xfId="0" applyFont="1" applyFill="1"/>
    <xf numFmtId="0" fontId="4" fillId="5" borderId="0" xfId="0" applyFont="1" applyFill="1" applyAlignment="1">
      <alignment horizontal="center"/>
    </xf>
    <xf numFmtId="0" fontId="0" fillId="4" borderId="0" xfId="0" applyFill="1"/>
    <xf numFmtId="0" fontId="0" fillId="0" borderId="1" xfId="0" applyBorder="1"/>
    <xf numFmtId="0" fontId="0" fillId="0" borderId="1" xfId="0" applyBorder="1" applyAlignment="1">
      <alignment horizontal="left"/>
    </xf>
    <xf numFmtId="165" fontId="0" fillId="0" borderId="1" xfId="1" applyNumberFormat="1" applyFont="1" applyBorder="1" applyAlignment="1">
      <alignment horizontal="left"/>
    </xf>
    <xf numFmtId="14" fontId="0" fillId="0" borderId="2" xfId="0" applyNumberFormat="1" applyBorder="1" applyAlignment="1">
      <alignment horizontal="left"/>
    </xf>
    <xf numFmtId="0" fontId="0" fillId="6" borderId="3" xfId="0" applyFill="1" applyBorder="1"/>
    <xf numFmtId="0" fontId="0" fillId="6" borderId="4" xfId="0" applyFill="1" applyBorder="1"/>
    <xf numFmtId="0" fontId="0" fillId="0" borderId="3" xfId="0" applyBorder="1"/>
    <xf numFmtId="0" fontId="0" fillId="0" borderId="4" xfId="0" applyBorder="1"/>
    <xf numFmtId="0" fontId="0" fillId="6" borderId="5" xfId="0" applyFill="1" applyBorder="1"/>
    <xf numFmtId="0" fontId="0" fillId="6" borderId="6" xfId="0" applyFill="1"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 fontId="0" fillId="0" borderId="0" xfId="0" applyNumberFormat="1"/>
    <xf numFmtId="167" fontId="0" fillId="0" borderId="0" xfId="1" applyNumberFormat="1" applyFont="1"/>
    <xf numFmtId="0" fontId="0" fillId="0" borderId="0" xfId="1" applyNumberFormat="1" applyFont="1"/>
    <xf numFmtId="165" fontId="0" fillId="0" borderId="0" xfId="0" applyNumberFormat="1"/>
    <xf numFmtId="0" fontId="0" fillId="0" borderId="0" xfId="0" applyAlignment="1">
      <alignment horizontal="left" indent="1"/>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6" fillId="8" borderId="0" xfId="0" applyFont="1" applyFill="1" applyAlignment="1">
      <alignment horizontal="center" vertical="center"/>
    </xf>
    <xf numFmtId="9" fontId="6" fillId="8" borderId="0" xfId="2" applyFont="1" applyFill="1" applyAlignment="1">
      <alignment horizontal="center" vertical="center"/>
    </xf>
    <xf numFmtId="167" fontId="7" fillId="8" borderId="0" xfId="0" applyNumberFormat="1" applyFont="1" applyFill="1" applyAlignment="1">
      <alignment horizontal="center" vertical="center"/>
    </xf>
    <xf numFmtId="0" fontId="6" fillId="9" borderId="0" xfId="0" applyFont="1" applyFill="1" applyAlignment="1">
      <alignment horizontal="center" vertical="center"/>
    </xf>
    <xf numFmtId="9" fontId="6" fillId="9" borderId="0" xfId="2" applyFont="1" applyFill="1" applyAlignment="1">
      <alignment horizontal="center" vertical="center"/>
    </xf>
    <xf numFmtId="167" fontId="7" fillId="9" borderId="0" xfId="0" applyNumberFormat="1" applyFont="1" applyFill="1" applyAlignment="1">
      <alignment horizontal="center" vertical="center"/>
    </xf>
    <xf numFmtId="0" fontId="5" fillId="7" borderId="0" xfId="0" applyFont="1" applyFill="1" applyAlignment="1">
      <alignment horizontal="center" vertical="center"/>
    </xf>
    <xf numFmtId="0" fontId="8" fillId="7" borderId="0" xfId="0" applyFont="1" applyFill="1" applyAlignment="1">
      <alignment horizontal="center" vertical="center"/>
    </xf>
    <xf numFmtId="0" fontId="4" fillId="0" borderId="0" xfId="0" applyFont="1"/>
    <xf numFmtId="44" fontId="0" fillId="0" borderId="1" xfId="1" applyFont="1" applyBorder="1"/>
    <xf numFmtId="10" fontId="0" fillId="0" borderId="1" xfId="2" applyNumberFormat="1" applyFont="1" applyBorder="1"/>
    <xf numFmtId="0" fontId="0" fillId="0" borderId="0" xfId="0" applyBorder="1"/>
    <xf numFmtId="168" fontId="0" fillId="0" borderId="8" xfId="0" applyNumberFormat="1" applyBorder="1"/>
    <xf numFmtId="168" fontId="0" fillId="0" borderId="9" xfId="0" applyNumberFormat="1" applyBorder="1"/>
  </cellXfs>
  <cellStyles count="3">
    <cellStyle name="Currency" xfId="1" builtinId="4"/>
    <cellStyle name="Normal" xfId="0" builtinId="0"/>
    <cellStyle name="Percent" xfId="2" builtinId="5"/>
  </cellStyles>
  <dxfs count="21">
    <dxf>
      <font>
        <color rgb="FF006100"/>
      </font>
      <fill>
        <patternFill>
          <bgColor rgb="FFC6EFCE"/>
        </patternFill>
      </fill>
    </dxf>
    <dxf>
      <font>
        <color rgb="FF9C0006"/>
      </font>
      <fill>
        <patternFill>
          <bgColor rgb="FFFFC7CE"/>
        </patternFill>
      </fill>
    </dxf>
    <dxf>
      <numFmt numFmtId="166" formatCode="0.0"/>
    </dxf>
    <dxf>
      <numFmt numFmtId="166" formatCode="0.0"/>
    </dxf>
    <dxf>
      <numFmt numFmtId="166" formatCode="0.0"/>
    </dxf>
    <dxf>
      <numFmt numFmtId="167" formatCode="&quot;$&quot;#,##0"/>
    </dxf>
    <dxf>
      <numFmt numFmtId="166" formatCode="0.0"/>
    </dxf>
    <dxf>
      <numFmt numFmtId="169" formatCode="0.000"/>
    </dxf>
    <dxf>
      <numFmt numFmtId="169" formatCode="0.000"/>
    </dxf>
    <dxf>
      <numFmt numFmtId="169" formatCode="0.000"/>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tint="0.39997558519241921"/>
        </left>
        <right/>
        <top style="thin">
          <color theme="9" tint="0.39997558519241921"/>
        </top>
        <bottom style="thin">
          <color theme="9" tint="0.39997558519241921"/>
        </bottom>
        <vertical/>
        <horizontal/>
      </border>
    </dxf>
    <dxf>
      <border outline="0">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Calibri"/>
        <family val="2"/>
        <scheme val="minor"/>
      </font>
      <numFmt numFmtId="0" formatCode="General"/>
    </dxf>
    <dxf>
      <numFmt numFmtId="167" formatCode="&quot;$&quot;#,##0"/>
    </dxf>
    <dxf>
      <numFmt numFmtId="2" formatCode="0.00"/>
    </dxf>
    <dxf>
      <numFmt numFmtId="165" formatCode="&quot;$&quot;#,##0.00"/>
    </dxf>
    <dxf>
      <numFmt numFmtId="19" formatCode="m/d/yyyy"/>
    </dxf>
    <dxf>
      <numFmt numFmtId="20" formatCode="d\-mmm\-yy"/>
    </dxf>
  </dxfs>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Salary vs Rating</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all_staff!$G$2:$G$184</c:f>
              <c:numCache>
                <c:formatCode>"$"#,##0.00</c:formatCode>
                <c:ptCount val="183"/>
                <c:pt idx="0">
                  <c:v>112650</c:v>
                </c:pt>
                <c:pt idx="1">
                  <c:v>43840</c:v>
                </c:pt>
                <c:pt idx="2">
                  <c:v>103550</c:v>
                </c:pt>
                <c:pt idx="3">
                  <c:v>45510</c:v>
                </c:pt>
                <c:pt idx="4">
                  <c:v>119110</c:v>
                </c:pt>
                <c:pt idx="5">
                  <c:v>56870</c:v>
                </c:pt>
                <c:pt idx="6">
                  <c:v>92700</c:v>
                </c:pt>
                <c:pt idx="7">
                  <c:v>91310</c:v>
                </c:pt>
                <c:pt idx="8">
                  <c:v>74550</c:v>
                </c:pt>
                <c:pt idx="9">
                  <c:v>109190</c:v>
                </c:pt>
                <c:pt idx="10">
                  <c:v>104410</c:v>
                </c:pt>
                <c:pt idx="11">
                  <c:v>96800</c:v>
                </c:pt>
                <c:pt idx="12">
                  <c:v>48170</c:v>
                </c:pt>
                <c:pt idx="13">
                  <c:v>37920</c:v>
                </c:pt>
                <c:pt idx="14">
                  <c:v>112650</c:v>
                </c:pt>
                <c:pt idx="15">
                  <c:v>49630</c:v>
                </c:pt>
                <c:pt idx="16">
                  <c:v>119110</c:v>
                </c:pt>
                <c:pt idx="17">
                  <c:v>69710</c:v>
                </c:pt>
                <c:pt idx="18">
                  <c:v>79570</c:v>
                </c:pt>
                <c:pt idx="19">
                  <c:v>76900</c:v>
                </c:pt>
                <c:pt idx="20">
                  <c:v>54970</c:v>
                </c:pt>
                <c:pt idx="21">
                  <c:v>88050</c:v>
                </c:pt>
                <c:pt idx="22">
                  <c:v>36040</c:v>
                </c:pt>
                <c:pt idx="23">
                  <c:v>75000</c:v>
                </c:pt>
                <c:pt idx="24">
                  <c:v>40400</c:v>
                </c:pt>
                <c:pt idx="25">
                  <c:v>100420</c:v>
                </c:pt>
                <c:pt idx="26">
                  <c:v>58100</c:v>
                </c:pt>
                <c:pt idx="27">
                  <c:v>114870</c:v>
                </c:pt>
                <c:pt idx="28">
                  <c:v>41570</c:v>
                </c:pt>
                <c:pt idx="29">
                  <c:v>112570</c:v>
                </c:pt>
                <c:pt idx="30">
                  <c:v>47360</c:v>
                </c:pt>
                <c:pt idx="31">
                  <c:v>65920</c:v>
                </c:pt>
                <c:pt idx="32">
                  <c:v>99970</c:v>
                </c:pt>
                <c:pt idx="33">
                  <c:v>80700</c:v>
                </c:pt>
                <c:pt idx="34">
                  <c:v>52610</c:v>
                </c:pt>
                <c:pt idx="35">
                  <c:v>112110</c:v>
                </c:pt>
                <c:pt idx="36">
                  <c:v>118840</c:v>
                </c:pt>
                <c:pt idx="37">
                  <c:v>112780</c:v>
                </c:pt>
                <c:pt idx="38">
                  <c:v>118840</c:v>
                </c:pt>
                <c:pt idx="39">
                  <c:v>48980</c:v>
                </c:pt>
                <c:pt idx="40">
                  <c:v>75880</c:v>
                </c:pt>
                <c:pt idx="41">
                  <c:v>53240</c:v>
                </c:pt>
                <c:pt idx="42">
                  <c:v>85000</c:v>
                </c:pt>
                <c:pt idx="43">
                  <c:v>33920</c:v>
                </c:pt>
                <c:pt idx="44">
                  <c:v>75280</c:v>
                </c:pt>
                <c:pt idx="45">
                  <c:v>58940</c:v>
                </c:pt>
                <c:pt idx="46">
                  <c:v>104770</c:v>
                </c:pt>
                <c:pt idx="47">
                  <c:v>57090</c:v>
                </c:pt>
                <c:pt idx="48">
                  <c:v>91650</c:v>
                </c:pt>
                <c:pt idx="49">
                  <c:v>70270</c:v>
                </c:pt>
                <c:pt idx="50">
                  <c:v>75970</c:v>
                </c:pt>
                <c:pt idx="51">
                  <c:v>90700</c:v>
                </c:pt>
                <c:pt idx="52">
                  <c:v>60570</c:v>
                </c:pt>
                <c:pt idx="53">
                  <c:v>115920</c:v>
                </c:pt>
                <c:pt idx="54">
                  <c:v>65360</c:v>
                </c:pt>
                <c:pt idx="55">
                  <c:v>64000</c:v>
                </c:pt>
                <c:pt idx="56">
                  <c:v>92450</c:v>
                </c:pt>
                <c:pt idx="57">
                  <c:v>48950</c:v>
                </c:pt>
                <c:pt idx="58">
                  <c:v>83750</c:v>
                </c:pt>
                <c:pt idx="59">
                  <c:v>87620</c:v>
                </c:pt>
                <c:pt idx="60">
                  <c:v>68900</c:v>
                </c:pt>
                <c:pt idx="61">
                  <c:v>53540</c:v>
                </c:pt>
                <c:pt idx="62">
                  <c:v>43510</c:v>
                </c:pt>
                <c:pt idx="63">
                  <c:v>109160</c:v>
                </c:pt>
                <c:pt idx="64">
                  <c:v>99750</c:v>
                </c:pt>
                <c:pt idx="65">
                  <c:v>41980</c:v>
                </c:pt>
                <c:pt idx="66">
                  <c:v>71380</c:v>
                </c:pt>
                <c:pt idx="67">
                  <c:v>113280</c:v>
                </c:pt>
                <c:pt idx="68">
                  <c:v>86570</c:v>
                </c:pt>
                <c:pt idx="69">
                  <c:v>53540</c:v>
                </c:pt>
                <c:pt idx="70">
                  <c:v>69070</c:v>
                </c:pt>
                <c:pt idx="71">
                  <c:v>67910</c:v>
                </c:pt>
                <c:pt idx="72">
                  <c:v>69120</c:v>
                </c:pt>
                <c:pt idx="73">
                  <c:v>60130</c:v>
                </c:pt>
                <c:pt idx="74">
                  <c:v>106460</c:v>
                </c:pt>
                <c:pt idx="75">
                  <c:v>118100</c:v>
                </c:pt>
                <c:pt idx="76">
                  <c:v>78390</c:v>
                </c:pt>
                <c:pt idx="77">
                  <c:v>114180</c:v>
                </c:pt>
                <c:pt idx="78">
                  <c:v>104120</c:v>
                </c:pt>
                <c:pt idx="79">
                  <c:v>67950</c:v>
                </c:pt>
                <c:pt idx="80">
                  <c:v>34980</c:v>
                </c:pt>
                <c:pt idx="81">
                  <c:v>62780</c:v>
                </c:pt>
                <c:pt idx="82">
                  <c:v>107700</c:v>
                </c:pt>
                <c:pt idx="83">
                  <c:v>65700</c:v>
                </c:pt>
                <c:pt idx="84">
                  <c:v>75480</c:v>
                </c:pt>
                <c:pt idx="85">
                  <c:v>53870</c:v>
                </c:pt>
                <c:pt idx="86">
                  <c:v>78540</c:v>
                </c:pt>
                <c:pt idx="87">
                  <c:v>58960</c:v>
                </c:pt>
                <c:pt idx="88">
                  <c:v>70610</c:v>
                </c:pt>
                <c:pt idx="89">
                  <c:v>59430</c:v>
                </c:pt>
                <c:pt idx="90">
                  <c:v>48530</c:v>
                </c:pt>
                <c:pt idx="91">
                  <c:v>96140</c:v>
                </c:pt>
                <c:pt idx="92">
                  <c:v>112780</c:v>
                </c:pt>
                <c:pt idx="93">
                  <c:v>70610</c:v>
                </c:pt>
                <c:pt idx="94">
                  <c:v>53240</c:v>
                </c:pt>
                <c:pt idx="95">
                  <c:v>115920</c:v>
                </c:pt>
                <c:pt idx="96">
                  <c:v>53540</c:v>
                </c:pt>
                <c:pt idx="97">
                  <c:v>112570</c:v>
                </c:pt>
                <c:pt idx="98">
                  <c:v>48530</c:v>
                </c:pt>
                <c:pt idx="99">
                  <c:v>62780</c:v>
                </c:pt>
                <c:pt idx="100">
                  <c:v>53870</c:v>
                </c:pt>
                <c:pt idx="101">
                  <c:v>115440</c:v>
                </c:pt>
                <c:pt idx="102">
                  <c:v>112110</c:v>
                </c:pt>
                <c:pt idx="103">
                  <c:v>65700</c:v>
                </c:pt>
                <c:pt idx="104">
                  <c:v>69070</c:v>
                </c:pt>
                <c:pt idx="105">
                  <c:v>107700</c:v>
                </c:pt>
                <c:pt idx="106">
                  <c:v>43840</c:v>
                </c:pt>
                <c:pt idx="107">
                  <c:v>99750</c:v>
                </c:pt>
                <c:pt idx="108">
                  <c:v>37920</c:v>
                </c:pt>
                <c:pt idx="109">
                  <c:v>57090</c:v>
                </c:pt>
                <c:pt idx="110">
                  <c:v>41980</c:v>
                </c:pt>
                <c:pt idx="111">
                  <c:v>75880</c:v>
                </c:pt>
                <c:pt idx="112">
                  <c:v>58940</c:v>
                </c:pt>
                <c:pt idx="113">
                  <c:v>67910</c:v>
                </c:pt>
                <c:pt idx="114">
                  <c:v>58100</c:v>
                </c:pt>
                <c:pt idx="115">
                  <c:v>48980</c:v>
                </c:pt>
                <c:pt idx="116">
                  <c:v>64000</c:v>
                </c:pt>
                <c:pt idx="117">
                  <c:v>75000</c:v>
                </c:pt>
                <c:pt idx="118">
                  <c:v>87620</c:v>
                </c:pt>
                <c:pt idx="119">
                  <c:v>34980</c:v>
                </c:pt>
                <c:pt idx="120">
                  <c:v>75970</c:v>
                </c:pt>
                <c:pt idx="121">
                  <c:v>60130</c:v>
                </c:pt>
                <c:pt idx="122">
                  <c:v>75480</c:v>
                </c:pt>
                <c:pt idx="123">
                  <c:v>115440</c:v>
                </c:pt>
                <c:pt idx="124">
                  <c:v>78540</c:v>
                </c:pt>
                <c:pt idx="125">
                  <c:v>109190</c:v>
                </c:pt>
                <c:pt idx="126">
                  <c:v>49630</c:v>
                </c:pt>
                <c:pt idx="127">
                  <c:v>99970</c:v>
                </c:pt>
                <c:pt idx="128">
                  <c:v>96140</c:v>
                </c:pt>
                <c:pt idx="129">
                  <c:v>103550</c:v>
                </c:pt>
                <c:pt idx="130">
                  <c:v>48950</c:v>
                </c:pt>
                <c:pt idx="131">
                  <c:v>52610</c:v>
                </c:pt>
                <c:pt idx="132">
                  <c:v>78390</c:v>
                </c:pt>
                <c:pt idx="133">
                  <c:v>86570</c:v>
                </c:pt>
                <c:pt idx="134">
                  <c:v>83750</c:v>
                </c:pt>
                <c:pt idx="135">
                  <c:v>92450</c:v>
                </c:pt>
                <c:pt idx="136">
                  <c:v>112650</c:v>
                </c:pt>
                <c:pt idx="137">
                  <c:v>79570</c:v>
                </c:pt>
                <c:pt idx="138">
                  <c:v>68900</c:v>
                </c:pt>
                <c:pt idx="139">
                  <c:v>80700</c:v>
                </c:pt>
                <c:pt idx="140">
                  <c:v>58960</c:v>
                </c:pt>
                <c:pt idx="141">
                  <c:v>114890</c:v>
                </c:pt>
                <c:pt idx="142">
                  <c:v>48170</c:v>
                </c:pt>
                <c:pt idx="143">
                  <c:v>45510</c:v>
                </c:pt>
                <c:pt idx="144">
                  <c:v>114890</c:v>
                </c:pt>
                <c:pt idx="145">
                  <c:v>69710</c:v>
                </c:pt>
                <c:pt idx="146">
                  <c:v>71380</c:v>
                </c:pt>
                <c:pt idx="147">
                  <c:v>109160</c:v>
                </c:pt>
                <c:pt idx="148">
                  <c:v>113280</c:v>
                </c:pt>
                <c:pt idx="149">
                  <c:v>69120</c:v>
                </c:pt>
                <c:pt idx="150">
                  <c:v>118100</c:v>
                </c:pt>
                <c:pt idx="151">
                  <c:v>76900</c:v>
                </c:pt>
                <c:pt idx="152">
                  <c:v>114870</c:v>
                </c:pt>
                <c:pt idx="153">
                  <c:v>91310</c:v>
                </c:pt>
                <c:pt idx="154">
                  <c:v>104770</c:v>
                </c:pt>
                <c:pt idx="155">
                  <c:v>54970</c:v>
                </c:pt>
                <c:pt idx="156">
                  <c:v>90700</c:v>
                </c:pt>
                <c:pt idx="157">
                  <c:v>56870</c:v>
                </c:pt>
                <c:pt idx="158">
                  <c:v>92700</c:v>
                </c:pt>
                <c:pt idx="159">
                  <c:v>65920</c:v>
                </c:pt>
                <c:pt idx="160">
                  <c:v>47360</c:v>
                </c:pt>
                <c:pt idx="161">
                  <c:v>60570</c:v>
                </c:pt>
                <c:pt idx="162">
                  <c:v>104120</c:v>
                </c:pt>
                <c:pt idx="163">
                  <c:v>88050</c:v>
                </c:pt>
                <c:pt idx="164">
                  <c:v>100420</c:v>
                </c:pt>
                <c:pt idx="165">
                  <c:v>114180</c:v>
                </c:pt>
                <c:pt idx="166">
                  <c:v>33920</c:v>
                </c:pt>
                <c:pt idx="167">
                  <c:v>106460</c:v>
                </c:pt>
                <c:pt idx="168">
                  <c:v>40400</c:v>
                </c:pt>
                <c:pt idx="169">
                  <c:v>91650</c:v>
                </c:pt>
                <c:pt idx="170">
                  <c:v>36040</c:v>
                </c:pt>
                <c:pt idx="171">
                  <c:v>104410</c:v>
                </c:pt>
                <c:pt idx="172">
                  <c:v>96800</c:v>
                </c:pt>
                <c:pt idx="173">
                  <c:v>85000</c:v>
                </c:pt>
                <c:pt idx="174">
                  <c:v>43510</c:v>
                </c:pt>
                <c:pt idx="175">
                  <c:v>59430</c:v>
                </c:pt>
                <c:pt idx="176">
                  <c:v>65360</c:v>
                </c:pt>
                <c:pt idx="177">
                  <c:v>41570</c:v>
                </c:pt>
                <c:pt idx="178">
                  <c:v>75280</c:v>
                </c:pt>
                <c:pt idx="179">
                  <c:v>74550</c:v>
                </c:pt>
                <c:pt idx="180">
                  <c:v>67950</c:v>
                </c:pt>
                <c:pt idx="181">
                  <c:v>70270</c:v>
                </c:pt>
                <c:pt idx="182">
                  <c:v>53540</c:v>
                </c:pt>
              </c:numCache>
            </c:numRef>
          </c:xVal>
          <c:yVal>
            <c:numRef>
              <c:f>all_staff!$K$2:$K$184</c:f>
              <c:numCache>
                <c:formatCode>General</c:formatCode>
                <c:ptCount val="183"/>
                <c:pt idx="0">
                  <c:v>3</c:v>
                </c:pt>
                <c:pt idx="1">
                  <c:v>4</c:v>
                </c:pt>
                <c:pt idx="2">
                  <c:v>3</c:v>
                </c:pt>
                <c:pt idx="3">
                  <c:v>3</c:v>
                </c:pt>
                <c:pt idx="4">
                  <c:v>3</c:v>
                </c:pt>
                <c:pt idx="5">
                  <c:v>4</c:v>
                </c:pt>
                <c:pt idx="6">
                  <c:v>3</c:v>
                </c:pt>
                <c:pt idx="7">
                  <c:v>3</c:v>
                </c:pt>
                <c:pt idx="8">
                  <c:v>3</c:v>
                </c:pt>
                <c:pt idx="9">
                  <c:v>4</c:v>
                </c:pt>
                <c:pt idx="10">
                  <c:v>3</c:v>
                </c:pt>
                <c:pt idx="11">
                  <c:v>3</c:v>
                </c:pt>
                <c:pt idx="12">
                  <c:v>4</c:v>
                </c:pt>
                <c:pt idx="13">
                  <c:v>3</c:v>
                </c:pt>
                <c:pt idx="14">
                  <c:v>3</c:v>
                </c:pt>
                <c:pt idx="15">
                  <c:v>2</c:v>
                </c:pt>
                <c:pt idx="16">
                  <c:v>3</c:v>
                </c:pt>
                <c:pt idx="17">
                  <c:v>3</c:v>
                </c:pt>
                <c:pt idx="18">
                  <c:v>3</c:v>
                </c:pt>
                <c:pt idx="19">
                  <c:v>4</c:v>
                </c:pt>
                <c:pt idx="20">
                  <c:v>3</c:v>
                </c:pt>
                <c:pt idx="21">
                  <c:v>2</c:v>
                </c:pt>
                <c:pt idx="22">
                  <c:v>3</c:v>
                </c:pt>
                <c:pt idx="23">
                  <c:v>5</c:v>
                </c:pt>
                <c:pt idx="24">
                  <c:v>3</c:v>
                </c:pt>
                <c:pt idx="25">
                  <c:v>3</c:v>
                </c:pt>
                <c:pt idx="26">
                  <c:v>3</c:v>
                </c:pt>
                <c:pt idx="27">
                  <c:v>3</c:v>
                </c:pt>
                <c:pt idx="28">
                  <c:v>3</c:v>
                </c:pt>
                <c:pt idx="29">
                  <c:v>3</c:v>
                </c:pt>
                <c:pt idx="30">
                  <c:v>3</c:v>
                </c:pt>
                <c:pt idx="31">
                  <c:v>3</c:v>
                </c:pt>
                <c:pt idx="32">
                  <c:v>3</c:v>
                </c:pt>
                <c:pt idx="33">
                  <c:v>4</c:v>
                </c:pt>
                <c:pt idx="34">
                  <c:v>2</c:v>
                </c:pt>
                <c:pt idx="35">
                  <c:v>2</c:v>
                </c:pt>
                <c:pt idx="36">
                  <c:v>3</c:v>
                </c:pt>
                <c:pt idx="37">
                  <c:v>4</c:v>
                </c:pt>
                <c:pt idx="38">
                  <c:v>3</c:v>
                </c:pt>
                <c:pt idx="39">
                  <c:v>3</c:v>
                </c:pt>
                <c:pt idx="40">
                  <c:v>3</c:v>
                </c:pt>
                <c:pt idx="41">
                  <c:v>3</c:v>
                </c:pt>
                <c:pt idx="42">
                  <c:v>3</c:v>
                </c:pt>
                <c:pt idx="43">
                  <c:v>3</c:v>
                </c:pt>
                <c:pt idx="44">
                  <c:v>3</c:v>
                </c:pt>
                <c:pt idx="45">
                  <c:v>3</c:v>
                </c:pt>
                <c:pt idx="46">
                  <c:v>3</c:v>
                </c:pt>
                <c:pt idx="47">
                  <c:v>3</c:v>
                </c:pt>
                <c:pt idx="48">
                  <c:v>4</c:v>
                </c:pt>
                <c:pt idx="49">
                  <c:v>2</c:v>
                </c:pt>
                <c:pt idx="50">
                  <c:v>3</c:v>
                </c:pt>
                <c:pt idx="51">
                  <c:v>4</c:v>
                </c:pt>
                <c:pt idx="52">
                  <c:v>3</c:v>
                </c:pt>
                <c:pt idx="53">
                  <c:v>3</c:v>
                </c:pt>
                <c:pt idx="54">
                  <c:v>3</c:v>
                </c:pt>
                <c:pt idx="55">
                  <c:v>3</c:v>
                </c:pt>
                <c:pt idx="56">
                  <c:v>3</c:v>
                </c:pt>
                <c:pt idx="57">
                  <c:v>3</c:v>
                </c:pt>
                <c:pt idx="58">
                  <c:v>3</c:v>
                </c:pt>
                <c:pt idx="59">
                  <c:v>3</c:v>
                </c:pt>
                <c:pt idx="60">
                  <c:v>2</c:v>
                </c:pt>
                <c:pt idx="61">
                  <c:v>3</c:v>
                </c:pt>
                <c:pt idx="62">
                  <c:v>1</c:v>
                </c:pt>
                <c:pt idx="63">
                  <c:v>5</c:v>
                </c:pt>
                <c:pt idx="64">
                  <c:v>3</c:v>
                </c:pt>
                <c:pt idx="65">
                  <c:v>3</c:v>
                </c:pt>
                <c:pt idx="66">
                  <c:v>3</c:v>
                </c:pt>
                <c:pt idx="67">
                  <c:v>1</c:v>
                </c:pt>
                <c:pt idx="68">
                  <c:v>3</c:v>
                </c:pt>
                <c:pt idx="69">
                  <c:v>3</c:v>
                </c:pt>
                <c:pt idx="70">
                  <c:v>3</c:v>
                </c:pt>
                <c:pt idx="71">
                  <c:v>2</c:v>
                </c:pt>
                <c:pt idx="72">
                  <c:v>3</c:v>
                </c:pt>
                <c:pt idx="73">
                  <c:v>3</c:v>
                </c:pt>
                <c:pt idx="74">
                  <c:v>3</c:v>
                </c:pt>
                <c:pt idx="75">
                  <c:v>3</c:v>
                </c:pt>
                <c:pt idx="76">
                  <c:v>3</c:v>
                </c:pt>
                <c:pt idx="77">
                  <c:v>3</c:v>
                </c:pt>
                <c:pt idx="78">
                  <c:v>3</c:v>
                </c:pt>
                <c:pt idx="79">
                  <c:v>3</c:v>
                </c:pt>
                <c:pt idx="80">
                  <c:v>3</c:v>
                </c:pt>
                <c:pt idx="81">
                  <c:v>3</c:v>
                </c:pt>
                <c:pt idx="82">
                  <c:v>3</c:v>
                </c:pt>
                <c:pt idx="83">
                  <c:v>3</c:v>
                </c:pt>
                <c:pt idx="84">
                  <c:v>1</c:v>
                </c:pt>
                <c:pt idx="85">
                  <c:v>3</c:v>
                </c:pt>
                <c:pt idx="86">
                  <c:v>3</c:v>
                </c:pt>
                <c:pt idx="87">
                  <c:v>3</c:v>
                </c:pt>
                <c:pt idx="88">
                  <c:v>3</c:v>
                </c:pt>
                <c:pt idx="89">
                  <c:v>3</c:v>
                </c:pt>
                <c:pt idx="90">
                  <c:v>4</c:v>
                </c:pt>
                <c:pt idx="91">
                  <c:v>3</c:v>
                </c:pt>
                <c:pt idx="92">
                  <c:v>4</c:v>
                </c:pt>
                <c:pt idx="93">
                  <c:v>3</c:v>
                </c:pt>
                <c:pt idx="94">
                  <c:v>3</c:v>
                </c:pt>
                <c:pt idx="95">
                  <c:v>3</c:v>
                </c:pt>
                <c:pt idx="96">
                  <c:v>3</c:v>
                </c:pt>
                <c:pt idx="97">
                  <c:v>3</c:v>
                </c:pt>
                <c:pt idx="98">
                  <c:v>4</c:v>
                </c:pt>
                <c:pt idx="99">
                  <c:v>3</c:v>
                </c:pt>
                <c:pt idx="100">
                  <c:v>3</c:v>
                </c:pt>
                <c:pt idx="101">
                  <c:v>2</c:v>
                </c:pt>
                <c:pt idx="102">
                  <c:v>2</c:v>
                </c:pt>
                <c:pt idx="103">
                  <c:v>3</c:v>
                </c:pt>
                <c:pt idx="104">
                  <c:v>3</c:v>
                </c:pt>
                <c:pt idx="105">
                  <c:v>3</c:v>
                </c:pt>
                <c:pt idx="106">
                  <c:v>4</c:v>
                </c:pt>
                <c:pt idx="107">
                  <c:v>3</c:v>
                </c:pt>
                <c:pt idx="108">
                  <c:v>3</c:v>
                </c:pt>
                <c:pt idx="109">
                  <c:v>3</c:v>
                </c:pt>
                <c:pt idx="110">
                  <c:v>3</c:v>
                </c:pt>
                <c:pt idx="111">
                  <c:v>3</c:v>
                </c:pt>
                <c:pt idx="112">
                  <c:v>3</c:v>
                </c:pt>
                <c:pt idx="113">
                  <c:v>2</c:v>
                </c:pt>
                <c:pt idx="114">
                  <c:v>3</c:v>
                </c:pt>
                <c:pt idx="115">
                  <c:v>3</c:v>
                </c:pt>
                <c:pt idx="116">
                  <c:v>3</c:v>
                </c:pt>
                <c:pt idx="117">
                  <c:v>5</c:v>
                </c:pt>
                <c:pt idx="118">
                  <c:v>3</c:v>
                </c:pt>
                <c:pt idx="119">
                  <c:v>3</c:v>
                </c:pt>
                <c:pt idx="120">
                  <c:v>3</c:v>
                </c:pt>
                <c:pt idx="121">
                  <c:v>3</c:v>
                </c:pt>
                <c:pt idx="122">
                  <c:v>1</c:v>
                </c:pt>
                <c:pt idx="123">
                  <c:v>2</c:v>
                </c:pt>
                <c:pt idx="124">
                  <c:v>3</c:v>
                </c:pt>
                <c:pt idx="125">
                  <c:v>4</c:v>
                </c:pt>
                <c:pt idx="126">
                  <c:v>2</c:v>
                </c:pt>
                <c:pt idx="127">
                  <c:v>3</c:v>
                </c:pt>
                <c:pt idx="128">
                  <c:v>3</c:v>
                </c:pt>
                <c:pt idx="129">
                  <c:v>3</c:v>
                </c:pt>
                <c:pt idx="130">
                  <c:v>3</c:v>
                </c:pt>
                <c:pt idx="131">
                  <c:v>2</c:v>
                </c:pt>
                <c:pt idx="132">
                  <c:v>3</c:v>
                </c:pt>
                <c:pt idx="133">
                  <c:v>3</c:v>
                </c:pt>
                <c:pt idx="134">
                  <c:v>3</c:v>
                </c:pt>
                <c:pt idx="135">
                  <c:v>3</c:v>
                </c:pt>
                <c:pt idx="136">
                  <c:v>3</c:v>
                </c:pt>
                <c:pt idx="137">
                  <c:v>3</c:v>
                </c:pt>
                <c:pt idx="138">
                  <c:v>2</c:v>
                </c:pt>
                <c:pt idx="139">
                  <c:v>4</c:v>
                </c:pt>
                <c:pt idx="140">
                  <c:v>3</c:v>
                </c:pt>
                <c:pt idx="141">
                  <c:v>3</c:v>
                </c:pt>
                <c:pt idx="142">
                  <c:v>4</c:v>
                </c:pt>
                <c:pt idx="143">
                  <c:v>3</c:v>
                </c:pt>
                <c:pt idx="144">
                  <c:v>3</c:v>
                </c:pt>
                <c:pt idx="145">
                  <c:v>3</c:v>
                </c:pt>
                <c:pt idx="146">
                  <c:v>3</c:v>
                </c:pt>
                <c:pt idx="147">
                  <c:v>5</c:v>
                </c:pt>
                <c:pt idx="148">
                  <c:v>1</c:v>
                </c:pt>
                <c:pt idx="149">
                  <c:v>3</c:v>
                </c:pt>
                <c:pt idx="150">
                  <c:v>3</c:v>
                </c:pt>
                <c:pt idx="151">
                  <c:v>4</c:v>
                </c:pt>
                <c:pt idx="152">
                  <c:v>3</c:v>
                </c:pt>
                <c:pt idx="153">
                  <c:v>3</c:v>
                </c:pt>
                <c:pt idx="154">
                  <c:v>3</c:v>
                </c:pt>
                <c:pt idx="155">
                  <c:v>3</c:v>
                </c:pt>
                <c:pt idx="156">
                  <c:v>4</c:v>
                </c:pt>
                <c:pt idx="157">
                  <c:v>4</c:v>
                </c:pt>
                <c:pt idx="158">
                  <c:v>3</c:v>
                </c:pt>
                <c:pt idx="159">
                  <c:v>3</c:v>
                </c:pt>
                <c:pt idx="160">
                  <c:v>3</c:v>
                </c:pt>
                <c:pt idx="161">
                  <c:v>3</c:v>
                </c:pt>
                <c:pt idx="162">
                  <c:v>3</c:v>
                </c:pt>
                <c:pt idx="163">
                  <c:v>2</c:v>
                </c:pt>
                <c:pt idx="164">
                  <c:v>3</c:v>
                </c:pt>
                <c:pt idx="165">
                  <c:v>3</c:v>
                </c:pt>
                <c:pt idx="166">
                  <c:v>3</c:v>
                </c:pt>
                <c:pt idx="167">
                  <c:v>3</c:v>
                </c:pt>
                <c:pt idx="168">
                  <c:v>3</c:v>
                </c:pt>
                <c:pt idx="169">
                  <c:v>4</c:v>
                </c:pt>
                <c:pt idx="170">
                  <c:v>3</c:v>
                </c:pt>
                <c:pt idx="171">
                  <c:v>3</c:v>
                </c:pt>
                <c:pt idx="172">
                  <c:v>3</c:v>
                </c:pt>
                <c:pt idx="173">
                  <c:v>3</c:v>
                </c:pt>
                <c:pt idx="174">
                  <c:v>1</c:v>
                </c:pt>
                <c:pt idx="175">
                  <c:v>3</c:v>
                </c:pt>
                <c:pt idx="176">
                  <c:v>3</c:v>
                </c:pt>
                <c:pt idx="177">
                  <c:v>3</c:v>
                </c:pt>
                <c:pt idx="178">
                  <c:v>3</c:v>
                </c:pt>
                <c:pt idx="179">
                  <c:v>3</c:v>
                </c:pt>
                <c:pt idx="180">
                  <c:v>3</c:v>
                </c:pt>
                <c:pt idx="181">
                  <c:v>2</c:v>
                </c:pt>
                <c:pt idx="182">
                  <c:v>3</c:v>
                </c:pt>
              </c:numCache>
            </c:numRef>
          </c:yVal>
          <c:smooth val="0"/>
          <c:extLst>
            <c:ext xmlns:c16="http://schemas.microsoft.com/office/drawing/2014/chart" uri="{C3380CC4-5D6E-409C-BE32-E72D297353CC}">
              <c16:uniqueId val="{00000000-E6B0-4A4B-B615-3E1913CF8A82}"/>
            </c:ext>
          </c:extLst>
        </c:ser>
        <c:dLbls>
          <c:showLegendKey val="0"/>
          <c:showVal val="0"/>
          <c:showCatName val="0"/>
          <c:showSerName val="0"/>
          <c:showPercent val="0"/>
          <c:showBubbleSize val="0"/>
        </c:dLbls>
        <c:axId val="1664881232"/>
        <c:axId val="1664860592"/>
      </c:scatterChart>
      <c:valAx>
        <c:axId val="166488123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860592"/>
        <c:crosses val="autoZero"/>
        <c:crossBetween val="midCat"/>
      </c:valAx>
      <c:valAx>
        <c:axId val="1664860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8812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[Employee_data_analytics.xlsx]Employee Trend!PivotTable2</c:name>
    <c:fmtId val="7"/>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Employee Hiring Trend</a:t>
            </a:r>
          </a:p>
        </c:rich>
      </c:tx>
      <c:layout>
        <c:manualLayout>
          <c:xMode val="edge"/>
          <c:yMode val="edge"/>
          <c:x val="0.32818100358422941"/>
          <c:y val="4.9475522876713585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'Employee Trend'!$B$4:$B$40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Trend'!$C$4:$C$40</c:f>
              <c:numCache>
                <c:formatCode>General</c:formatCode>
                <c:ptCount val="32"/>
                <c:pt idx="0">
                  <c:v>3</c:v>
                </c:pt>
                <c:pt idx="1">
                  <c:v>1</c:v>
                </c:pt>
                <c:pt idx="2">
                  <c:v>5</c:v>
                </c:pt>
                <c:pt idx="3">
                  <c:v>3</c:v>
                </c:pt>
                <c:pt idx="4">
                  <c:v>6</c:v>
                </c:pt>
                <c:pt idx="5">
                  <c:v>6</c:v>
                </c:pt>
                <c:pt idx="6">
                  <c:v>6</c:v>
                </c:pt>
                <c:pt idx="7">
                  <c:v>7</c:v>
                </c:pt>
                <c:pt idx="8">
                  <c:v>6</c:v>
                </c:pt>
                <c:pt idx="9">
                  <c:v>4</c:v>
                </c:pt>
                <c:pt idx="10">
                  <c:v>9</c:v>
                </c:pt>
                <c:pt idx="11">
                  <c:v>5</c:v>
                </c:pt>
                <c:pt idx="12">
                  <c:v>10</c:v>
                </c:pt>
                <c:pt idx="13">
                  <c:v>6</c:v>
                </c:pt>
                <c:pt idx="14">
                  <c:v>13</c:v>
                </c:pt>
                <c:pt idx="15">
                  <c:v>4</c:v>
                </c:pt>
                <c:pt idx="16">
                  <c:v>11</c:v>
                </c:pt>
                <c:pt idx="17">
                  <c:v>3</c:v>
                </c:pt>
                <c:pt idx="18">
                  <c:v>4</c:v>
                </c:pt>
                <c:pt idx="19">
                  <c:v>7</c:v>
                </c:pt>
                <c:pt idx="20">
                  <c:v>3</c:v>
                </c:pt>
                <c:pt idx="21">
                  <c:v>10</c:v>
                </c:pt>
                <c:pt idx="22">
                  <c:v>9</c:v>
                </c:pt>
                <c:pt idx="23">
                  <c:v>9</c:v>
                </c:pt>
                <c:pt idx="24">
                  <c:v>9</c:v>
                </c:pt>
                <c:pt idx="25">
                  <c:v>7</c:v>
                </c:pt>
                <c:pt idx="26">
                  <c:v>5</c:v>
                </c:pt>
                <c:pt idx="27">
                  <c:v>5</c:v>
                </c:pt>
                <c:pt idx="28">
                  <c:v>2</c:v>
                </c:pt>
                <c:pt idx="29">
                  <c:v>3</c:v>
                </c:pt>
                <c:pt idx="30">
                  <c:v>1</c:v>
                </c:pt>
                <c:pt idx="31">
                  <c:v>1</c:v>
                </c:pt>
              </c:numCache>
            </c:numRef>
          </c:val>
          <c:smooth val="0"/>
          <c:extLst>
            <c:ext xmlns:c16="http://schemas.microsoft.com/office/drawing/2014/chart" uri="{C3380CC4-5D6E-409C-BE32-E72D297353CC}">
              <c16:uniqueId val="{00000000-95C9-4309-8DA3-F7E5877E4A64}"/>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01362176"/>
        <c:axId val="1701363136"/>
      </c:lineChart>
      <c:catAx>
        <c:axId val="170136217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01363136"/>
        <c:crosses val="autoZero"/>
        <c:auto val="1"/>
        <c:lblAlgn val="ctr"/>
        <c:lblOffset val="100"/>
        <c:noMultiLvlLbl val="0"/>
      </c:catAx>
      <c:valAx>
        <c:axId val="1701363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0136217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0"/>
          <c:order val="0"/>
          <c:tx>
            <c:strRef>
              <c:f>'Employee Trend'!$S$3</c:f>
              <c:strCache>
                <c:ptCount val="1"/>
                <c:pt idx="0">
                  <c:v>Running Total</c:v>
                </c:pt>
              </c:strCache>
            </c:strRef>
          </c:tx>
          <c:spPr>
            <a:ln w="34925" cap="rnd">
              <a:solidFill>
                <a:schemeClr val="lt1"/>
              </a:solidFill>
              <a:round/>
            </a:ln>
            <a:effectLst>
              <a:outerShdw dist="25400" dir="2700000" algn="tl" rotWithShape="0">
                <a:schemeClr val="accent5"/>
              </a:outerShdw>
            </a:effectLst>
          </c:spPr>
          <c:marker>
            <c:symbol val="none"/>
          </c:marker>
          <c:dLbls>
            <c:delete val="1"/>
          </c:dLbls>
          <c:cat>
            <c:numRef>
              <c:f>'Employee Trend'!$Q$4:$Q$39</c:f>
              <c:numCache>
                <c:formatCode>[$-409]mmmm\-yy;@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Trend'!$S$4:$S$39</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C4FC-411D-AE61-DF8A252C89D0}"/>
            </c:ext>
          </c:extLst>
        </c:ser>
        <c:dLbls>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791051104"/>
        <c:axId val="1776615104"/>
      </c:lineChart>
      <c:dateAx>
        <c:axId val="791051104"/>
        <c:scaling>
          <c:orientation val="minMax"/>
        </c:scaling>
        <c:delete val="0"/>
        <c:axPos val="b"/>
        <c:numFmt formatCode="[$-409]mmmm\-yy;@" sourceLinked="1"/>
        <c:majorTickMark val="out"/>
        <c:minorTickMark val="none"/>
        <c:tickLblPos val="low"/>
        <c:spPr>
          <a:noFill/>
          <a:ln w="12700" cap="flat" cmpd="sng" algn="ctr">
            <a:solidFill>
              <a:schemeClr val="lt1"/>
            </a:solidFill>
            <a:round/>
          </a:ln>
          <a:effectLst/>
        </c:spPr>
        <c:txPr>
          <a:bodyPr rot="-3300000" spcFirstLastPara="1" vertOverflow="ellipsis" wrap="square" anchor="ctr" anchorCtr="1"/>
          <a:lstStyle/>
          <a:p>
            <a:pPr>
              <a:defRPr sz="900" b="0" i="0" u="none" strike="noStrike" kern="1200" spc="100" baseline="0">
                <a:solidFill>
                  <a:schemeClr val="lt1"/>
                </a:solidFill>
                <a:latin typeface="+mn-lt"/>
                <a:ea typeface="+mn-ea"/>
                <a:cs typeface="+mn-cs"/>
              </a:defRPr>
            </a:pPr>
            <a:endParaRPr lang="en-US"/>
          </a:p>
        </c:txPr>
        <c:crossAx val="1776615104"/>
        <c:crosses val="autoZero"/>
        <c:auto val="1"/>
        <c:lblOffset val="100"/>
        <c:baseTimeUnit val="months"/>
      </c:dateAx>
      <c:valAx>
        <c:axId val="1776615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7910511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accent5"/>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[Employee_data_analytics.xlsx]Report!PivotTable3</c:name>
    <c:fmtId val="3"/>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15756567014488"/>
          <c:y val="3.8860103626943004E-2"/>
          <c:w val="0.76887224462795811"/>
          <c:h val="0.84433655637604887"/>
        </c:manualLayout>
      </c:layout>
      <c:barChart>
        <c:barDir val="bar"/>
        <c:grouping val="clustered"/>
        <c:varyColors val="0"/>
        <c:ser>
          <c:idx val="0"/>
          <c:order val="0"/>
          <c:tx>
            <c:strRef>
              <c:f>Report!$W$6</c:f>
              <c:strCache>
                <c:ptCount val="1"/>
                <c:pt idx="0">
                  <c:v>Total</c:v>
                </c:pt>
              </c:strCache>
            </c:strRef>
          </c:tx>
          <c:spPr>
            <a:solidFill>
              <a:schemeClr val="accent2"/>
            </a:solidFill>
            <a:ln>
              <a:noFill/>
            </a:ln>
            <a:effectLst/>
          </c:spPr>
          <c:invertIfNegative val="0"/>
          <c:cat>
            <c:strRef>
              <c:f>Report!$V$7:$V$12</c:f>
              <c:strCache>
                <c:ptCount val="5"/>
                <c:pt idx="0">
                  <c:v>Procurement</c:v>
                </c:pt>
                <c:pt idx="1">
                  <c:v>Website</c:v>
                </c:pt>
                <c:pt idx="2">
                  <c:v>Finance</c:v>
                </c:pt>
                <c:pt idx="3">
                  <c:v>Sales</c:v>
                </c:pt>
                <c:pt idx="4">
                  <c:v>HR</c:v>
                </c:pt>
              </c:strCache>
            </c:strRef>
          </c:cat>
          <c:val>
            <c:numRef>
              <c:f>Report!$W$7:$W$12</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51A4-43D2-AD62-40AC052084D2}"/>
            </c:ext>
          </c:extLst>
        </c:ser>
        <c:dLbls>
          <c:showLegendKey val="0"/>
          <c:showVal val="0"/>
          <c:showCatName val="0"/>
          <c:showSerName val="0"/>
          <c:showPercent val="0"/>
          <c:showBubbleSize val="0"/>
        </c:dLbls>
        <c:gapWidth val="100"/>
        <c:axId val="1855347136"/>
        <c:axId val="1556912624"/>
      </c:barChart>
      <c:catAx>
        <c:axId val="1855347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556912624"/>
        <c:crosses val="autoZero"/>
        <c:auto val="1"/>
        <c:lblAlgn val="ctr"/>
        <c:lblOffset val="100"/>
        <c:noMultiLvlLbl val="0"/>
      </c:catAx>
      <c:valAx>
        <c:axId val="1556912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5534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[Employee_data_analytics.xlsx]Report!PivotTable4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65222033631535"/>
          <c:y val="5.6666666666666685E-2"/>
          <c:w val="0.78791396010668846"/>
          <c:h val="0.83424992330504144"/>
        </c:manualLayout>
      </c:layout>
      <c:barChart>
        <c:barDir val="bar"/>
        <c:grouping val="clustered"/>
        <c:varyColors val="0"/>
        <c:ser>
          <c:idx val="0"/>
          <c:order val="0"/>
          <c:tx>
            <c:strRef>
              <c:f>Report!$Z$6</c:f>
              <c:strCache>
                <c:ptCount val="1"/>
                <c:pt idx="0">
                  <c:v>Total</c:v>
                </c:pt>
              </c:strCache>
            </c:strRef>
          </c:tx>
          <c:spPr>
            <a:solidFill>
              <a:schemeClr val="accent1"/>
            </a:solidFill>
            <a:ln>
              <a:noFill/>
            </a:ln>
            <a:effectLst/>
          </c:spPr>
          <c:invertIfNegative val="0"/>
          <c:cat>
            <c:strRef>
              <c:f>Report!$Y$7:$Y$12</c:f>
              <c:strCache>
                <c:ptCount val="5"/>
                <c:pt idx="0">
                  <c:v>Website</c:v>
                </c:pt>
                <c:pt idx="1">
                  <c:v>Procurement</c:v>
                </c:pt>
                <c:pt idx="2">
                  <c:v>Finance</c:v>
                </c:pt>
                <c:pt idx="3">
                  <c:v>Sales</c:v>
                </c:pt>
                <c:pt idx="4">
                  <c:v>HR</c:v>
                </c:pt>
              </c:strCache>
            </c:strRef>
          </c:cat>
          <c:val>
            <c:numRef>
              <c:f>Report!$Z$7:$Z$12</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C72B-485E-B386-5CCEDC5E032E}"/>
            </c:ext>
          </c:extLst>
        </c:ser>
        <c:dLbls>
          <c:showLegendKey val="0"/>
          <c:showVal val="0"/>
          <c:showCatName val="0"/>
          <c:showSerName val="0"/>
          <c:showPercent val="0"/>
          <c:showBubbleSize val="0"/>
        </c:dLbls>
        <c:gapWidth val="100"/>
        <c:axId val="1571413200"/>
        <c:axId val="1571391600"/>
      </c:barChart>
      <c:catAx>
        <c:axId val="1571413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391600"/>
        <c:crosses val="autoZero"/>
        <c:auto val="1"/>
        <c:lblAlgn val="ctr"/>
        <c:lblOffset val="100"/>
        <c:noMultiLvlLbl val="0"/>
      </c:catAx>
      <c:valAx>
        <c:axId val="1571391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413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22F51C96-0E74-49D4-B52E-ECB4FBF9E065}">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F8A1222F-0C3D-4E73-8B48-C11EDAC77D9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571500</xdr:colOff>
      <xdr:row>0</xdr:row>
      <xdr:rowOff>106680</xdr:rowOff>
    </xdr:from>
    <xdr:to>
      <xdr:col>14</xdr:col>
      <xdr:colOff>541020</xdr:colOff>
      <xdr:row>4</xdr:row>
      <xdr:rowOff>0</xdr:rowOff>
    </xdr:to>
    <xdr:sp macro="" textlink="">
      <xdr:nvSpPr>
        <xdr:cNvPr id="2" name="Rectangle: Rounded Corners 1">
          <a:extLst>
            <a:ext uri="{FF2B5EF4-FFF2-40B4-BE49-F238E27FC236}">
              <a16:creationId xmlns:a16="http://schemas.microsoft.com/office/drawing/2014/main" id="{9B3DD4A5-CB9C-997F-581B-5F6F7FA36F10}"/>
            </a:ext>
          </a:extLst>
        </xdr:cNvPr>
        <xdr:cNvSpPr/>
      </xdr:nvSpPr>
      <xdr:spPr>
        <a:xfrm>
          <a:off x="6804660" y="106680"/>
          <a:ext cx="6088380" cy="670560"/>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 CHOOSECOLS function is present in Excel 365 only SORT(CHOOSECOLS(FILTER(staff_data,staff_data[Department]=C4),1,7,4)7,-1)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548640</xdr:colOff>
      <xdr:row>6</xdr:row>
      <xdr:rowOff>1</xdr:rowOff>
    </xdr:from>
    <xdr:to>
      <xdr:col>8</xdr:col>
      <xdr:colOff>487680</xdr:colOff>
      <xdr:row>12</xdr:row>
      <xdr:rowOff>53341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951B21EE-D3EB-A62F-E413-183206C4209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181600" y="1143001"/>
              <a:ext cx="18288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281940</xdr:colOff>
      <xdr:row>1</xdr:row>
      <xdr:rowOff>68580</xdr:rowOff>
    </xdr:from>
    <xdr:to>
      <xdr:col>13</xdr:col>
      <xdr:colOff>381000</xdr:colOff>
      <xdr:row>22</xdr:row>
      <xdr:rowOff>45720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75D9234-9241-43E6-1596-2A163BD300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91540" y="251460"/>
              <a:ext cx="7414260" cy="38176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388620</xdr:colOff>
      <xdr:row>0</xdr:row>
      <xdr:rowOff>76200</xdr:rowOff>
    </xdr:from>
    <xdr:to>
      <xdr:col>19</xdr:col>
      <xdr:colOff>274320</xdr:colOff>
      <xdr:row>29</xdr:row>
      <xdr:rowOff>15240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94887EF-A15B-4080-84E4-774DDA2877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923020" y="76200"/>
              <a:ext cx="2933700" cy="5242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58614</xdr:colOff>
      <xdr:row>1</xdr:row>
      <xdr:rowOff>45292</xdr:rowOff>
    </xdr:from>
    <xdr:to>
      <xdr:col>14</xdr:col>
      <xdr:colOff>10123</xdr:colOff>
      <xdr:row>18</xdr:row>
      <xdr:rowOff>136945</xdr:rowOff>
    </xdr:to>
    <xdr:graphicFrame macro="">
      <xdr:nvGraphicFramePr>
        <xdr:cNvPr id="3" name="Chart 2">
          <a:extLst>
            <a:ext uri="{FF2B5EF4-FFF2-40B4-BE49-F238E27FC236}">
              <a16:creationId xmlns:a16="http://schemas.microsoft.com/office/drawing/2014/main" id="{D3FE72E2-04C0-4F7D-B1FD-F290F23E73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72044</xdr:colOff>
      <xdr:row>1</xdr:row>
      <xdr:rowOff>71697</xdr:rowOff>
    </xdr:from>
    <xdr:to>
      <xdr:col>13</xdr:col>
      <xdr:colOff>254924</xdr:colOff>
      <xdr:row>19</xdr:row>
      <xdr:rowOff>60267</xdr:rowOff>
    </xdr:to>
    <xdr:graphicFrame macro="">
      <xdr:nvGraphicFramePr>
        <xdr:cNvPr id="2" name="Chart 1">
          <a:extLst>
            <a:ext uri="{FF2B5EF4-FFF2-40B4-BE49-F238E27FC236}">
              <a16:creationId xmlns:a16="http://schemas.microsoft.com/office/drawing/2014/main" id="{E7D8F3A1-EC46-058F-C2FC-B377D5B8BF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58883</xdr:colOff>
      <xdr:row>20</xdr:row>
      <xdr:rowOff>155862</xdr:rowOff>
    </xdr:from>
    <xdr:to>
      <xdr:col>13</xdr:col>
      <xdr:colOff>346365</xdr:colOff>
      <xdr:row>39</xdr:row>
      <xdr:rowOff>41563</xdr:rowOff>
    </xdr:to>
    <xdr:graphicFrame macro="">
      <xdr:nvGraphicFramePr>
        <xdr:cNvPr id="3" name="Chart 2">
          <a:extLst>
            <a:ext uri="{FF2B5EF4-FFF2-40B4-BE49-F238E27FC236}">
              <a16:creationId xmlns:a16="http://schemas.microsoft.com/office/drawing/2014/main" id="{56773249-C21F-8015-C09B-06EFBBCAA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601980</xdr:colOff>
      <xdr:row>5</xdr:row>
      <xdr:rowOff>0</xdr:rowOff>
    </xdr:from>
    <xdr:to>
      <xdr:col>14</xdr:col>
      <xdr:colOff>0</xdr:colOff>
      <xdr:row>21</xdr:row>
      <xdr:rowOff>15240</xdr:rowOff>
    </xdr:to>
    <xdr:graphicFrame macro="">
      <xdr:nvGraphicFramePr>
        <xdr:cNvPr id="2" name="Chart 1">
          <a:extLst>
            <a:ext uri="{FF2B5EF4-FFF2-40B4-BE49-F238E27FC236}">
              <a16:creationId xmlns:a16="http://schemas.microsoft.com/office/drawing/2014/main" id="{D6CF9DB9-918F-1976-9D7E-D8606A4B60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601980</xdr:colOff>
      <xdr:row>5</xdr:row>
      <xdr:rowOff>0</xdr:rowOff>
    </xdr:from>
    <xdr:to>
      <xdr:col>6</xdr:col>
      <xdr:colOff>15240</xdr:colOff>
      <xdr:row>21</xdr:row>
      <xdr:rowOff>7620</xdr:rowOff>
    </xdr:to>
    <xdr:graphicFrame macro="">
      <xdr:nvGraphicFramePr>
        <xdr:cNvPr id="3" name="Chart 2">
          <a:extLst>
            <a:ext uri="{FF2B5EF4-FFF2-40B4-BE49-F238E27FC236}">
              <a16:creationId xmlns:a16="http://schemas.microsoft.com/office/drawing/2014/main" id="{D915275A-2852-1174-7BE7-66AD7943E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RTI POOJARI" refreshedDate="45133.536259259257" backgroundQuery="1" createdVersion="8" refreshedVersion="8" minRefreshableVersion="3" recordCount="0" supportSubquery="1" supportAdvancedDrill="1" xr:uid="{9F0380CF-1433-49EB-B013-D48932C27021}">
  <cacheSource type="external" connectionId="4"/>
  <cacheFields count="6">
    <cacheField name="[staff_data].[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_data].[Country].[Country]" caption="Country" numFmtId="0" hierarchy="7" level="1">
      <sharedItems containsSemiMixedTypes="0" containsNonDate="0" containsString="0"/>
    </cacheField>
  </cacheFields>
  <cacheHierarchies count="23">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2" memberValueDatatype="130" unbalanced="0">
      <fieldsUsage count="2">
        <fieldUsage x="-1"/>
        <fieldUsage x="0"/>
      </fieldsUsage>
    </cacheHierarchy>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0" memberValueDatatype="130" unbalanced="0"/>
    <cacheHierarchy uniqueName="[staff_data].[Date Joined]" caption="Date Joined" attribute="1" time="1" defaultMemberUniqueName="[staff_data].[Date Joined].[All]" allUniqueName="[staff_data].[Date Joined].[All]" dimensionUniqueName="[staff_data]" displayFolder="" count="0" memberValueDatatype="7" unbalanced="0"/>
    <cacheHierarchy uniqueName="[staff_data].[Department]" caption="Department" attribute="1" defaultMemberUniqueName="[staff_data].[Department].[All]" allUniqueName="[staff_data].[Department].[All]" dimensionUniqueName="[staff_data]" displayFolder="" count="0" memberValueDatatype="130" unbalanced="0"/>
    <cacheHierarchy uniqueName="[staff_data].[Salary]" caption="Salary" attribute="1" defaultMemberUniqueName="[staff_data].[Salary].[All]" allUniqueName="[staff_data].[Salary].[All]" dimensionUniqueName="[staff_data]" displayFolder="" count="0" memberValueDatatype="20" unbalanced="0"/>
    <cacheHierarchy uniqueName="[staff_data].[Country]" caption="Country" attribute="1" defaultMemberUniqueName="[staff_data].[Country].[All]" allUniqueName="[staff_data].[Country].[All]" dimensionUniqueName="[staff_data]" displayFolder="" count="2" memberValueDatatype="130" unbalanced="0">
      <fieldsUsage count="2">
        <fieldUsage x="-1"/>
        <fieldUsage x="5"/>
      </fieldsUsage>
    </cacheHierarchy>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0" memberValueDatatype="130" unbalanced="0"/>
    <cacheHierarchy uniqueName="[staff_data].[Date Joined (Quarter)]" caption="Date Joined (Quarter)" attribute="1" defaultMemberUniqueName="[staff_data].[Date Joined (Quarter)].[All]" allUniqueName="[staff_data].[Date Joined (Quarter)].[All]" dimensionUniqueName="[staff_data]" displayFolder="" count="0" memberValueDatatype="130" unbalanced="0"/>
    <cacheHierarchy uniqueName="[staff_data].[Date Joined (Month)]" caption="Date Joined (Month)" attribute="1" defaultMemberUniqueName="[staff_data].[Date Joined (Month)].[All]" allUniqueName="[staff_data].[Date Joined (Month)].[All]" dimensionUniqueName="[staff_data]" displayFolder="" count="0" memberValueDatatype="130" unbalanced="0"/>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Date Joined]" caption="Count of Date Joined" measure="1" displayFolder="" measureGroup="staff_data"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taff_data" uniqueName="[staff_data]" caption="staff_data"/>
  </dimensions>
  <measureGroups count="1">
    <measureGroup name="staff_data" caption="staff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RTI POOJARI" refreshedDate="45133.536256597225" backgroundQuery="1" createdVersion="8" refreshedVersion="8" minRefreshableVersion="3" recordCount="0" supportSubquery="1" supportAdvancedDrill="1" xr:uid="{37C71E0E-9CCA-445C-A6C3-3EC7431AAEE3}">
  <cacheSource type="external" connectionId="4"/>
  <cacheFields count="3">
    <cacheField name="[staff_data].[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3">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0" memberValueDatatype="130" unbalanced="0"/>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2" memberValueDatatype="130" unbalanced="0">
      <fieldsUsage count="2">
        <fieldUsage x="-1"/>
        <fieldUsage x="0"/>
      </fieldsUsage>
    </cacheHierarchy>
    <cacheHierarchy uniqueName="[staff_data].[Date Joined]" caption="Date Joined" attribute="1" time="1" defaultMemberUniqueName="[staff_data].[Date Joined].[All]" allUniqueName="[staff_data].[Date Joined].[All]" dimensionUniqueName="[staff_data]" displayFolder="" count="0" memberValueDatatype="7" unbalanced="0"/>
    <cacheHierarchy uniqueName="[staff_data].[Department]" caption="Department" attribute="1" defaultMemberUniqueName="[staff_data].[Department].[All]" allUniqueName="[staff_data].[Department].[All]" dimensionUniqueName="[staff_data]" displayFolder="" count="0" memberValueDatatype="130" unbalanced="0"/>
    <cacheHierarchy uniqueName="[staff_data].[Salary]" caption="Salary" attribute="1" defaultMemberUniqueName="[staff_data].[Salary].[All]" allUniqueName="[staff_data].[Salary].[All]" dimensionUniqueName="[staff_data]" displayFolder="" count="0" memberValueDatatype="20" unbalanced="0"/>
    <cacheHierarchy uniqueName="[staff_data].[Country]" caption="Country" attribute="1" defaultMemberUniqueName="[staff_data].[Country].[All]" allUniqueName="[staff_data].[Country].[All]" dimensionUniqueName="[staff_data]" displayFolder="" count="0" memberValueDatatype="130" unbalanced="0"/>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0" memberValueDatatype="130" unbalanced="0"/>
    <cacheHierarchy uniqueName="[staff_data].[Date Joined (Quarter)]" caption="Date Joined (Quarter)" attribute="1" defaultMemberUniqueName="[staff_data].[Date Joined (Quarter)].[All]" allUniqueName="[staff_data].[Date Joined (Quarter)].[All]" dimensionUniqueName="[staff_data]" displayFolder="" count="0" memberValueDatatype="130" unbalanced="0"/>
    <cacheHierarchy uniqueName="[staff_data].[Date Joined (Month)]" caption="Date Joined (Month)" attribute="1" defaultMemberUniqueName="[staff_data].[Date Joined (Month)].[All]" allUniqueName="[staff_data].[Date Joined (Month)].[All]" dimensionUniqueName="[staff_data]" displayFolder="" count="0" memberValueDatatype="130" unbalanced="0"/>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hidden="1">
      <extLst>
        <ext xmlns:x15="http://schemas.microsoft.com/office/spreadsheetml/2010/11/main" uri="{B97F6D7D-B522-45F9-BDA1-12C45D357490}">
          <x15:cacheHierarchy aggregatedColumn="8"/>
        </ext>
      </extLst>
    </cacheHierarchy>
    <cacheHierarchy uniqueName="[Measures].[Count of Date Joined]" caption="Count of Date Joined" measure="1" displayFolder="" measureGroup="staff_data"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taff_data" uniqueName="[staff_data]" caption="staff_data"/>
  </dimensions>
  <measureGroups count="1">
    <measureGroup name="staff_data" caption="staff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RTI POOJARI" refreshedDate="45133.568282175926" backgroundQuery="1" createdVersion="8" refreshedVersion="8" minRefreshableVersion="3" recordCount="0" supportSubquery="1" supportAdvancedDrill="1" xr:uid="{B01F141F-B9B7-45A8-AD6C-59CB061EF0D4}">
  <cacheSource type="external" connectionId="4"/>
  <cacheFields count="3">
    <cacheField name="[staff_data].[Date Joined (Month)].[Date Joined (Month)]" caption="Date Joined (Month)" numFmtId="0" hierarchy="11" level="1">
      <sharedItems count="12">
        <s v="May"/>
        <s v="Jun"/>
        <s v="Jul"/>
        <s v="Aug"/>
        <s v="Sep"/>
        <s v="Oct"/>
        <s v="Nov"/>
        <s v="Dec"/>
        <s v="Jan"/>
        <s v="Feb"/>
        <s v="Mar"/>
        <s v="Apr"/>
      </sharedItems>
    </cacheField>
    <cacheField name="[staff_data].[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3">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0" memberValueDatatype="130" unbalanced="0"/>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0" memberValueDatatype="130" unbalanced="0"/>
    <cacheHierarchy uniqueName="[staff_data].[Date Joined]" caption="Date Joined" attribute="1" time="1" defaultMemberUniqueName="[staff_data].[Date Joined].[All]" allUniqueName="[staff_data].[Date Joined].[All]" dimensionUniqueName="[staff_data]" displayFolder="" count="0" memberValueDatatype="7" unbalanced="0"/>
    <cacheHierarchy uniqueName="[staff_data].[Department]" caption="Department" attribute="1" defaultMemberUniqueName="[staff_data].[Department].[All]" allUniqueName="[staff_data].[Department].[All]" dimensionUniqueName="[staff_data]" displayFolder="" count="0" memberValueDatatype="130" unbalanced="0"/>
    <cacheHierarchy uniqueName="[staff_data].[Salary]" caption="Salary" attribute="1" defaultMemberUniqueName="[staff_data].[Salary].[All]" allUniqueName="[staff_data].[Salary].[All]" dimensionUniqueName="[staff_data]" displayFolder="" count="0" memberValueDatatype="20" unbalanced="0"/>
    <cacheHierarchy uniqueName="[staff_data].[Country]" caption="Country" attribute="1" defaultMemberUniqueName="[staff_data].[Country].[All]" allUniqueName="[staff_data].[Country].[All]" dimensionUniqueName="[staff_data]" displayFolder="" count="0" memberValueDatatype="130" unbalanced="0"/>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2" memberValueDatatype="130" unbalanced="0">
      <fieldsUsage count="2">
        <fieldUsage x="-1"/>
        <fieldUsage x="1"/>
      </fieldsUsage>
    </cacheHierarchy>
    <cacheHierarchy uniqueName="[staff_data].[Date Joined (Quarter)]" caption="Date Joined (Quarter)" attribute="1" defaultMemberUniqueName="[staff_data].[Date Joined (Quarter)].[All]" allUniqueName="[staff_data].[Date Joined (Quarter)].[All]" dimensionUniqueName="[staff_data]" displayFolder="" count="0" memberValueDatatype="130" unbalanced="0"/>
    <cacheHierarchy uniqueName="[staff_data].[Date Joined (Month)]" caption="Date Joined (Month)" attribute="1" defaultMemberUniqueName="[staff_data].[Date Joined (Month)].[All]" allUniqueName="[staff_data].[Date Joined (Month)].[All]" dimensionUniqueName="[staff_data]" displayFolder="" count="2" memberValueDatatype="130" unbalanced="0">
      <fieldsUsage count="2">
        <fieldUsage x="-1"/>
        <fieldUsage x="0"/>
      </fieldsUsage>
    </cacheHierarchy>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hidden="1">
      <extLst>
        <ext xmlns:x15="http://schemas.microsoft.com/office/spreadsheetml/2010/11/main" uri="{B97F6D7D-B522-45F9-BDA1-12C45D357490}">
          <x15:cacheHierarchy aggregatedColumn="8"/>
        </ext>
      </extLst>
    </cacheHierarchy>
    <cacheHierarchy uniqueName="[Measures].[Count of Date Joined]" caption="Count of Date Joined" measure="1" displayFolder="" measureGroup="staff_data"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taff_data" uniqueName="[staff_data]" caption="staff_data"/>
  </dimensions>
  <measureGroups count="1">
    <measureGroup name="staff_data" caption="staff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RTI POOJARI" refreshedDate="45133.622624074073" backgroundQuery="1" createdVersion="8" refreshedVersion="8" minRefreshableVersion="3" recordCount="0" supportSubquery="1" supportAdvancedDrill="1" xr:uid="{6FC42F11-CC7E-4E11-9E44-6C3D19A8EC2D}">
  <cacheSource type="external" connectionId="4"/>
  <cacheFields count="3">
    <cacheField name="[staff_data].[Country].[Country]" caption="Country" numFmtId="0" hierarchy="7" level="1">
      <sharedItems containsSemiMixedTypes="0" containsNonDate="0" containsString="0"/>
    </cacheField>
    <cacheField name="[staff_data].[Department].[Department]" caption="Department" numFmtId="0" hierarchy="5" level="1">
      <sharedItems count="5">
        <s v="Finance"/>
        <s v="HR"/>
        <s v="Procurement"/>
        <s v="Sales"/>
        <s v="Website"/>
      </sharedItems>
    </cacheField>
    <cacheField name="[Measures].[Count of Name]" caption="Count of Name" numFmtId="0" hierarchy="15" level="32767"/>
  </cacheFields>
  <cacheHierarchies count="23">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0" memberValueDatatype="130" unbalanced="0"/>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0" memberValueDatatype="130" unbalanced="0"/>
    <cacheHierarchy uniqueName="[staff_data].[Date Joined]" caption="Date Joined" attribute="1" time="1" defaultMemberUniqueName="[staff_data].[Date Joined].[All]" allUniqueName="[staff_data].[Date Joined].[All]" dimensionUniqueName="[staff_data]" displayFolder="" count="0" memberValueDatatype="7" unbalanced="0"/>
    <cacheHierarchy uniqueName="[staff_data].[Department]" caption="Department" attribute="1" defaultMemberUniqueName="[staff_data].[Department].[All]" allUniqueName="[staff_data].[Department].[All]" dimensionUniqueName="[staff_data]" displayFolder="" count="2" memberValueDatatype="130" unbalanced="0">
      <fieldsUsage count="2">
        <fieldUsage x="-1"/>
        <fieldUsage x="1"/>
      </fieldsUsage>
    </cacheHierarchy>
    <cacheHierarchy uniqueName="[staff_data].[Salary]" caption="Salary" attribute="1" defaultMemberUniqueName="[staff_data].[Salary].[All]" allUniqueName="[staff_data].[Salary].[All]" dimensionUniqueName="[staff_data]" displayFolder="" count="0" memberValueDatatype="20" unbalanced="0"/>
    <cacheHierarchy uniqueName="[staff_data].[Country]" caption="Country" attribute="1" defaultMemberUniqueName="[staff_data].[Country].[All]" allUniqueName="[staff_data].[Country].[All]" dimensionUniqueName="[staff_data]" displayFolder="" count="2" memberValueDatatype="130" unbalanced="0">
      <fieldsUsage count="2">
        <fieldUsage x="-1"/>
        <fieldUsage x="0"/>
      </fieldsUsage>
    </cacheHierarchy>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0" memberValueDatatype="130" unbalanced="0"/>
    <cacheHierarchy uniqueName="[staff_data].[Date Joined (Quarter)]" caption="Date Joined (Quarter)" attribute="1" defaultMemberUniqueName="[staff_data].[Date Joined (Quarter)].[All]" allUniqueName="[staff_data].[Date Joined (Quarter)].[All]" dimensionUniqueName="[staff_data]" displayFolder="" count="0" memberValueDatatype="130" unbalanced="0"/>
    <cacheHierarchy uniqueName="[staff_data].[Date Joined (Month)]" caption="Date Joined (Month)" attribute="1" defaultMemberUniqueName="[staff_data].[Date Joined (Month)].[All]" allUniqueName="[staff_data].[Date Joined (Month)].[All]" dimensionUniqueName="[staff_data]" displayFolder="" count="0" memberValueDatatype="130" unbalanced="0"/>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hidden="1">
      <extLst>
        <ext xmlns:x15="http://schemas.microsoft.com/office/spreadsheetml/2010/11/main" uri="{B97F6D7D-B522-45F9-BDA1-12C45D357490}">
          <x15:cacheHierarchy aggregatedColumn="8"/>
        </ext>
      </extLst>
    </cacheHierarchy>
    <cacheHierarchy uniqueName="[Measures].[Count of Date Joined]" caption="Count of Date Joined" measure="1" displayFolder="" measureGroup="staff_data"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taff_data" uniqueName="[staff_data]" caption="staff_data"/>
  </dimensions>
  <measureGroups count="1">
    <measureGroup name="staff_data" caption="staff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RTI POOJARI" refreshedDate="45133.624274074071" backgroundQuery="1" createdVersion="8" refreshedVersion="8" minRefreshableVersion="3" recordCount="0" supportSubquery="1" supportAdvancedDrill="1" xr:uid="{0AF34CC6-85FC-46A6-990C-80C1043B3625}">
  <cacheSource type="external" connectionId="4"/>
  <cacheFields count="3">
    <cacheField name="[staff_data].[Country].[Country]" caption="Country" numFmtId="0" hierarchy="7" level="1">
      <sharedItems containsSemiMixedTypes="0" containsNonDate="0" containsString="0"/>
    </cacheField>
    <cacheField name="[staff_data].[Department].[Department]" caption="Department" numFmtId="0" hierarchy="5" level="1">
      <sharedItems count="5">
        <s v="Finance"/>
        <s v="HR"/>
        <s v="Procurement"/>
        <s v="Sales"/>
        <s v="Website"/>
      </sharedItems>
    </cacheField>
    <cacheField name="[Measures].[Count of Name]" caption="Count of Name" numFmtId="0" hierarchy="15" level="32767"/>
  </cacheFields>
  <cacheHierarchies count="23">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0" memberValueDatatype="130" unbalanced="0"/>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0" memberValueDatatype="130" unbalanced="0"/>
    <cacheHierarchy uniqueName="[staff_data].[Date Joined]" caption="Date Joined" attribute="1" time="1" defaultMemberUniqueName="[staff_data].[Date Joined].[All]" allUniqueName="[staff_data].[Date Joined].[All]" dimensionUniqueName="[staff_data]" displayFolder="" count="0" memberValueDatatype="7" unbalanced="0"/>
    <cacheHierarchy uniqueName="[staff_data].[Department]" caption="Department" attribute="1" defaultMemberUniqueName="[staff_data].[Department].[All]" allUniqueName="[staff_data].[Department].[All]" dimensionUniqueName="[staff_data]" displayFolder="" count="2" memberValueDatatype="130" unbalanced="0">
      <fieldsUsage count="2">
        <fieldUsage x="-1"/>
        <fieldUsage x="1"/>
      </fieldsUsage>
    </cacheHierarchy>
    <cacheHierarchy uniqueName="[staff_data].[Salary]" caption="Salary" attribute="1" defaultMemberUniqueName="[staff_data].[Salary].[All]" allUniqueName="[staff_data].[Salary].[All]" dimensionUniqueName="[staff_data]" displayFolder="" count="0" memberValueDatatype="20" unbalanced="0"/>
    <cacheHierarchy uniqueName="[staff_data].[Country]" caption="Country" attribute="1" defaultMemberUniqueName="[staff_data].[Country].[All]" allUniqueName="[staff_data].[Country].[All]" dimensionUniqueName="[staff_data]" displayFolder="" count="2" memberValueDatatype="130" unbalanced="0">
      <fieldsUsage count="2">
        <fieldUsage x="-1"/>
        <fieldUsage x="0"/>
      </fieldsUsage>
    </cacheHierarchy>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0" memberValueDatatype="130" unbalanced="0"/>
    <cacheHierarchy uniqueName="[staff_data].[Date Joined (Quarter)]" caption="Date Joined (Quarter)" attribute="1" defaultMemberUniqueName="[staff_data].[Date Joined (Quarter)].[All]" allUniqueName="[staff_data].[Date Joined (Quarter)].[All]" dimensionUniqueName="[staff_data]" displayFolder="" count="0" memberValueDatatype="130" unbalanced="0"/>
    <cacheHierarchy uniqueName="[staff_data].[Date Joined (Month)]" caption="Date Joined (Month)" attribute="1" defaultMemberUniqueName="[staff_data].[Date Joined (Month)].[All]" allUniqueName="[staff_data].[Date Joined (Month)].[All]" dimensionUniqueName="[staff_data]" displayFolder="" count="0" memberValueDatatype="130" unbalanced="0"/>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hidden="1">
      <extLst>
        <ext xmlns:x15="http://schemas.microsoft.com/office/spreadsheetml/2010/11/main" uri="{B97F6D7D-B522-45F9-BDA1-12C45D357490}">
          <x15:cacheHierarchy aggregatedColumn="8"/>
        </ext>
      </extLst>
    </cacheHierarchy>
    <cacheHierarchy uniqueName="[Measures].[Count of Date Joined]" caption="Count of Date Joined" measure="1" displayFolder="" measureGroup="staff_data"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taff_data" uniqueName="[staff_data]" caption="staff_data"/>
  </dimensions>
  <measureGroups count="1">
    <measureGroup name="staff_data" caption="staff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RTI POOJARI" refreshedDate="45133.536257060186" backgroundQuery="1" createdVersion="3" refreshedVersion="8" minRefreshableVersion="3" recordCount="0" supportSubquery="1" supportAdvancedDrill="1" xr:uid="{7E360D96-A022-4654-A9CC-3B99C503ECE7}">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0" memberValueDatatype="130" unbalanced="0"/>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0" memberValueDatatype="130" unbalanced="0"/>
    <cacheHierarchy uniqueName="[staff_data].[Date Joined]" caption="Date Joined" attribute="1" time="1" defaultMemberUniqueName="[staff_data].[Date Joined].[All]" allUniqueName="[staff_data].[Date Joined].[All]" dimensionUniqueName="[staff_data]" displayFolder="" count="0" memberValueDatatype="7" unbalanced="0"/>
    <cacheHierarchy uniqueName="[staff_data].[Department]" caption="Department" attribute="1" defaultMemberUniqueName="[staff_data].[Department].[All]" allUniqueName="[staff_data].[Department].[All]" dimensionUniqueName="[staff_data]" displayFolder="" count="0" memberValueDatatype="130" unbalanced="0"/>
    <cacheHierarchy uniqueName="[staff_data].[Salary]" caption="Salary" attribute="1" defaultMemberUniqueName="[staff_data].[Salary].[All]" allUniqueName="[staff_data].[Salary].[All]" dimensionUniqueName="[staff_data]" displayFolder="" count="0" memberValueDatatype="20" unbalanced="0"/>
    <cacheHierarchy uniqueName="[staff_data].[Country]" caption="Country" attribute="1" defaultMemberUniqueName="[staff_data].[Country].[All]" allUniqueName="[staff_data].[Country].[All]" dimensionUniqueName="[staff_data]" displayFolder="" count="2" memberValueDatatype="130" unbalanced="0"/>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0" memberValueDatatype="130" unbalanced="0"/>
    <cacheHierarchy uniqueName="[staff_data].[Date Joined (Quarter)]" caption="Date Joined (Quarter)" attribute="1" defaultMemberUniqueName="[staff_data].[Date Joined (Quarter)].[All]" allUniqueName="[staff_data].[Date Joined (Quarter)].[All]" dimensionUniqueName="[staff_data]" displayFolder="" count="0" memberValueDatatype="130" unbalanced="0"/>
    <cacheHierarchy uniqueName="[staff_data].[Date Joined (Month)]" caption="Date Joined (Month)" attribute="1" defaultMemberUniqueName="[staff_data].[Date Joined (Month)].[All]" allUniqueName="[staff_data].[Date Joined (Month)].[All]" dimensionUniqueName="[staff_data]" displayFolder="" count="0" memberValueDatatype="130" unbalanced="0"/>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40795095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9DD189-DD7F-44FD-9B09-0F8B647C2FDB}" name="gender_table"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7:E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numFmtId="167"/>
    <dataField name="Average of Tenure" fld="4" subtotal="average" baseField="0" baseItem="0" numFmtId="166"/>
  </dataFields>
  <formats count="8">
    <format dxfId="9">
      <pivotArea collapsedLevelsAreSubtotals="1" fieldPosition="0">
        <references count="2">
          <reference field="4294967294" count="3">
            <x v="1"/>
            <x v="2"/>
            <x v="3"/>
          </reference>
          <reference field="0" count="1" selected="0">
            <x v="1"/>
          </reference>
        </references>
      </pivotArea>
    </format>
    <format dxfId="8">
      <pivotArea collapsedLevelsAreSubtotals="1" fieldPosition="0">
        <references count="2">
          <reference field="4294967294" count="3">
            <x v="1"/>
            <x v="2"/>
            <x v="3"/>
          </reference>
          <reference field="0" count="1" selected="0">
            <x v="0"/>
          </reference>
        </references>
      </pivotArea>
    </format>
    <format dxfId="7">
      <pivotArea field="0" grandCol="1" collapsedLevelsAreSubtotals="1" axis="axisCol" fieldPosition="0">
        <references count="1">
          <reference field="4294967294" count="1">
            <x v="3"/>
          </reference>
        </references>
      </pivotArea>
    </format>
    <format dxfId="6">
      <pivotArea collapsedLevelsAreSubtotals="1" fieldPosition="0">
        <references count="2">
          <reference field="4294967294" count="1">
            <x v="1"/>
          </reference>
          <reference field="0" count="1" selected="0">
            <x v="0"/>
          </reference>
        </references>
      </pivotArea>
    </format>
    <format dxfId="5">
      <pivotArea outline="0" fieldPosition="0">
        <references count="1">
          <reference field="4294967294" count="1">
            <x v="2"/>
          </reference>
        </references>
      </pivotArea>
    </format>
    <format dxfId="4">
      <pivotArea collapsedLevelsAreSubtotals="1" fieldPosition="0">
        <references count="2">
          <reference field="4294967294" count="1">
            <x v="1"/>
          </reference>
          <reference field="0" count="1" selected="0">
            <x v="1"/>
          </reference>
        </references>
      </pivotArea>
    </format>
    <format dxfId="3">
      <pivotArea field="0" grandCol="1" collapsedLevelsAreSubtotals="1" axis="axisCol" fieldPosition="0">
        <references count="1">
          <reference field="4294967294" count="1">
            <x v="1"/>
          </reference>
        </references>
      </pivotArea>
    </format>
    <format dxfId="2">
      <pivotArea outline="0" fieldPosition="0">
        <references count="1">
          <reference field="4294967294" count="1">
            <x v="3"/>
          </reference>
        </references>
      </pivotArea>
    </format>
  </format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_data].[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_analytics.xlsx!staff_data">
        <x15:activeTabTopLevelEntity name="[staff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E800CE-888F-4204-AE17-FCCD557FD49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7"/>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9DB608-86B2-4FCC-AADC-3D4F3CBDB940}" name="PivotTable2"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B3:C40"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baseField="0" baseItem="0"/>
  </dataFields>
  <chartFormats count="1">
    <chartFormat chart="7"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105F3A-39E3-4518-9DF1-E0FBC1BF9859}"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Y6:Z12" firstHeaderRow="1" firstDataRow="1" firstDataCol="1" rowPageCount="1" colPageCount="1"/>
  <pivotFields count="3">
    <pivotField axis="axisPage" allDrilled="1" subtotalTop="0" showAll="0" dataSourceSort="1" defaultSubtotal="0" defaultAttributeDrillState="1"/>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6">
    <i>
      <x v="4"/>
    </i>
    <i>
      <x v="2"/>
    </i>
    <i>
      <x/>
    </i>
    <i>
      <x v="3"/>
    </i>
    <i>
      <x v="1"/>
    </i>
    <i t="grand">
      <x/>
    </i>
  </rowItems>
  <colItems count="1">
    <i/>
  </colItems>
  <pageFields count="1">
    <pageField fld="0" hier="7" name="[staff_data].[Country].&amp;[NZ]" cap="NZ"/>
  </pageFields>
  <dataFields count="1">
    <dataField name="Count of Name" fld="2" subtotal="count" baseField="0" baseItem="0"/>
  </dataFields>
  <chartFormats count="1">
    <chartFormat chart="2"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7DF41F-35F6-406D-9BA1-F7117ABB8AAB}"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V6:W12" firstHeaderRow="1" firstDataRow="1" firstDataCol="1" rowPageCount="1" colPageCount="1"/>
  <pivotFields count="3">
    <pivotField axis="axisPage" allDrilled="1" subtotalTop="0" showAll="0" dataSourceSort="1" defaultSubtotal="0" defaultAttributeDrillState="1"/>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6">
    <i>
      <x v="2"/>
    </i>
    <i>
      <x v="4"/>
    </i>
    <i>
      <x/>
    </i>
    <i>
      <x v="3"/>
    </i>
    <i>
      <x v="1"/>
    </i>
    <i t="grand">
      <x/>
    </i>
  </rowItems>
  <colItems count="1">
    <i/>
  </colItems>
  <pageFields count="1">
    <pageField fld="0" hier="7" name="[staff_data].[Country].&amp;[IND]" cap="IND"/>
  </pageFields>
  <dataFields count="1">
    <dataField name="Count of Name" fld="2" subtotal="count" baseField="0" baseItem="0"/>
  </dataFields>
  <chartFormats count="1">
    <chartFormat chart="3"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111CD86-6D25-47C2-AB54-67C76A404B47}"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16FD0D1-C6E3-4262-A689-6E33145305B8}" sourceName="[staff_data].[Country]">
  <pivotTables>
    <pivotTable tabId="5" name="gender_table"/>
  </pivotTables>
  <data>
    <olap pivotCacheId="1407950957">
      <levels count="2">
        <level uniqueName="[staff_data].[Country].[(All)]" sourceCaption="(All)" count="0"/>
        <level uniqueName="[staff_data].[Country].[Country]" sourceCaption="Country" count="2">
          <ranges>
            <range startItem="0">
              <i n="[staff_data].[Country].&amp;[IND]" c="IND"/>
              <i n="[staff_data].[Country].&amp;[NZ]" c="NZ"/>
            </range>
          </ranges>
        </level>
      </levels>
      <selections count="1">
        <selection n="[staff_data].[Country].&amp;[I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7FEE116C-98A1-40D9-AB9C-9183341E58B6}"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4C24D6-B9F1-49C4-AD2E-A82564A44B42}" name="nz_staff" displayName="nz_staff" ref="C5:I106" totalsRowCount="1">
  <autoFilter ref="C5:I105" xr:uid="{1B4C24D6-B9F1-49C4-AD2E-A82564A44B42}"/>
  <tableColumns count="7">
    <tableColumn id="1" xr3:uid="{621DC0D1-6E49-4E20-B255-B784D41CDAD5}" name="Name" totalsRowLabel="Total"/>
    <tableColumn id="2" xr3:uid="{60610D88-7830-49D4-B5DE-857553D14F57}" name="Gender"/>
    <tableColumn id="3" xr3:uid="{D10D582C-C6F5-4450-8F87-2F6B8B9923A7}" name="Department"/>
    <tableColumn id="4" xr3:uid="{40412A1B-78C3-4A21-AF34-DF9F8AB6B2BA}" name="Age" totalsRowFunction="average"/>
    <tableColumn id="5" xr3:uid="{7FA539BF-EE7B-4861-9509-02B0D8506960}" name="Date Joined"/>
    <tableColumn id="6" xr3:uid="{5385E913-E15B-4393-B1A6-19E49A425B53}" name="Salary" totalsRowFunction="average" dataCellStyle="Currency"/>
    <tableColumn id="7" xr3:uid="{4813F6F1-EFF4-4BB9-A26E-EE0D2BE4143A}"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ACCB25-8537-4E31-A491-F337CD719364}" name="india_staff" displayName="india_staff" ref="B2:H114" totalsRowShown="0">
  <autoFilter ref="B2:H114" xr:uid="{ECACCB25-8537-4E31-A491-F337CD719364}"/>
  <tableColumns count="7">
    <tableColumn id="1" xr3:uid="{617D8491-61B4-40A7-A9A4-E6178CA452CD}" name="Name"/>
    <tableColumn id="2" xr3:uid="{2A18D8F6-DDFB-4565-BF4B-A44033655BA2}" name="Gender"/>
    <tableColumn id="3" xr3:uid="{74F4F927-E021-4092-BE7A-162EABB91786}" name="Age"/>
    <tableColumn id="4" xr3:uid="{A29F6A70-50EF-415F-9447-18A506056738}" name="Rating"/>
    <tableColumn id="5" xr3:uid="{78851548-2E12-4CD2-85BF-63C2E1ED13E8}" name="Date Joined" dataDxfId="20"/>
    <tableColumn id="6" xr3:uid="{D14176FD-3A9B-4F7C-BC76-8DF03D0D99F6}" name="Department"/>
    <tableColumn id="7" xr3:uid="{C48532D0-FB10-414C-B5DD-5EEFA886BD33}"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947E8A-0E84-429A-9231-621B0F796EF5}" name="staff_data" displayName="staff_data" ref="A1:K184" tableType="queryTable" totalsRowShown="0">
  <autoFilter ref="A1:K184" xr:uid="{86947E8A-0E84-429A-9231-621B0F796EF5}"/>
  <sortState xmlns:xlrd2="http://schemas.microsoft.com/office/spreadsheetml/2017/richdata2" ref="A6:J146">
    <sortCondition descending="1" ref="J1:J184"/>
  </sortState>
  <tableColumns count="11">
    <tableColumn id="1" xr3:uid="{3F16B1EC-86DC-4396-9946-65DCBA8A89FF}" uniqueName="1" name="Name" queryTableFieldId="1"/>
    <tableColumn id="2" xr3:uid="{ECFD8B13-5A75-410B-BD0C-2B9A1DF4C8B9}" uniqueName="2" name="Gender" queryTableFieldId="2"/>
    <tableColumn id="3" xr3:uid="{09EA1112-EA0C-48A7-9CCB-7925C913EADD}" uniqueName="3" name="Age" queryTableFieldId="3"/>
    <tableColumn id="4" xr3:uid="{329234A8-8810-4D0E-8E26-6AF0280CC324}" uniqueName="4" name="Rating" queryTableFieldId="4"/>
    <tableColumn id="5" xr3:uid="{A1771FEC-7F7D-4CCB-9FEE-7CBAB1105C49}" uniqueName="5" name="Date Joined" queryTableFieldId="5" dataDxfId="19"/>
    <tableColumn id="6" xr3:uid="{0829FE2C-42DF-4A1C-8986-66C346B590E8}" uniqueName="6" name="Department" queryTableFieldId="6"/>
    <tableColumn id="7" xr3:uid="{E1158F6B-7DC2-470C-B0D8-CE79D07E739F}" uniqueName="7" name="Salary" queryTableFieldId="7" dataDxfId="18"/>
    <tableColumn id="8" xr3:uid="{671C1B2A-CEA1-4868-B16F-CE041C79C0AD}" uniqueName="8" name="Country" queryTableFieldId="8"/>
    <tableColumn id="9" xr3:uid="{FA37DA51-F2A3-40B2-ABFD-3AA75A9C429A}" uniqueName="9" name="Tenure" queryTableFieldId="9" dataDxfId="17">
      <calculatedColumnFormula>(TODAY()-staff_data[[#This Row],[Date Joined]])/365</calculatedColumnFormula>
    </tableColumn>
    <tableColumn id="10" xr3:uid="{C17DFFDA-D0E8-4517-A751-A8CE9250974E}" uniqueName="10" name="Bonus" queryTableFieldId="10" dataDxfId="16" dataCellStyle="Currency">
      <calculatedColumnFormula>ROUNDUP(IF(staff_data[[#This Row],[Tenure]]&gt;2.5,3%,2%)*staff_data[[#This Row],[Salary]],0)</calculatedColumnFormula>
    </tableColumn>
    <tableColumn id="11" xr3:uid="{BB782B92-341B-4B8F-8F04-EEB452CD2DA5}" uniqueName="11" name="Rating as num" queryTableFieldId="11" dataDxfId="15" dataCellStyle="Currency">
      <calculatedColumnFormula>_xlfn.XLOOKUP(staff_data[[#This Row],[Rating]],'Salary vs Rating'!$B$12:$B$16,'Salary vs Rating'!$C$12:$C$16)</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AB1C7DE-C72A-4A2C-BD98-5B7EC05A583A}" name="dept" displayName="dept" ref="T2:V185" totalsRowShown="0" dataDxfId="14" tableBorderDxfId="13">
  <autoFilter ref="T2:V185" xr:uid="{AAB1C7DE-C72A-4A2C-BD98-5B7EC05A583A}"/>
  <tableColumns count="3">
    <tableColumn id="1" xr3:uid="{032F919E-86AD-4B9E-9AAE-FE151544E0F7}" name="Name" dataDxfId="12"/>
    <tableColumn id="2" xr3:uid="{3B091A5B-2D4E-414D-9C2D-79C22076294A}" name="Salary" dataDxfId="11"/>
    <tableColumn id="5" xr3:uid="{BA0C287B-2E2F-4D7E-A916-4F98EB84EBE2}" name="Rating"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B94" zoomScale="110" zoomScaleNormal="110" workbookViewId="0">
      <selection activeCell="O10" sqref="O10"/>
    </sheetView>
  </sheetViews>
  <sheetFormatPr defaultRowHeight="14.4" x14ac:dyDescent="0.3"/>
  <cols>
    <col min="1" max="1" width="1.6640625" customWidth="1"/>
    <col min="2" max="2" width="3.6640625" customWidth="1"/>
    <col min="3" max="3" width="23" customWidth="1"/>
    <col min="4" max="4" width="9" customWidth="1"/>
    <col min="5" max="5" width="13" customWidth="1"/>
    <col min="7" max="7" width="15.109375" customWidth="1"/>
    <col min="8" max="8" width="12.21875" bestFit="1" customWidth="1"/>
    <col min="9" max="9" width="13.44140625" bestFit="1" customWidth="1"/>
  </cols>
  <sheetData>
    <row r="1" spans="1:9" s="2" customFormat="1" ht="52.5" customHeight="1" x14ac:dyDescent="0.3">
      <c r="A1" s="1"/>
      <c r="C1" s="3" t="s">
        <v>254</v>
      </c>
    </row>
    <row r="5" spans="1:9" x14ac:dyDescent="0.3">
      <c r="C5" t="s">
        <v>0</v>
      </c>
      <c r="D5" t="s">
        <v>1</v>
      </c>
      <c r="E5" t="s">
        <v>2</v>
      </c>
      <c r="F5" t="s">
        <v>3</v>
      </c>
      <c r="G5" s="4" t="s">
        <v>4</v>
      </c>
      <c r="H5" t="s">
        <v>5</v>
      </c>
      <c r="I5" t="s">
        <v>6</v>
      </c>
    </row>
    <row r="6" spans="1:9" x14ac:dyDescent="0.3">
      <c r="C6" t="s">
        <v>58</v>
      </c>
      <c r="D6" t="s">
        <v>15</v>
      </c>
      <c r="E6" t="s">
        <v>19</v>
      </c>
      <c r="F6">
        <v>22</v>
      </c>
      <c r="G6" s="4">
        <v>44446</v>
      </c>
      <c r="H6" s="5">
        <v>112780</v>
      </c>
      <c r="I6" t="s">
        <v>13</v>
      </c>
    </row>
    <row r="7" spans="1:9" x14ac:dyDescent="0.3">
      <c r="C7" t="s">
        <v>70</v>
      </c>
      <c r="D7" t="s">
        <v>15</v>
      </c>
      <c r="E7" t="s">
        <v>9</v>
      </c>
      <c r="F7">
        <v>46</v>
      </c>
      <c r="G7" s="4">
        <v>44758</v>
      </c>
      <c r="H7" s="5">
        <v>70610</v>
      </c>
      <c r="I7" t="s">
        <v>16</v>
      </c>
    </row>
    <row r="8" spans="1:9" x14ac:dyDescent="0.3">
      <c r="C8" t="s">
        <v>75</v>
      </c>
      <c r="D8" t="s">
        <v>8</v>
      </c>
      <c r="E8" t="s">
        <v>19</v>
      </c>
      <c r="F8">
        <v>28</v>
      </c>
      <c r="G8" s="4">
        <v>44357</v>
      </c>
      <c r="H8" s="5">
        <v>53240</v>
      </c>
      <c r="I8" t="s">
        <v>16</v>
      </c>
    </row>
    <row r="9" spans="1:9" x14ac:dyDescent="0.3">
      <c r="C9" t="s">
        <v>49</v>
      </c>
      <c r="E9" t="s">
        <v>21</v>
      </c>
      <c r="F9">
        <v>37</v>
      </c>
      <c r="G9" s="4">
        <v>44146</v>
      </c>
      <c r="H9" s="5">
        <v>115440</v>
      </c>
      <c r="I9" t="s">
        <v>24</v>
      </c>
    </row>
    <row r="10" spans="1:9" x14ac:dyDescent="0.3">
      <c r="C10" t="s">
        <v>65</v>
      </c>
      <c r="D10" t="s">
        <v>15</v>
      </c>
      <c r="E10" t="s">
        <v>19</v>
      </c>
      <c r="F10">
        <v>32</v>
      </c>
      <c r="G10" s="4">
        <v>44465</v>
      </c>
      <c r="H10" s="5">
        <v>53540</v>
      </c>
      <c r="I10" t="s">
        <v>16</v>
      </c>
    </row>
    <row r="11" spans="1:9" x14ac:dyDescent="0.3">
      <c r="C11" t="s">
        <v>81</v>
      </c>
      <c r="D11" t="s">
        <v>8</v>
      </c>
      <c r="E11" t="s">
        <v>9</v>
      </c>
      <c r="F11">
        <v>30</v>
      </c>
      <c r="G11" s="4">
        <v>44861</v>
      </c>
      <c r="H11" s="5">
        <v>112570</v>
      </c>
      <c r="I11" t="s">
        <v>16</v>
      </c>
    </row>
    <row r="12" spans="1:9" x14ac:dyDescent="0.3">
      <c r="C12" t="s">
        <v>51</v>
      </c>
      <c r="D12" t="s">
        <v>15</v>
      </c>
      <c r="E12" t="s">
        <v>9</v>
      </c>
      <c r="F12">
        <v>33</v>
      </c>
      <c r="G12" s="4">
        <v>44701</v>
      </c>
      <c r="H12" s="5">
        <v>48530</v>
      </c>
      <c r="I12" t="s">
        <v>13</v>
      </c>
    </row>
    <row r="13" spans="1:9" x14ac:dyDescent="0.3">
      <c r="C13" t="s">
        <v>61</v>
      </c>
      <c r="D13" t="s">
        <v>8</v>
      </c>
      <c r="E13" t="s">
        <v>12</v>
      </c>
      <c r="F13">
        <v>24</v>
      </c>
      <c r="G13" s="4">
        <v>44148</v>
      </c>
      <c r="H13" s="5">
        <v>62780</v>
      </c>
      <c r="I13" t="s">
        <v>16</v>
      </c>
    </row>
    <row r="14" spans="1:9" x14ac:dyDescent="0.3">
      <c r="C14" t="s">
        <v>82</v>
      </c>
      <c r="D14" t="s">
        <v>15</v>
      </c>
      <c r="E14" t="s">
        <v>12</v>
      </c>
      <c r="F14">
        <v>33</v>
      </c>
      <c r="G14" s="4">
        <v>44509</v>
      </c>
      <c r="H14" s="5">
        <v>53870</v>
      </c>
      <c r="I14" t="s">
        <v>16</v>
      </c>
    </row>
    <row r="15" spans="1:9" x14ac:dyDescent="0.3">
      <c r="C15" t="s">
        <v>60</v>
      </c>
      <c r="D15" t="s">
        <v>8</v>
      </c>
      <c r="E15" t="s">
        <v>56</v>
      </c>
      <c r="F15">
        <v>27</v>
      </c>
      <c r="G15" s="4">
        <v>44122</v>
      </c>
      <c r="H15" s="5">
        <v>119110</v>
      </c>
      <c r="I15" t="s">
        <v>16</v>
      </c>
    </row>
    <row r="16" spans="1:9" x14ac:dyDescent="0.3">
      <c r="C16" t="s">
        <v>87</v>
      </c>
      <c r="D16" t="s">
        <v>15</v>
      </c>
      <c r="E16" t="s">
        <v>12</v>
      </c>
      <c r="F16">
        <v>29</v>
      </c>
      <c r="G16" s="4">
        <v>44180</v>
      </c>
      <c r="H16" s="5">
        <v>112110</v>
      </c>
      <c r="I16" t="s">
        <v>24</v>
      </c>
    </row>
    <row r="17" spans="3:9" x14ac:dyDescent="0.3">
      <c r="C17" t="s">
        <v>76</v>
      </c>
      <c r="D17" t="s">
        <v>15</v>
      </c>
      <c r="E17" t="s">
        <v>19</v>
      </c>
      <c r="F17">
        <v>25</v>
      </c>
      <c r="G17" s="4">
        <v>44383</v>
      </c>
      <c r="H17" s="5">
        <v>65700</v>
      </c>
      <c r="I17" t="s">
        <v>16</v>
      </c>
    </row>
    <row r="18" spans="3:9" x14ac:dyDescent="0.3">
      <c r="C18" t="s">
        <v>97</v>
      </c>
      <c r="D18" t="s">
        <v>15</v>
      </c>
      <c r="E18" t="s">
        <v>12</v>
      </c>
      <c r="F18">
        <v>37</v>
      </c>
      <c r="G18" s="4">
        <v>44701</v>
      </c>
      <c r="H18" s="5">
        <v>69070</v>
      </c>
      <c r="I18" t="s">
        <v>16</v>
      </c>
    </row>
    <row r="19" spans="3:9" x14ac:dyDescent="0.3">
      <c r="C19" t="s">
        <v>22</v>
      </c>
      <c r="D19" t="s">
        <v>15</v>
      </c>
      <c r="E19" t="s">
        <v>12</v>
      </c>
      <c r="F19">
        <v>20</v>
      </c>
      <c r="G19" s="4">
        <v>44459</v>
      </c>
      <c r="H19" s="5">
        <v>107700</v>
      </c>
      <c r="I19" t="s">
        <v>16</v>
      </c>
    </row>
    <row r="20" spans="3:9" x14ac:dyDescent="0.3">
      <c r="C20" t="s">
        <v>84</v>
      </c>
      <c r="D20" t="s">
        <v>8</v>
      </c>
      <c r="E20" t="s">
        <v>12</v>
      </c>
      <c r="F20">
        <v>32</v>
      </c>
      <c r="G20" s="4">
        <v>44354</v>
      </c>
      <c r="H20" s="5">
        <v>43840</v>
      </c>
      <c r="I20" t="s">
        <v>13</v>
      </c>
    </row>
    <row r="21" spans="3:9" x14ac:dyDescent="0.3">
      <c r="C21" t="s">
        <v>105</v>
      </c>
      <c r="D21" t="s">
        <v>15</v>
      </c>
      <c r="E21" t="s">
        <v>9</v>
      </c>
      <c r="F21">
        <v>40</v>
      </c>
      <c r="G21" s="4">
        <v>44263</v>
      </c>
      <c r="H21" s="5">
        <v>99750</v>
      </c>
      <c r="I21" t="s">
        <v>16</v>
      </c>
    </row>
    <row r="22" spans="3:9" x14ac:dyDescent="0.3">
      <c r="C22" t="s">
        <v>47</v>
      </c>
      <c r="D22" t="s">
        <v>15</v>
      </c>
      <c r="E22" t="s">
        <v>9</v>
      </c>
      <c r="F22">
        <v>21</v>
      </c>
      <c r="G22" s="4">
        <v>44104</v>
      </c>
      <c r="H22" s="5">
        <v>37920</v>
      </c>
      <c r="I22" t="s">
        <v>16</v>
      </c>
    </row>
    <row r="23" spans="3:9" x14ac:dyDescent="0.3">
      <c r="C23" t="s">
        <v>31</v>
      </c>
      <c r="D23" t="s">
        <v>15</v>
      </c>
      <c r="E23" t="s">
        <v>9</v>
      </c>
      <c r="F23">
        <v>21</v>
      </c>
      <c r="G23" s="4">
        <v>44762</v>
      </c>
      <c r="H23" s="5">
        <v>57090</v>
      </c>
      <c r="I23" t="s">
        <v>16</v>
      </c>
    </row>
    <row r="24" spans="3:9" x14ac:dyDescent="0.3">
      <c r="C24" t="s">
        <v>30</v>
      </c>
      <c r="D24" t="s">
        <v>8</v>
      </c>
      <c r="E24" t="s">
        <v>12</v>
      </c>
      <c r="F24">
        <v>31</v>
      </c>
      <c r="G24" s="4">
        <v>44145</v>
      </c>
      <c r="H24" s="5">
        <v>41980</v>
      </c>
      <c r="I24" t="s">
        <v>16</v>
      </c>
    </row>
    <row r="25" spans="3:9" x14ac:dyDescent="0.3">
      <c r="C25" t="s">
        <v>78</v>
      </c>
      <c r="D25" t="s">
        <v>15</v>
      </c>
      <c r="E25" t="s">
        <v>56</v>
      </c>
      <c r="F25">
        <v>21</v>
      </c>
      <c r="G25" s="4">
        <v>44242</v>
      </c>
      <c r="H25" s="5">
        <v>75880</v>
      </c>
      <c r="I25" t="s">
        <v>16</v>
      </c>
    </row>
    <row r="26" spans="3:9" x14ac:dyDescent="0.3">
      <c r="C26" t="s">
        <v>36</v>
      </c>
      <c r="D26" t="s">
        <v>8</v>
      </c>
      <c r="E26" t="s">
        <v>21</v>
      </c>
      <c r="F26">
        <v>34</v>
      </c>
      <c r="G26" s="4">
        <v>44653</v>
      </c>
      <c r="H26" s="5">
        <v>58940</v>
      </c>
      <c r="I26" t="s">
        <v>16</v>
      </c>
    </row>
    <row r="27" spans="3:9" x14ac:dyDescent="0.3">
      <c r="C27" t="s">
        <v>27</v>
      </c>
      <c r="D27" t="s">
        <v>8</v>
      </c>
      <c r="E27" t="s">
        <v>21</v>
      </c>
      <c r="F27">
        <v>30</v>
      </c>
      <c r="G27" s="4">
        <v>44389</v>
      </c>
      <c r="H27" s="5">
        <v>67910</v>
      </c>
      <c r="I27" t="s">
        <v>24</v>
      </c>
    </row>
    <row r="28" spans="3:9" x14ac:dyDescent="0.3">
      <c r="C28" t="s">
        <v>26</v>
      </c>
      <c r="D28" t="s">
        <v>8</v>
      </c>
      <c r="E28" t="s">
        <v>12</v>
      </c>
      <c r="F28">
        <v>31</v>
      </c>
      <c r="G28" s="4">
        <v>44663</v>
      </c>
      <c r="H28" s="5">
        <v>58100</v>
      </c>
      <c r="I28" t="s">
        <v>16</v>
      </c>
    </row>
    <row r="29" spans="3:9" x14ac:dyDescent="0.3">
      <c r="C29" t="s">
        <v>53</v>
      </c>
      <c r="D29" t="s">
        <v>15</v>
      </c>
      <c r="E29" t="s">
        <v>21</v>
      </c>
      <c r="F29">
        <v>27</v>
      </c>
      <c r="G29" s="4">
        <v>44567</v>
      </c>
      <c r="H29" s="5">
        <v>48980</v>
      </c>
      <c r="I29" t="s">
        <v>16</v>
      </c>
    </row>
    <row r="30" spans="3:9" x14ac:dyDescent="0.3">
      <c r="C30" t="s">
        <v>20</v>
      </c>
      <c r="E30" t="s">
        <v>21</v>
      </c>
      <c r="F30">
        <v>30</v>
      </c>
      <c r="G30" s="4">
        <v>44597</v>
      </c>
      <c r="H30" s="5">
        <v>64000</v>
      </c>
      <c r="I30" t="s">
        <v>16</v>
      </c>
    </row>
    <row r="31" spans="3:9" x14ac:dyDescent="0.3">
      <c r="C31" t="s">
        <v>7</v>
      </c>
      <c r="D31" t="s">
        <v>8</v>
      </c>
      <c r="E31" t="s">
        <v>9</v>
      </c>
      <c r="F31">
        <v>42</v>
      </c>
      <c r="G31" s="4">
        <v>44779</v>
      </c>
      <c r="H31" s="5">
        <v>75000</v>
      </c>
      <c r="I31" t="s">
        <v>10</v>
      </c>
    </row>
    <row r="32" spans="3:9" x14ac:dyDescent="0.3">
      <c r="C32" t="s">
        <v>74</v>
      </c>
      <c r="D32" t="s">
        <v>8</v>
      </c>
      <c r="E32" t="s">
        <v>12</v>
      </c>
      <c r="F32">
        <v>40</v>
      </c>
      <c r="G32" s="4">
        <v>44337</v>
      </c>
      <c r="H32" s="5">
        <v>87620</v>
      </c>
      <c r="I32" t="s">
        <v>16</v>
      </c>
    </row>
    <row r="33" spans="3:9" x14ac:dyDescent="0.3">
      <c r="C33" t="s">
        <v>44</v>
      </c>
      <c r="D33" t="s">
        <v>8</v>
      </c>
      <c r="E33" t="s">
        <v>12</v>
      </c>
      <c r="F33">
        <v>29</v>
      </c>
      <c r="G33" s="4">
        <v>44023</v>
      </c>
      <c r="H33" s="5">
        <v>34980</v>
      </c>
      <c r="I33" t="s">
        <v>16</v>
      </c>
    </row>
    <row r="34" spans="3:9" x14ac:dyDescent="0.3">
      <c r="C34" t="s">
        <v>35</v>
      </c>
      <c r="D34" t="s">
        <v>8</v>
      </c>
      <c r="E34" t="s">
        <v>21</v>
      </c>
      <c r="F34">
        <v>28</v>
      </c>
      <c r="G34" s="4">
        <v>44185</v>
      </c>
      <c r="H34" s="5">
        <v>75970</v>
      </c>
      <c r="I34" t="s">
        <v>16</v>
      </c>
    </row>
    <row r="35" spans="3:9" x14ac:dyDescent="0.3">
      <c r="C35" t="s">
        <v>38</v>
      </c>
      <c r="D35" t="s">
        <v>8</v>
      </c>
      <c r="E35" t="s">
        <v>21</v>
      </c>
      <c r="F35">
        <v>34</v>
      </c>
      <c r="G35" s="4">
        <v>44612</v>
      </c>
      <c r="H35" s="5">
        <v>60130</v>
      </c>
      <c r="I35" t="s">
        <v>16</v>
      </c>
    </row>
    <row r="36" spans="3:9" x14ac:dyDescent="0.3">
      <c r="C36" t="s">
        <v>41</v>
      </c>
      <c r="D36" t="s">
        <v>8</v>
      </c>
      <c r="E36" t="s">
        <v>12</v>
      </c>
      <c r="F36">
        <v>33</v>
      </c>
      <c r="G36" s="4">
        <v>44374</v>
      </c>
      <c r="H36" s="5">
        <v>75480</v>
      </c>
      <c r="I36" t="s">
        <v>42</v>
      </c>
    </row>
    <row r="37" spans="3:9" x14ac:dyDescent="0.3">
      <c r="C37" t="s">
        <v>40</v>
      </c>
      <c r="D37" t="s">
        <v>15</v>
      </c>
      <c r="E37" t="s">
        <v>9</v>
      </c>
      <c r="F37">
        <v>33</v>
      </c>
      <c r="G37" s="4">
        <v>44164</v>
      </c>
      <c r="H37" s="5">
        <v>115920</v>
      </c>
      <c r="I37" t="s">
        <v>16</v>
      </c>
    </row>
    <row r="38" spans="3:9" x14ac:dyDescent="0.3">
      <c r="C38" t="s">
        <v>48</v>
      </c>
      <c r="D38" t="s">
        <v>8</v>
      </c>
      <c r="E38" t="s">
        <v>19</v>
      </c>
      <c r="F38">
        <v>36</v>
      </c>
      <c r="G38" s="4">
        <v>44494</v>
      </c>
      <c r="H38" s="5">
        <v>78540</v>
      </c>
      <c r="I38" t="s">
        <v>16</v>
      </c>
    </row>
    <row r="39" spans="3:9" x14ac:dyDescent="0.3">
      <c r="C39" t="s">
        <v>34</v>
      </c>
      <c r="D39" t="s">
        <v>15</v>
      </c>
      <c r="E39" t="s">
        <v>9</v>
      </c>
      <c r="F39">
        <v>25</v>
      </c>
      <c r="G39" s="4">
        <v>44726</v>
      </c>
      <c r="H39" s="5">
        <v>109190</v>
      </c>
      <c r="I39" t="s">
        <v>13</v>
      </c>
    </row>
    <row r="40" spans="3:9" x14ac:dyDescent="0.3">
      <c r="C40" t="s">
        <v>73</v>
      </c>
      <c r="D40" t="s">
        <v>8</v>
      </c>
      <c r="E40" t="s">
        <v>19</v>
      </c>
      <c r="F40">
        <v>34</v>
      </c>
      <c r="G40" s="4">
        <v>44721</v>
      </c>
      <c r="H40" s="5">
        <v>49630</v>
      </c>
      <c r="I40" t="s">
        <v>24</v>
      </c>
    </row>
    <row r="41" spans="3:9" x14ac:dyDescent="0.3">
      <c r="C41" t="s">
        <v>107</v>
      </c>
      <c r="D41" t="s">
        <v>8</v>
      </c>
      <c r="E41" t="s">
        <v>9</v>
      </c>
      <c r="F41">
        <v>28</v>
      </c>
      <c r="G41" s="4">
        <v>44630</v>
      </c>
      <c r="H41" s="5">
        <v>99970</v>
      </c>
      <c r="I41" t="s">
        <v>16</v>
      </c>
    </row>
    <row r="42" spans="3:9" x14ac:dyDescent="0.3">
      <c r="C42" t="s">
        <v>71</v>
      </c>
      <c r="D42" t="s">
        <v>8</v>
      </c>
      <c r="E42" t="s">
        <v>12</v>
      </c>
      <c r="F42">
        <v>33</v>
      </c>
      <c r="G42" s="4">
        <v>44190</v>
      </c>
      <c r="H42" s="5">
        <v>96140</v>
      </c>
      <c r="I42" t="s">
        <v>16</v>
      </c>
    </row>
    <row r="43" spans="3:9" x14ac:dyDescent="0.3">
      <c r="C43" t="s">
        <v>50</v>
      </c>
      <c r="D43" t="s">
        <v>15</v>
      </c>
      <c r="E43" t="s">
        <v>9</v>
      </c>
      <c r="F43">
        <v>31</v>
      </c>
      <c r="G43" s="4">
        <v>44724</v>
      </c>
      <c r="H43" s="5">
        <v>103550</v>
      </c>
      <c r="I43" t="s">
        <v>16</v>
      </c>
    </row>
    <row r="44" spans="3:9" x14ac:dyDescent="0.3">
      <c r="C44" t="s">
        <v>14</v>
      </c>
      <c r="D44" t="s">
        <v>15</v>
      </c>
      <c r="E44" t="s">
        <v>12</v>
      </c>
      <c r="F44">
        <v>31</v>
      </c>
      <c r="G44" s="4">
        <v>44511</v>
      </c>
      <c r="H44" s="5">
        <v>48950</v>
      </c>
      <c r="I44" t="s">
        <v>16</v>
      </c>
    </row>
    <row r="45" spans="3:9" x14ac:dyDescent="0.3">
      <c r="C45" t="s">
        <v>63</v>
      </c>
      <c r="D45" t="s">
        <v>15</v>
      </c>
      <c r="E45" t="s">
        <v>21</v>
      </c>
      <c r="F45">
        <v>24</v>
      </c>
      <c r="G45" s="4">
        <v>44436</v>
      </c>
      <c r="H45" s="5">
        <v>52610</v>
      </c>
      <c r="I45" t="s">
        <v>24</v>
      </c>
    </row>
    <row r="46" spans="3:9" x14ac:dyDescent="0.3">
      <c r="C46" t="s">
        <v>72</v>
      </c>
      <c r="D46" t="s">
        <v>8</v>
      </c>
      <c r="E46" t="s">
        <v>9</v>
      </c>
      <c r="F46">
        <v>36</v>
      </c>
      <c r="G46" s="4">
        <v>44529</v>
      </c>
      <c r="H46" s="5">
        <v>78390</v>
      </c>
      <c r="I46" t="s">
        <v>16</v>
      </c>
    </row>
    <row r="47" spans="3:9" x14ac:dyDescent="0.3">
      <c r="C47" t="s">
        <v>88</v>
      </c>
      <c r="D47" t="s">
        <v>8</v>
      </c>
      <c r="E47" t="s">
        <v>21</v>
      </c>
      <c r="F47">
        <v>33</v>
      </c>
      <c r="G47" s="4">
        <v>44809</v>
      </c>
      <c r="H47" s="5">
        <v>86570</v>
      </c>
      <c r="I47" t="s">
        <v>16</v>
      </c>
    </row>
    <row r="48" spans="3:9" x14ac:dyDescent="0.3">
      <c r="C48" t="s">
        <v>92</v>
      </c>
      <c r="D48" t="s">
        <v>8</v>
      </c>
      <c r="E48" t="s">
        <v>12</v>
      </c>
      <c r="F48">
        <v>27</v>
      </c>
      <c r="G48" s="4">
        <v>44686</v>
      </c>
      <c r="H48" s="5">
        <v>83750</v>
      </c>
      <c r="I48" t="s">
        <v>16</v>
      </c>
    </row>
    <row r="49" spans="3:9" x14ac:dyDescent="0.3">
      <c r="C49" t="s">
        <v>102</v>
      </c>
      <c r="D49" t="s">
        <v>8</v>
      </c>
      <c r="E49" t="s">
        <v>21</v>
      </c>
      <c r="F49">
        <v>34</v>
      </c>
      <c r="G49" s="4">
        <v>44445</v>
      </c>
      <c r="H49" s="5">
        <v>92450</v>
      </c>
      <c r="I49" t="s">
        <v>16</v>
      </c>
    </row>
    <row r="50" spans="3:9" x14ac:dyDescent="0.3">
      <c r="C50" t="s">
        <v>64</v>
      </c>
      <c r="D50" t="s">
        <v>15</v>
      </c>
      <c r="E50" t="s">
        <v>12</v>
      </c>
      <c r="F50">
        <v>20</v>
      </c>
      <c r="G50" s="4">
        <v>44183</v>
      </c>
      <c r="H50" s="5">
        <v>112650</v>
      </c>
      <c r="I50" t="s">
        <v>16</v>
      </c>
    </row>
    <row r="51" spans="3:9" x14ac:dyDescent="0.3">
      <c r="C51" t="s">
        <v>104</v>
      </c>
      <c r="D51" t="s">
        <v>15</v>
      </c>
      <c r="E51" t="s">
        <v>9</v>
      </c>
      <c r="F51">
        <v>20</v>
      </c>
      <c r="G51" s="4">
        <v>44744</v>
      </c>
      <c r="H51" s="5">
        <v>79570</v>
      </c>
      <c r="I51" t="s">
        <v>16</v>
      </c>
    </row>
    <row r="52" spans="3:9" x14ac:dyDescent="0.3">
      <c r="C52" t="s">
        <v>91</v>
      </c>
      <c r="D52" t="s">
        <v>8</v>
      </c>
      <c r="E52" t="s">
        <v>19</v>
      </c>
      <c r="F52">
        <v>20</v>
      </c>
      <c r="G52" s="4">
        <v>44537</v>
      </c>
      <c r="H52" s="5">
        <v>68900</v>
      </c>
      <c r="I52" t="s">
        <v>24</v>
      </c>
    </row>
    <row r="53" spans="3:9" x14ac:dyDescent="0.3">
      <c r="C53" t="s">
        <v>39</v>
      </c>
      <c r="D53" t="s">
        <v>8</v>
      </c>
      <c r="E53" t="s">
        <v>12</v>
      </c>
      <c r="F53">
        <v>25</v>
      </c>
      <c r="G53" s="4">
        <v>44694</v>
      </c>
      <c r="H53" s="5">
        <v>80700</v>
      </c>
      <c r="I53" t="s">
        <v>13</v>
      </c>
    </row>
    <row r="54" spans="3:9" x14ac:dyDescent="0.3">
      <c r="C54" t="s">
        <v>100</v>
      </c>
      <c r="D54" t="s">
        <v>15</v>
      </c>
      <c r="E54" t="s">
        <v>9</v>
      </c>
      <c r="F54">
        <v>19</v>
      </c>
      <c r="G54" s="4">
        <v>44277</v>
      </c>
      <c r="H54" s="5">
        <v>58960</v>
      </c>
      <c r="I54" t="s">
        <v>16</v>
      </c>
    </row>
    <row r="55" spans="3:9" x14ac:dyDescent="0.3">
      <c r="C55" t="s">
        <v>106</v>
      </c>
      <c r="D55" t="s">
        <v>15</v>
      </c>
      <c r="E55" t="s">
        <v>12</v>
      </c>
      <c r="F55">
        <v>36</v>
      </c>
      <c r="G55" s="4">
        <v>44019</v>
      </c>
      <c r="H55" s="5">
        <v>118840</v>
      </c>
      <c r="I55" t="s">
        <v>16</v>
      </c>
    </row>
    <row r="56" spans="3:9" x14ac:dyDescent="0.3">
      <c r="C56" t="s">
        <v>29</v>
      </c>
      <c r="D56" t="s">
        <v>15</v>
      </c>
      <c r="E56" t="s">
        <v>21</v>
      </c>
      <c r="F56">
        <v>28</v>
      </c>
      <c r="G56" s="4">
        <v>44041</v>
      </c>
      <c r="H56" s="5">
        <v>48170</v>
      </c>
      <c r="I56" t="s">
        <v>13</v>
      </c>
    </row>
    <row r="57" spans="3:9" x14ac:dyDescent="0.3">
      <c r="C57" t="s">
        <v>108</v>
      </c>
      <c r="D57" t="s">
        <v>8</v>
      </c>
      <c r="E57" t="s">
        <v>56</v>
      </c>
      <c r="F57">
        <v>32</v>
      </c>
      <c r="G57" s="4">
        <v>44400</v>
      </c>
      <c r="H57" s="5">
        <v>45510</v>
      </c>
      <c r="I57" t="s">
        <v>16</v>
      </c>
    </row>
    <row r="58" spans="3:9" x14ac:dyDescent="0.3">
      <c r="C58" t="s">
        <v>64</v>
      </c>
      <c r="D58" t="s">
        <v>15</v>
      </c>
      <c r="E58" t="s">
        <v>9</v>
      </c>
      <c r="F58">
        <v>34</v>
      </c>
      <c r="G58" s="4">
        <v>44703</v>
      </c>
      <c r="H58" s="5">
        <v>112650</v>
      </c>
      <c r="I58" t="s">
        <v>16</v>
      </c>
    </row>
    <row r="59" spans="3:9" x14ac:dyDescent="0.3">
      <c r="C59" t="s">
        <v>83</v>
      </c>
      <c r="D59" t="s">
        <v>8</v>
      </c>
      <c r="E59" t="s">
        <v>9</v>
      </c>
      <c r="F59">
        <v>36</v>
      </c>
      <c r="G59" s="4">
        <v>44085</v>
      </c>
      <c r="H59" s="5">
        <v>114890</v>
      </c>
      <c r="I59" t="s">
        <v>16</v>
      </c>
    </row>
    <row r="60" spans="3:9" x14ac:dyDescent="0.3">
      <c r="C60" t="s">
        <v>67</v>
      </c>
      <c r="D60" t="s">
        <v>15</v>
      </c>
      <c r="E60" t="s">
        <v>12</v>
      </c>
      <c r="F60">
        <v>30</v>
      </c>
      <c r="G60" s="4">
        <v>44850</v>
      </c>
      <c r="H60" s="5">
        <v>69710</v>
      </c>
      <c r="I60" t="s">
        <v>16</v>
      </c>
    </row>
    <row r="61" spans="3:9" x14ac:dyDescent="0.3">
      <c r="C61" t="s">
        <v>94</v>
      </c>
      <c r="D61" t="s">
        <v>15</v>
      </c>
      <c r="E61" t="s">
        <v>21</v>
      </c>
      <c r="F61">
        <v>36</v>
      </c>
      <c r="G61" s="4">
        <v>44333</v>
      </c>
      <c r="H61" s="5">
        <v>71380</v>
      </c>
      <c r="I61" t="s">
        <v>16</v>
      </c>
    </row>
    <row r="62" spans="3:9" x14ac:dyDescent="0.3">
      <c r="C62" t="s">
        <v>33</v>
      </c>
      <c r="D62" t="s">
        <v>8</v>
      </c>
      <c r="E62" t="s">
        <v>19</v>
      </c>
      <c r="F62">
        <v>38</v>
      </c>
      <c r="G62" s="4">
        <v>44377</v>
      </c>
      <c r="H62" s="5">
        <v>109160</v>
      </c>
      <c r="I62" t="s">
        <v>10</v>
      </c>
    </row>
    <row r="63" spans="3:9" x14ac:dyDescent="0.3">
      <c r="C63" t="s">
        <v>98</v>
      </c>
      <c r="D63" t="s">
        <v>15</v>
      </c>
      <c r="E63" t="s">
        <v>9</v>
      </c>
      <c r="F63">
        <v>27</v>
      </c>
      <c r="G63" s="4">
        <v>44609</v>
      </c>
      <c r="H63" s="5">
        <v>113280</v>
      </c>
      <c r="I63" t="s">
        <v>42</v>
      </c>
    </row>
    <row r="64" spans="3:9" x14ac:dyDescent="0.3">
      <c r="C64" t="s">
        <v>25</v>
      </c>
      <c r="D64" t="s">
        <v>15</v>
      </c>
      <c r="E64" t="s">
        <v>12</v>
      </c>
      <c r="F64">
        <v>30</v>
      </c>
      <c r="G64" s="4">
        <v>44273</v>
      </c>
      <c r="H64" s="5">
        <v>69120</v>
      </c>
      <c r="I64" t="s">
        <v>16</v>
      </c>
    </row>
    <row r="65" spans="3:9" x14ac:dyDescent="0.3">
      <c r="C65" t="s">
        <v>55</v>
      </c>
      <c r="D65" t="s">
        <v>8</v>
      </c>
      <c r="E65" t="s">
        <v>56</v>
      </c>
      <c r="F65">
        <v>37</v>
      </c>
      <c r="G65" s="4">
        <v>44451</v>
      </c>
      <c r="H65" s="5">
        <v>118100</v>
      </c>
      <c r="I65" t="s">
        <v>16</v>
      </c>
    </row>
    <row r="66" spans="3:9" x14ac:dyDescent="0.3">
      <c r="C66" t="s">
        <v>62</v>
      </c>
      <c r="D66" t="s">
        <v>8</v>
      </c>
      <c r="E66" t="s">
        <v>9</v>
      </c>
      <c r="F66">
        <v>22</v>
      </c>
      <c r="G66" s="4">
        <v>44450</v>
      </c>
      <c r="H66" s="5">
        <v>76900</v>
      </c>
      <c r="I66" t="s">
        <v>13</v>
      </c>
    </row>
    <row r="67" spans="3:9" x14ac:dyDescent="0.3">
      <c r="C67" t="s">
        <v>17</v>
      </c>
      <c r="D67" t="s">
        <v>8</v>
      </c>
      <c r="E67" t="s">
        <v>12</v>
      </c>
      <c r="F67">
        <v>43</v>
      </c>
      <c r="G67" s="4">
        <v>45045</v>
      </c>
      <c r="H67" s="5">
        <v>114870</v>
      </c>
      <c r="I67" t="s">
        <v>16</v>
      </c>
    </row>
    <row r="68" spans="3:9" x14ac:dyDescent="0.3">
      <c r="C68" t="s">
        <v>52</v>
      </c>
      <c r="E68" t="s">
        <v>12</v>
      </c>
      <c r="F68">
        <v>32</v>
      </c>
      <c r="G68" s="4">
        <v>44774</v>
      </c>
      <c r="H68" s="5">
        <v>91310</v>
      </c>
      <c r="I68" t="s">
        <v>16</v>
      </c>
    </row>
    <row r="69" spans="3:9" x14ac:dyDescent="0.3">
      <c r="C69" t="s">
        <v>43</v>
      </c>
      <c r="D69" t="s">
        <v>8</v>
      </c>
      <c r="E69" t="s">
        <v>9</v>
      </c>
      <c r="F69">
        <v>28</v>
      </c>
      <c r="G69" s="4">
        <v>44486</v>
      </c>
      <c r="H69" s="5">
        <v>104770</v>
      </c>
      <c r="I69" t="s">
        <v>16</v>
      </c>
    </row>
    <row r="70" spans="3:9" x14ac:dyDescent="0.3">
      <c r="C70" t="s">
        <v>89</v>
      </c>
      <c r="D70" t="s">
        <v>15</v>
      </c>
      <c r="E70" t="s">
        <v>19</v>
      </c>
      <c r="F70">
        <v>27</v>
      </c>
      <c r="G70" s="4">
        <v>44134</v>
      </c>
      <c r="H70" s="5">
        <v>54970</v>
      </c>
      <c r="I70" t="s">
        <v>16</v>
      </c>
    </row>
    <row r="71" spans="3:9" x14ac:dyDescent="0.3">
      <c r="C71" t="s">
        <v>11</v>
      </c>
      <c r="E71" t="s">
        <v>12</v>
      </c>
      <c r="F71">
        <v>26</v>
      </c>
      <c r="G71" s="4">
        <v>44271</v>
      </c>
      <c r="H71" s="5">
        <v>90700</v>
      </c>
      <c r="I71" t="s">
        <v>13</v>
      </c>
    </row>
    <row r="72" spans="3:9" x14ac:dyDescent="0.3">
      <c r="C72" t="s">
        <v>109</v>
      </c>
      <c r="D72" t="s">
        <v>8</v>
      </c>
      <c r="E72" t="s">
        <v>19</v>
      </c>
      <c r="F72">
        <v>38</v>
      </c>
      <c r="G72" s="4">
        <v>44329</v>
      </c>
      <c r="H72" s="5">
        <v>56870</v>
      </c>
      <c r="I72" t="s">
        <v>13</v>
      </c>
    </row>
    <row r="73" spans="3:9" x14ac:dyDescent="0.3">
      <c r="C73" t="s">
        <v>77</v>
      </c>
      <c r="D73" t="s">
        <v>8</v>
      </c>
      <c r="E73" t="s">
        <v>19</v>
      </c>
      <c r="F73">
        <v>25</v>
      </c>
      <c r="G73" s="4">
        <v>44205</v>
      </c>
      <c r="H73" s="5">
        <v>92700</v>
      </c>
      <c r="I73" t="s">
        <v>16</v>
      </c>
    </row>
    <row r="74" spans="3:9" x14ac:dyDescent="0.3">
      <c r="C74" t="s">
        <v>32</v>
      </c>
      <c r="D74" t="s">
        <v>8</v>
      </c>
      <c r="E74" t="s">
        <v>21</v>
      </c>
      <c r="F74">
        <v>21</v>
      </c>
      <c r="G74" s="4">
        <v>44317</v>
      </c>
      <c r="H74" s="5">
        <v>65920</v>
      </c>
      <c r="I74" t="s">
        <v>16</v>
      </c>
    </row>
    <row r="75" spans="3:9" x14ac:dyDescent="0.3">
      <c r="C75" t="s">
        <v>59</v>
      </c>
      <c r="D75" t="s">
        <v>15</v>
      </c>
      <c r="E75" t="s">
        <v>9</v>
      </c>
      <c r="F75">
        <v>26</v>
      </c>
      <c r="G75" s="4">
        <v>44225</v>
      </c>
      <c r="H75" s="5">
        <v>47360</v>
      </c>
      <c r="I75" t="s">
        <v>16</v>
      </c>
    </row>
    <row r="76" spans="3:9" x14ac:dyDescent="0.3">
      <c r="C76" t="s">
        <v>37</v>
      </c>
      <c r="D76" t="s">
        <v>15</v>
      </c>
      <c r="E76" t="s">
        <v>9</v>
      </c>
      <c r="F76">
        <v>30</v>
      </c>
      <c r="G76" s="4">
        <v>44666</v>
      </c>
      <c r="H76" s="5">
        <v>60570</v>
      </c>
      <c r="I76" t="s">
        <v>16</v>
      </c>
    </row>
    <row r="77" spans="3:9" x14ac:dyDescent="0.3">
      <c r="C77" t="s">
        <v>96</v>
      </c>
      <c r="D77" t="s">
        <v>8</v>
      </c>
      <c r="E77" t="s">
        <v>9</v>
      </c>
      <c r="F77">
        <v>28</v>
      </c>
      <c r="G77" s="4">
        <v>44649</v>
      </c>
      <c r="H77" s="5">
        <v>104120</v>
      </c>
      <c r="I77" t="s">
        <v>16</v>
      </c>
    </row>
    <row r="78" spans="3:9" x14ac:dyDescent="0.3">
      <c r="C78" t="s">
        <v>23</v>
      </c>
      <c r="D78" t="s">
        <v>15</v>
      </c>
      <c r="E78" t="s">
        <v>12</v>
      </c>
      <c r="F78">
        <v>37</v>
      </c>
      <c r="G78" s="4">
        <v>44338</v>
      </c>
      <c r="H78" s="5">
        <v>88050</v>
      </c>
      <c r="I78" t="s">
        <v>24</v>
      </c>
    </row>
    <row r="79" spans="3:9" x14ac:dyDescent="0.3">
      <c r="C79" t="s">
        <v>103</v>
      </c>
      <c r="D79" t="s">
        <v>15</v>
      </c>
      <c r="E79" t="s">
        <v>12</v>
      </c>
      <c r="F79">
        <v>24</v>
      </c>
      <c r="G79" s="4">
        <v>44686</v>
      </c>
      <c r="H79" s="5">
        <v>100420</v>
      </c>
      <c r="I79" t="s">
        <v>16</v>
      </c>
    </row>
    <row r="80" spans="3:9" x14ac:dyDescent="0.3">
      <c r="C80" t="s">
        <v>54</v>
      </c>
      <c r="D80" t="s">
        <v>8</v>
      </c>
      <c r="E80" t="s">
        <v>9</v>
      </c>
      <c r="F80">
        <v>30</v>
      </c>
      <c r="G80" s="4">
        <v>44850</v>
      </c>
      <c r="H80" s="5">
        <v>114180</v>
      </c>
      <c r="I80" t="s">
        <v>16</v>
      </c>
    </row>
    <row r="81" spans="3:9" x14ac:dyDescent="0.3">
      <c r="C81" t="s">
        <v>86</v>
      </c>
      <c r="D81" t="s">
        <v>8</v>
      </c>
      <c r="E81" t="s">
        <v>12</v>
      </c>
      <c r="F81">
        <v>21</v>
      </c>
      <c r="G81" s="4">
        <v>44678</v>
      </c>
      <c r="H81" s="5">
        <v>33920</v>
      </c>
      <c r="I81" t="s">
        <v>16</v>
      </c>
    </row>
    <row r="82" spans="3:9" x14ac:dyDescent="0.3">
      <c r="C82" t="s">
        <v>69</v>
      </c>
      <c r="D82" t="s">
        <v>15</v>
      </c>
      <c r="E82" t="s">
        <v>9</v>
      </c>
      <c r="F82">
        <v>23</v>
      </c>
      <c r="G82" s="4">
        <v>44440</v>
      </c>
      <c r="H82" s="5">
        <v>106460</v>
      </c>
      <c r="I82" t="s">
        <v>16</v>
      </c>
    </row>
    <row r="83" spans="3:9" x14ac:dyDescent="0.3">
      <c r="C83" t="s">
        <v>57</v>
      </c>
      <c r="D83" t="s">
        <v>15</v>
      </c>
      <c r="E83" t="s">
        <v>9</v>
      </c>
      <c r="F83">
        <v>35</v>
      </c>
      <c r="G83" s="4">
        <v>44727</v>
      </c>
      <c r="H83" s="5">
        <v>40400</v>
      </c>
      <c r="I83" t="s">
        <v>16</v>
      </c>
    </row>
    <row r="84" spans="3:9" x14ac:dyDescent="0.3">
      <c r="C84" t="s">
        <v>68</v>
      </c>
      <c r="D84" t="s">
        <v>15</v>
      </c>
      <c r="E84" t="s">
        <v>21</v>
      </c>
      <c r="F84">
        <v>27</v>
      </c>
      <c r="G84" s="4">
        <v>44236</v>
      </c>
      <c r="H84" s="5">
        <v>91650</v>
      </c>
      <c r="I84" t="s">
        <v>13</v>
      </c>
    </row>
    <row r="85" spans="3:9" x14ac:dyDescent="0.3">
      <c r="C85" t="s">
        <v>99</v>
      </c>
      <c r="D85" t="s">
        <v>15</v>
      </c>
      <c r="E85" t="s">
        <v>19</v>
      </c>
      <c r="F85">
        <v>43</v>
      </c>
      <c r="G85" s="4">
        <v>44620</v>
      </c>
      <c r="H85" s="5">
        <v>36040</v>
      </c>
      <c r="I85" t="s">
        <v>16</v>
      </c>
    </row>
    <row r="86" spans="3:9" x14ac:dyDescent="0.3">
      <c r="C86" t="s">
        <v>101</v>
      </c>
      <c r="D86" t="s">
        <v>8</v>
      </c>
      <c r="E86" t="s">
        <v>12</v>
      </c>
      <c r="F86">
        <v>40</v>
      </c>
      <c r="G86" s="4">
        <v>44381</v>
      </c>
      <c r="H86" s="5">
        <v>104410</v>
      </c>
      <c r="I86" t="s">
        <v>16</v>
      </c>
    </row>
    <row r="87" spans="3:9" x14ac:dyDescent="0.3">
      <c r="C87" t="s">
        <v>85</v>
      </c>
      <c r="D87" t="s">
        <v>15</v>
      </c>
      <c r="E87" t="s">
        <v>21</v>
      </c>
      <c r="F87">
        <v>30</v>
      </c>
      <c r="G87" s="4">
        <v>44606</v>
      </c>
      <c r="H87" s="5">
        <v>96800</v>
      </c>
      <c r="I87" t="s">
        <v>16</v>
      </c>
    </row>
    <row r="88" spans="3:9" x14ac:dyDescent="0.3">
      <c r="C88" t="s">
        <v>28</v>
      </c>
      <c r="D88" t="s">
        <v>8</v>
      </c>
      <c r="E88" t="s">
        <v>21</v>
      </c>
      <c r="F88">
        <v>34</v>
      </c>
      <c r="G88" s="4">
        <v>44459</v>
      </c>
      <c r="H88" s="5">
        <v>85000</v>
      </c>
      <c r="I88" t="s">
        <v>16</v>
      </c>
    </row>
    <row r="89" spans="3:9" x14ac:dyDescent="0.3">
      <c r="C89" t="s">
        <v>80</v>
      </c>
      <c r="D89" t="s">
        <v>15</v>
      </c>
      <c r="E89" t="s">
        <v>19</v>
      </c>
      <c r="F89">
        <v>28</v>
      </c>
      <c r="G89" s="4">
        <v>44820</v>
      </c>
      <c r="H89" s="5">
        <v>43510</v>
      </c>
      <c r="I89" t="s">
        <v>42</v>
      </c>
    </row>
    <row r="90" spans="3:9" x14ac:dyDescent="0.3">
      <c r="C90" t="s">
        <v>79</v>
      </c>
      <c r="D90" t="s">
        <v>15</v>
      </c>
      <c r="E90" t="s">
        <v>21</v>
      </c>
      <c r="F90">
        <v>33</v>
      </c>
      <c r="G90" s="4">
        <v>44243</v>
      </c>
      <c r="H90" s="5">
        <v>59430</v>
      </c>
      <c r="I90" t="s">
        <v>16</v>
      </c>
    </row>
    <row r="91" spans="3:9" x14ac:dyDescent="0.3">
      <c r="C91" t="s">
        <v>93</v>
      </c>
      <c r="D91" t="s">
        <v>8</v>
      </c>
      <c r="E91" t="s">
        <v>21</v>
      </c>
      <c r="F91">
        <v>33</v>
      </c>
      <c r="G91" s="4">
        <v>44067</v>
      </c>
      <c r="H91" s="5">
        <v>65360</v>
      </c>
      <c r="I91" t="s">
        <v>16</v>
      </c>
    </row>
    <row r="92" spans="3:9" x14ac:dyDescent="0.3">
      <c r="C92" t="s">
        <v>66</v>
      </c>
      <c r="D92" t="s">
        <v>8</v>
      </c>
      <c r="E92" t="s">
        <v>9</v>
      </c>
      <c r="F92">
        <v>32</v>
      </c>
      <c r="G92" s="4">
        <v>44611</v>
      </c>
      <c r="H92" s="5">
        <v>41570</v>
      </c>
      <c r="I92" t="s">
        <v>16</v>
      </c>
    </row>
    <row r="93" spans="3:9" x14ac:dyDescent="0.3">
      <c r="C93" t="s">
        <v>95</v>
      </c>
      <c r="D93" t="s">
        <v>8</v>
      </c>
      <c r="E93" t="s">
        <v>12</v>
      </c>
      <c r="F93">
        <v>33</v>
      </c>
      <c r="G93" s="4">
        <v>44312</v>
      </c>
      <c r="H93" s="5">
        <v>75280</v>
      </c>
      <c r="I93" t="s">
        <v>16</v>
      </c>
    </row>
    <row r="94" spans="3:9" x14ac:dyDescent="0.3">
      <c r="C94" t="s">
        <v>18</v>
      </c>
      <c r="D94" t="s">
        <v>15</v>
      </c>
      <c r="E94" t="s">
        <v>19</v>
      </c>
      <c r="F94">
        <v>33</v>
      </c>
      <c r="G94" s="4">
        <v>44385</v>
      </c>
      <c r="H94" s="5">
        <v>74550</v>
      </c>
      <c r="I94" t="s">
        <v>16</v>
      </c>
    </row>
    <row r="95" spans="3:9" x14ac:dyDescent="0.3">
      <c r="C95" t="s">
        <v>45</v>
      </c>
      <c r="D95" t="s">
        <v>15</v>
      </c>
      <c r="E95" t="s">
        <v>9</v>
      </c>
      <c r="F95">
        <v>30</v>
      </c>
      <c r="G95" s="4">
        <v>44701</v>
      </c>
      <c r="H95" s="5">
        <v>67950</v>
      </c>
      <c r="I95" t="s">
        <v>16</v>
      </c>
    </row>
    <row r="96" spans="3:9" x14ac:dyDescent="0.3">
      <c r="C96" t="s">
        <v>90</v>
      </c>
      <c r="D96" t="s">
        <v>15</v>
      </c>
      <c r="E96" t="s">
        <v>21</v>
      </c>
      <c r="F96">
        <v>42</v>
      </c>
      <c r="G96" s="4">
        <v>44731</v>
      </c>
      <c r="H96" s="5">
        <v>70270</v>
      </c>
      <c r="I96" t="s">
        <v>24</v>
      </c>
    </row>
    <row r="97" spans="3:9" x14ac:dyDescent="0.3">
      <c r="C97" t="s">
        <v>46</v>
      </c>
      <c r="D97" t="s">
        <v>15</v>
      </c>
      <c r="E97" t="s">
        <v>9</v>
      </c>
      <c r="F97">
        <v>26</v>
      </c>
      <c r="G97" s="4">
        <v>44411</v>
      </c>
      <c r="H97" s="5">
        <v>53540</v>
      </c>
      <c r="I97" t="s">
        <v>16</v>
      </c>
    </row>
    <row r="98" spans="3:9" x14ac:dyDescent="0.3">
      <c r="C98" t="s">
        <v>58</v>
      </c>
      <c r="D98" t="s">
        <v>15</v>
      </c>
      <c r="E98" t="s">
        <v>19</v>
      </c>
      <c r="F98">
        <v>22</v>
      </c>
      <c r="G98" s="7">
        <v>44446</v>
      </c>
      <c r="H98" s="5">
        <v>112780</v>
      </c>
      <c r="I98" t="s">
        <v>13</v>
      </c>
    </row>
    <row r="99" spans="3:9" x14ac:dyDescent="0.3">
      <c r="C99" t="s">
        <v>70</v>
      </c>
      <c r="D99" t="s">
        <v>15</v>
      </c>
      <c r="E99" t="s">
        <v>9</v>
      </c>
      <c r="F99">
        <v>46</v>
      </c>
      <c r="G99" s="7">
        <v>44758</v>
      </c>
      <c r="H99" s="5">
        <v>70610</v>
      </c>
      <c r="I99" t="s">
        <v>16</v>
      </c>
    </row>
    <row r="100" spans="3:9" x14ac:dyDescent="0.3">
      <c r="C100" t="s">
        <v>75</v>
      </c>
      <c r="D100" t="s">
        <v>8</v>
      </c>
      <c r="E100" t="s">
        <v>19</v>
      </c>
      <c r="F100">
        <v>28</v>
      </c>
      <c r="G100" s="7">
        <v>44357</v>
      </c>
      <c r="H100" s="5">
        <v>53240</v>
      </c>
      <c r="I100" t="s">
        <v>16</v>
      </c>
    </row>
    <row r="101" spans="3:9" x14ac:dyDescent="0.3">
      <c r="C101" t="s">
        <v>49</v>
      </c>
      <c r="E101" t="s">
        <v>21</v>
      </c>
      <c r="F101">
        <v>37</v>
      </c>
      <c r="G101" s="7">
        <v>44146</v>
      </c>
      <c r="H101" s="5">
        <v>115440</v>
      </c>
      <c r="I101" t="s">
        <v>24</v>
      </c>
    </row>
    <row r="102" spans="3:9" x14ac:dyDescent="0.3">
      <c r="C102" t="s">
        <v>65</v>
      </c>
      <c r="D102" t="s">
        <v>15</v>
      </c>
      <c r="E102" t="s">
        <v>19</v>
      </c>
      <c r="F102">
        <v>32</v>
      </c>
      <c r="G102" s="7">
        <v>44465</v>
      </c>
      <c r="H102" s="5">
        <v>53540</v>
      </c>
      <c r="I102" t="s">
        <v>16</v>
      </c>
    </row>
    <row r="103" spans="3:9" x14ac:dyDescent="0.3">
      <c r="C103" t="s">
        <v>81</v>
      </c>
      <c r="D103" t="s">
        <v>8</v>
      </c>
      <c r="E103" t="s">
        <v>9</v>
      </c>
      <c r="F103">
        <v>30</v>
      </c>
      <c r="G103" s="7">
        <v>44861</v>
      </c>
      <c r="H103" s="5">
        <v>112570</v>
      </c>
      <c r="I103" t="s">
        <v>16</v>
      </c>
    </row>
    <row r="104" spans="3:9" x14ac:dyDescent="0.3">
      <c r="C104" t="s">
        <v>51</v>
      </c>
      <c r="D104" t="s">
        <v>15</v>
      </c>
      <c r="E104" t="s">
        <v>9</v>
      </c>
      <c r="F104">
        <v>33</v>
      </c>
      <c r="G104" s="7">
        <v>44701</v>
      </c>
      <c r="H104" s="5">
        <v>48530</v>
      </c>
      <c r="I104" t="s">
        <v>13</v>
      </c>
    </row>
    <row r="105" spans="3:9" x14ac:dyDescent="0.3">
      <c r="C105" t="s">
        <v>61</v>
      </c>
      <c r="D105" t="s">
        <v>8</v>
      </c>
      <c r="E105" t="s">
        <v>12</v>
      </c>
      <c r="F105">
        <v>24</v>
      </c>
      <c r="G105" s="7">
        <v>44148</v>
      </c>
      <c r="H105" s="5">
        <v>62780</v>
      </c>
      <c r="I105" t="s">
        <v>16</v>
      </c>
    </row>
    <row r="106" spans="3:9" x14ac:dyDescent="0.3">
      <c r="C106" t="s">
        <v>202</v>
      </c>
      <c r="F106">
        <f>SUBTOTAL(101,nz_staff[Age])</f>
        <v>30.52</v>
      </c>
      <c r="H106" s="5">
        <f>SUBTOTAL(101,nz_staff[Salary])</f>
        <v>77472.100000000006</v>
      </c>
      <c r="I106">
        <f>SUBTOTAL(103,nz_staff[Rating])</f>
        <v>100</v>
      </c>
    </row>
  </sheetData>
  <conditionalFormatting sqref="C6:C105">
    <cfRule type="duplicateValues" dxfId="1" priority="1"/>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110" zoomScaleNormal="110" workbookViewId="0">
      <selection activeCell="E15" sqref="E15"/>
    </sheetView>
  </sheetViews>
  <sheetFormatPr defaultRowHeight="14.4" x14ac:dyDescent="0.3"/>
  <cols>
    <col min="2" max="2" width="27.21875" bestFit="1" customWidth="1"/>
    <col min="3" max="3" width="9.33203125" bestFit="1" customWidth="1"/>
    <col min="4" max="4" width="6.44140625" bestFit="1" customWidth="1"/>
    <col min="5" max="5" width="13.109375" bestFit="1" customWidth="1"/>
    <col min="6" max="6" width="13" bestFit="1" customWidth="1"/>
    <col min="7" max="7" width="13.33203125" bestFit="1" customWidth="1"/>
    <col min="8" max="8" width="8.33203125" bestFit="1" customWidth="1"/>
  </cols>
  <sheetData>
    <row r="2" spans="2:8" x14ac:dyDescent="0.3">
      <c r="B2" t="s">
        <v>0</v>
      </c>
      <c r="C2" t="s">
        <v>1</v>
      </c>
      <c r="D2" t="s">
        <v>3</v>
      </c>
      <c r="E2" t="s">
        <v>6</v>
      </c>
      <c r="F2" t="s">
        <v>4</v>
      </c>
      <c r="G2" t="s">
        <v>2</v>
      </c>
      <c r="H2" t="s">
        <v>5</v>
      </c>
    </row>
    <row r="3" spans="2:8" x14ac:dyDescent="0.3">
      <c r="B3" t="s">
        <v>155</v>
      </c>
      <c r="C3" t="s">
        <v>15</v>
      </c>
      <c r="D3">
        <v>20</v>
      </c>
      <c r="E3" t="s">
        <v>16</v>
      </c>
      <c r="F3" s="4">
        <v>44122</v>
      </c>
      <c r="G3" t="s">
        <v>12</v>
      </c>
      <c r="H3">
        <v>112650</v>
      </c>
    </row>
    <row r="4" spans="2:8" x14ac:dyDescent="0.3">
      <c r="B4" t="s">
        <v>175</v>
      </c>
      <c r="C4" t="s">
        <v>8</v>
      </c>
      <c r="D4">
        <v>32</v>
      </c>
      <c r="E4" t="s">
        <v>13</v>
      </c>
      <c r="F4" s="4">
        <v>44293</v>
      </c>
      <c r="G4" t="s">
        <v>12</v>
      </c>
      <c r="H4">
        <v>43840</v>
      </c>
    </row>
    <row r="5" spans="2:8" x14ac:dyDescent="0.3">
      <c r="B5" t="s">
        <v>142</v>
      </c>
      <c r="C5" t="s">
        <v>15</v>
      </c>
      <c r="D5">
        <v>31</v>
      </c>
      <c r="E5" t="s">
        <v>16</v>
      </c>
      <c r="F5" s="4">
        <v>44663</v>
      </c>
      <c r="G5" t="s">
        <v>9</v>
      </c>
      <c r="H5">
        <v>103550</v>
      </c>
    </row>
    <row r="6" spans="2:8" x14ac:dyDescent="0.3">
      <c r="B6" t="s">
        <v>200</v>
      </c>
      <c r="C6" t="s">
        <v>8</v>
      </c>
      <c r="D6">
        <v>32</v>
      </c>
      <c r="E6" t="s">
        <v>16</v>
      </c>
      <c r="F6" s="4">
        <v>44339</v>
      </c>
      <c r="G6" t="s">
        <v>56</v>
      </c>
      <c r="H6">
        <v>45510</v>
      </c>
    </row>
    <row r="7" spans="2:8" x14ac:dyDescent="0.3">
      <c r="B7" t="s">
        <v>141</v>
      </c>
      <c r="D7">
        <v>37</v>
      </c>
      <c r="E7" t="s">
        <v>24</v>
      </c>
      <c r="F7" s="4">
        <v>44085</v>
      </c>
      <c r="G7" t="s">
        <v>21</v>
      </c>
      <c r="H7">
        <v>115440</v>
      </c>
    </row>
    <row r="8" spans="2:8" x14ac:dyDescent="0.3">
      <c r="B8" t="s">
        <v>201</v>
      </c>
      <c r="C8" t="s">
        <v>8</v>
      </c>
      <c r="D8">
        <v>38</v>
      </c>
      <c r="E8" t="s">
        <v>13</v>
      </c>
      <c r="F8" s="4">
        <v>44268</v>
      </c>
      <c r="G8" t="s">
        <v>19</v>
      </c>
      <c r="H8">
        <v>56870</v>
      </c>
    </row>
    <row r="9" spans="2:8" x14ac:dyDescent="0.3">
      <c r="B9" t="s">
        <v>168</v>
      </c>
      <c r="C9" t="s">
        <v>8</v>
      </c>
      <c r="D9">
        <v>25</v>
      </c>
      <c r="E9" t="s">
        <v>16</v>
      </c>
      <c r="F9" s="4">
        <v>44144</v>
      </c>
      <c r="G9" t="s">
        <v>19</v>
      </c>
      <c r="H9">
        <v>92700</v>
      </c>
    </row>
    <row r="10" spans="2:8" x14ac:dyDescent="0.3">
      <c r="B10" t="s">
        <v>144</v>
      </c>
      <c r="D10">
        <v>32</v>
      </c>
      <c r="E10" t="s">
        <v>16</v>
      </c>
      <c r="F10" s="4">
        <v>44713</v>
      </c>
      <c r="G10" t="s">
        <v>12</v>
      </c>
      <c r="H10">
        <v>91310</v>
      </c>
    </row>
    <row r="11" spans="2:8" x14ac:dyDescent="0.3">
      <c r="B11" t="s">
        <v>114</v>
      </c>
      <c r="C11" t="s">
        <v>15</v>
      </c>
      <c r="D11">
        <v>33</v>
      </c>
      <c r="E11" t="s">
        <v>16</v>
      </c>
      <c r="F11" s="4">
        <v>44324</v>
      </c>
      <c r="G11" t="s">
        <v>19</v>
      </c>
      <c r="H11">
        <v>74550</v>
      </c>
    </row>
    <row r="12" spans="2:8" x14ac:dyDescent="0.3">
      <c r="B12" t="s">
        <v>127</v>
      </c>
      <c r="C12" t="s">
        <v>15</v>
      </c>
      <c r="D12">
        <v>25</v>
      </c>
      <c r="E12" t="s">
        <v>13</v>
      </c>
      <c r="F12" s="4">
        <v>44665</v>
      </c>
      <c r="G12" t="s">
        <v>9</v>
      </c>
      <c r="H12">
        <v>109190</v>
      </c>
    </row>
    <row r="13" spans="2:8" x14ac:dyDescent="0.3">
      <c r="B13" t="s">
        <v>193</v>
      </c>
      <c r="C13" t="s">
        <v>8</v>
      </c>
      <c r="D13">
        <v>40</v>
      </c>
      <c r="E13" t="s">
        <v>16</v>
      </c>
      <c r="F13" s="4">
        <v>44320</v>
      </c>
      <c r="G13" t="s">
        <v>12</v>
      </c>
      <c r="H13">
        <v>104410</v>
      </c>
    </row>
    <row r="14" spans="2:8" x14ac:dyDescent="0.3">
      <c r="B14" t="s">
        <v>176</v>
      </c>
      <c r="C14" t="s">
        <v>15</v>
      </c>
      <c r="D14">
        <v>30</v>
      </c>
      <c r="E14" t="s">
        <v>16</v>
      </c>
      <c r="F14" s="4">
        <v>44544</v>
      </c>
      <c r="G14" t="s">
        <v>21</v>
      </c>
      <c r="H14">
        <v>96800</v>
      </c>
    </row>
    <row r="15" spans="2:8" x14ac:dyDescent="0.3">
      <c r="B15" t="s">
        <v>122</v>
      </c>
      <c r="C15" t="s">
        <v>15</v>
      </c>
      <c r="D15">
        <v>28</v>
      </c>
      <c r="E15" t="s">
        <v>13</v>
      </c>
      <c r="F15" s="4">
        <v>43980</v>
      </c>
      <c r="G15" t="s">
        <v>21</v>
      </c>
      <c r="H15">
        <v>48170</v>
      </c>
    </row>
    <row r="16" spans="2:8" x14ac:dyDescent="0.3">
      <c r="B16" t="s">
        <v>139</v>
      </c>
      <c r="C16" t="s">
        <v>15</v>
      </c>
      <c r="D16">
        <v>21</v>
      </c>
      <c r="E16" t="s">
        <v>16</v>
      </c>
      <c r="F16" s="4">
        <v>44042</v>
      </c>
      <c r="G16" t="s">
        <v>9</v>
      </c>
      <c r="H16">
        <v>37920</v>
      </c>
    </row>
    <row r="17" spans="2:8" x14ac:dyDescent="0.3">
      <c r="B17" t="s">
        <v>177</v>
      </c>
      <c r="C17" t="s">
        <v>15</v>
      </c>
      <c r="D17">
        <v>34</v>
      </c>
      <c r="E17" t="s">
        <v>16</v>
      </c>
      <c r="F17" s="4">
        <v>44642</v>
      </c>
      <c r="G17" t="s">
        <v>9</v>
      </c>
      <c r="H17">
        <v>112650</v>
      </c>
    </row>
    <row r="18" spans="2:8" x14ac:dyDescent="0.3">
      <c r="B18" t="s">
        <v>164</v>
      </c>
      <c r="C18" t="s">
        <v>8</v>
      </c>
      <c r="D18">
        <v>34</v>
      </c>
      <c r="E18" t="s">
        <v>24</v>
      </c>
      <c r="F18" s="4">
        <v>44660</v>
      </c>
      <c r="G18" t="s">
        <v>19</v>
      </c>
      <c r="H18">
        <v>49630</v>
      </c>
    </row>
    <row r="19" spans="2:8" x14ac:dyDescent="0.3">
      <c r="B19" t="s">
        <v>198</v>
      </c>
      <c r="C19" t="s">
        <v>15</v>
      </c>
      <c r="D19">
        <v>36</v>
      </c>
      <c r="E19" t="s">
        <v>16</v>
      </c>
      <c r="F19" s="4">
        <v>43958</v>
      </c>
      <c r="G19" t="s">
        <v>12</v>
      </c>
      <c r="H19">
        <v>118840</v>
      </c>
    </row>
    <row r="20" spans="2:8" x14ac:dyDescent="0.3">
      <c r="B20" t="s">
        <v>158</v>
      </c>
      <c r="C20" t="s">
        <v>15</v>
      </c>
      <c r="D20">
        <v>30</v>
      </c>
      <c r="E20" t="s">
        <v>16</v>
      </c>
      <c r="F20" s="4">
        <v>44789</v>
      </c>
      <c r="G20" t="s">
        <v>12</v>
      </c>
      <c r="H20">
        <v>69710</v>
      </c>
    </row>
    <row r="21" spans="2:8" x14ac:dyDescent="0.3">
      <c r="B21" t="s">
        <v>196</v>
      </c>
      <c r="C21" t="s">
        <v>15</v>
      </c>
      <c r="D21">
        <v>20</v>
      </c>
      <c r="E21" t="s">
        <v>16</v>
      </c>
      <c r="F21" s="4">
        <v>44683</v>
      </c>
      <c r="G21" t="s">
        <v>9</v>
      </c>
      <c r="H21">
        <v>79570</v>
      </c>
    </row>
    <row r="22" spans="2:8" x14ac:dyDescent="0.3">
      <c r="B22" t="s">
        <v>153</v>
      </c>
      <c r="C22" t="s">
        <v>8</v>
      </c>
      <c r="D22">
        <v>22</v>
      </c>
      <c r="E22" t="s">
        <v>13</v>
      </c>
      <c r="F22" s="4">
        <v>44388</v>
      </c>
      <c r="G22" t="s">
        <v>9</v>
      </c>
      <c r="H22">
        <v>76900</v>
      </c>
    </row>
    <row r="23" spans="2:8" x14ac:dyDescent="0.3">
      <c r="B23" t="s">
        <v>181</v>
      </c>
      <c r="C23" t="s">
        <v>15</v>
      </c>
      <c r="D23">
        <v>27</v>
      </c>
      <c r="E23" t="s">
        <v>16</v>
      </c>
      <c r="F23" s="4">
        <v>44073</v>
      </c>
      <c r="G23" t="s">
        <v>19</v>
      </c>
      <c r="H23">
        <v>54970</v>
      </c>
    </row>
    <row r="24" spans="2:8" x14ac:dyDescent="0.3">
      <c r="B24" t="s">
        <v>117</v>
      </c>
      <c r="C24" t="s">
        <v>15</v>
      </c>
      <c r="D24">
        <v>37</v>
      </c>
      <c r="E24" t="s">
        <v>24</v>
      </c>
      <c r="F24" s="4">
        <v>44277</v>
      </c>
      <c r="G24" t="s">
        <v>12</v>
      </c>
      <c r="H24">
        <v>88050</v>
      </c>
    </row>
    <row r="25" spans="2:8" x14ac:dyDescent="0.3">
      <c r="B25" t="s">
        <v>191</v>
      </c>
      <c r="C25" t="s">
        <v>15</v>
      </c>
      <c r="D25">
        <v>43</v>
      </c>
      <c r="E25" t="s">
        <v>16</v>
      </c>
      <c r="F25" s="4">
        <v>44558</v>
      </c>
      <c r="G25" t="s">
        <v>19</v>
      </c>
      <c r="H25">
        <v>36040</v>
      </c>
    </row>
    <row r="26" spans="2:8" x14ac:dyDescent="0.3">
      <c r="B26" t="s">
        <v>110</v>
      </c>
      <c r="C26" t="s">
        <v>8</v>
      </c>
      <c r="D26">
        <v>42</v>
      </c>
      <c r="E26" t="s">
        <v>10</v>
      </c>
      <c r="F26" s="4">
        <v>44718</v>
      </c>
      <c r="G26" t="s">
        <v>9</v>
      </c>
      <c r="H26">
        <v>75000</v>
      </c>
    </row>
    <row r="27" spans="2:8" x14ac:dyDescent="0.3">
      <c r="B27" t="s">
        <v>148</v>
      </c>
      <c r="C27" t="s">
        <v>15</v>
      </c>
      <c r="D27">
        <v>35</v>
      </c>
      <c r="E27" t="s">
        <v>16</v>
      </c>
      <c r="F27" s="4">
        <v>44666</v>
      </c>
      <c r="G27" t="s">
        <v>9</v>
      </c>
      <c r="H27">
        <v>40400</v>
      </c>
    </row>
    <row r="28" spans="2:8" x14ac:dyDescent="0.3">
      <c r="B28" t="s">
        <v>195</v>
      </c>
      <c r="C28" t="s">
        <v>15</v>
      </c>
      <c r="D28">
        <v>24</v>
      </c>
      <c r="E28" t="s">
        <v>16</v>
      </c>
      <c r="F28" s="4">
        <v>44625</v>
      </c>
      <c r="G28" t="s">
        <v>12</v>
      </c>
      <c r="H28">
        <v>100420</v>
      </c>
    </row>
    <row r="29" spans="2:8" x14ac:dyDescent="0.3">
      <c r="B29" t="s">
        <v>119</v>
      </c>
      <c r="C29" t="s">
        <v>8</v>
      </c>
      <c r="D29">
        <v>31</v>
      </c>
      <c r="E29" t="s">
        <v>16</v>
      </c>
      <c r="F29" s="4">
        <v>44604</v>
      </c>
      <c r="G29" t="s">
        <v>12</v>
      </c>
      <c r="H29">
        <v>58100</v>
      </c>
    </row>
    <row r="30" spans="2:8" x14ac:dyDescent="0.3">
      <c r="B30" t="s">
        <v>113</v>
      </c>
      <c r="C30" t="s">
        <v>8</v>
      </c>
      <c r="D30">
        <v>44</v>
      </c>
      <c r="E30" t="s">
        <v>16</v>
      </c>
      <c r="F30" s="4">
        <v>44985</v>
      </c>
      <c r="G30" t="s">
        <v>12</v>
      </c>
      <c r="H30">
        <v>114870</v>
      </c>
    </row>
    <row r="31" spans="2:8" x14ac:dyDescent="0.3">
      <c r="B31" t="s">
        <v>157</v>
      </c>
      <c r="C31" t="s">
        <v>8</v>
      </c>
      <c r="D31">
        <v>32</v>
      </c>
      <c r="E31" t="s">
        <v>16</v>
      </c>
      <c r="F31" s="4">
        <v>44549</v>
      </c>
      <c r="G31" t="s">
        <v>9</v>
      </c>
      <c r="H31">
        <v>41570</v>
      </c>
    </row>
    <row r="32" spans="2:8" x14ac:dyDescent="0.3">
      <c r="B32" t="s">
        <v>172</v>
      </c>
      <c r="C32" t="s">
        <v>8</v>
      </c>
      <c r="D32">
        <v>30</v>
      </c>
      <c r="E32" t="s">
        <v>16</v>
      </c>
      <c r="F32" s="4">
        <v>44800</v>
      </c>
      <c r="G32" t="s">
        <v>9</v>
      </c>
      <c r="H32">
        <v>112570</v>
      </c>
    </row>
    <row r="33" spans="2:8" x14ac:dyDescent="0.3">
      <c r="B33" t="s">
        <v>150</v>
      </c>
      <c r="C33" t="s">
        <v>15</v>
      </c>
      <c r="D33">
        <v>26</v>
      </c>
      <c r="E33" t="s">
        <v>16</v>
      </c>
      <c r="F33" s="4">
        <v>44164</v>
      </c>
      <c r="G33" t="s">
        <v>9</v>
      </c>
      <c r="H33">
        <v>47360</v>
      </c>
    </row>
    <row r="34" spans="2:8" x14ac:dyDescent="0.3">
      <c r="B34" t="s">
        <v>125</v>
      </c>
      <c r="C34" t="s">
        <v>8</v>
      </c>
      <c r="D34">
        <v>21</v>
      </c>
      <c r="E34" t="s">
        <v>16</v>
      </c>
      <c r="F34" s="4">
        <v>44256</v>
      </c>
      <c r="G34" t="s">
        <v>21</v>
      </c>
      <c r="H34">
        <v>65920</v>
      </c>
    </row>
    <row r="35" spans="2:8" x14ac:dyDescent="0.3">
      <c r="B35" t="s">
        <v>199</v>
      </c>
      <c r="C35" t="s">
        <v>8</v>
      </c>
      <c r="D35">
        <v>28</v>
      </c>
      <c r="E35" t="s">
        <v>16</v>
      </c>
      <c r="F35" s="4">
        <v>44571</v>
      </c>
      <c r="G35" t="s">
        <v>9</v>
      </c>
      <c r="H35">
        <v>99970</v>
      </c>
    </row>
    <row r="36" spans="2:8" x14ac:dyDescent="0.3">
      <c r="B36" t="s">
        <v>132</v>
      </c>
      <c r="C36" t="s">
        <v>8</v>
      </c>
      <c r="D36">
        <v>25</v>
      </c>
      <c r="E36" t="s">
        <v>13</v>
      </c>
      <c r="F36" s="4">
        <v>44633</v>
      </c>
      <c r="G36" t="s">
        <v>12</v>
      </c>
      <c r="H36">
        <v>80700</v>
      </c>
    </row>
    <row r="37" spans="2:8" x14ac:dyDescent="0.3">
      <c r="B37" t="s">
        <v>154</v>
      </c>
      <c r="C37" t="s">
        <v>15</v>
      </c>
      <c r="D37">
        <v>24</v>
      </c>
      <c r="E37" t="s">
        <v>24</v>
      </c>
      <c r="F37" s="4">
        <v>44375</v>
      </c>
      <c r="G37" t="s">
        <v>21</v>
      </c>
      <c r="H37">
        <v>52610</v>
      </c>
    </row>
    <row r="38" spans="2:8" x14ac:dyDescent="0.3">
      <c r="B38" t="s">
        <v>179</v>
      </c>
      <c r="C38" t="s">
        <v>15</v>
      </c>
      <c r="D38">
        <v>29</v>
      </c>
      <c r="E38" t="s">
        <v>24</v>
      </c>
      <c r="F38" s="4">
        <v>44119</v>
      </c>
      <c r="G38" t="s">
        <v>12</v>
      </c>
      <c r="H38">
        <v>112110</v>
      </c>
    </row>
    <row r="39" spans="2:8" x14ac:dyDescent="0.3">
      <c r="B39" t="s">
        <v>151</v>
      </c>
      <c r="C39" t="s">
        <v>8</v>
      </c>
      <c r="D39">
        <v>27</v>
      </c>
      <c r="E39" t="s">
        <v>16</v>
      </c>
      <c r="F39" s="4">
        <v>44061</v>
      </c>
      <c r="G39" t="s">
        <v>56</v>
      </c>
      <c r="H39">
        <v>119110</v>
      </c>
    </row>
    <row r="40" spans="2:8" x14ac:dyDescent="0.3">
      <c r="B40" t="s">
        <v>149</v>
      </c>
      <c r="C40" t="s">
        <v>15</v>
      </c>
      <c r="D40">
        <v>22</v>
      </c>
      <c r="E40" t="s">
        <v>13</v>
      </c>
      <c r="F40" s="4">
        <v>44384</v>
      </c>
      <c r="G40" t="s">
        <v>19</v>
      </c>
      <c r="H40">
        <v>112780</v>
      </c>
    </row>
    <row r="41" spans="2:8" x14ac:dyDescent="0.3">
      <c r="B41" t="s">
        <v>174</v>
      </c>
      <c r="C41" t="s">
        <v>8</v>
      </c>
      <c r="D41">
        <v>36</v>
      </c>
      <c r="E41" t="s">
        <v>16</v>
      </c>
      <c r="F41" s="4">
        <v>44023</v>
      </c>
      <c r="G41" t="s">
        <v>9</v>
      </c>
      <c r="H41">
        <v>114890</v>
      </c>
    </row>
    <row r="42" spans="2:8" x14ac:dyDescent="0.3">
      <c r="B42" t="s">
        <v>145</v>
      </c>
      <c r="C42" t="s">
        <v>15</v>
      </c>
      <c r="D42">
        <v>27</v>
      </c>
      <c r="E42" t="s">
        <v>16</v>
      </c>
      <c r="F42" s="4">
        <v>44506</v>
      </c>
      <c r="G42" t="s">
        <v>21</v>
      </c>
      <c r="H42">
        <v>48980</v>
      </c>
    </row>
    <row r="43" spans="2:8" x14ac:dyDescent="0.3">
      <c r="B43" t="s">
        <v>169</v>
      </c>
      <c r="C43" t="s">
        <v>15</v>
      </c>
      <c r="D43">
        <v>21</v>
      </c>
      <c r="E43" t="s">
        <v>16</v>
      </c>
      <c r="F43" s="4">
        <v>44180</v>
      </c>
      <c r="G43" t="s">
        <v>56</v>
      </c>
      <c r="H43">
        <v>75880</v>
      </c>
    </row>
    <row r="44" spans="2:8" x14ac:dyDescent="0.3">
      <c r="B44" t="s">
        <v>166</v>
      </c>
      <c r="C44" t="s">
        <v>8</v>
      </c>
      <c r="D44">
        <v>28</v>
      </c>
      <c r="E44" t="s">
        <v>16</v>
      </c>
      <c r="F44" s="4">
        <v>44296</v>
      </c>
      <c r="G44" t="s">
        <v>19</v>
      </c>
      <c r="H44">
        <v>53240</v>
      </c>
    </row>
    <row r="45" spans="2:8" x14ac:dyDescent="0.3">
      <c r="B45" t="s">
        <v>121</v>
      </c>
      <c r="C45" t="s">
        <v>8</v>
      </c>
      <c r="D45">
        <v>34</v>
      </c>
      <c r="E45" t="s">
        <v>16</v>
      </c>
      <c r="F45" s="4">
        <v>44397</v>
      </c>
      <c r="G45" t="s">
        <v>21</v>
      </c>
      <c r="H45">
        <v>85000</v>
      </c>
    </row>
    <row r="46" spans="2:8" x14ac:dyDescent="0.3">
      <c r="B46" t="s">
        <v>178</v>
      </c>
      <c r="C46" t="s">
        <v>8</v>
      </c>
      <c r="D46">
        <v>21</v>
      </c>
      <c r="E46" t="s">
        <v>16</v>
      </c>
      <c r="F46" s="4">
        <v>44619</v>
      </c>
      <c r="G46" t="s">
        <v>12</v>
      </c>
      <c r="H46">
        <v>33920</v>
      </c>
    </row>
    <row r="47" spans="2:8" x14ac:dyDescent="0.3">
      <c r="B47" t="s">
        <v>187</v>
      </c>
      <c r="C47" t="s">
        <v>8</v>
      </c>
      <c r="D47">
        <v>33</v>
      </c>
      <c r="E47" t="s">
        <v>16</v>
      </c>
      <c r="F47" s="4">
        <v>44253</v>
      </c>
      <c r="G47" t="s">
        <v>12</v>
      </c>
      <c r="H47">
        <v>75280</v>
      </c>
    </row>
    <row r="48" spans="2:8" x14ac:dyDescent="0.3">
      <c r="B48" t="s">
        <v>129</v>
      </c>
      <c r="C48" t="s">
        <v>8</v>
      </c>
      <c r="D48">
        <v>34</v>
      </c>
      <c r="E48" t="s">
        <v>16</v>
      </c>
      <c r="F48" s="4">
        <v>44594</v>
      </c>
      <c r="G48" t="s">
        <v>21</v>
      </c>
      <c r="H48">
        <v>58940</v>
      </c>
    </row>
    <row r="49" spans="2:8" x14ac:dyDescent="0.3">
      <c r="B49" t="s">
        <v>135</v>
      </c>
      <c r="C49" t="s">
        <v>8</v>
      </c>
      <c r="D49">
        <v>28</v>
      </c>
      <c r="E49" t="s">
        <v>16</v>
      </c>
      <c r="F49" s="4">
        <v>44425</v>
      </c>
      <c r="G49" t="s">
        <v>9</v>
      </c>
      <c r="H49">
        <v>104770</v>
      </c>
    </row>
    <row r="50" spans="2:8" x14ac:dyDescent="0.3">
      <c r="B50" t="s">
        <v>124</v>
      </c>
      <c r="C50" t="s">
        <v>15</v>
      </c>
      <c r="D50">
        <v>21</v>
      </c>
      <c r="E50" t="s">
        <v>16</v>
      </c>
      <c r="F50" s="4">
        <v>44701</v>
      </c>
      <c r="G50" t="s">
        <v>9</v>
      </c>
      <c r="H50">
        <v>57090</v>
      </c>
    </row>
    <row r="51" spans="2:8" x14ac:dyDescent="0.3">
      <c r="B51" t="s">
        <v>159</v>
      </c>
      <c r="C51" t="s">
        <v>15</v>
      </c>
      <c r="D51">
        <v>27</v>
      </c>
      <c r="E51" t="s">
        <v>13</v>
      </c>
      <c r="F51" s="4">
        <v>44174</v>
      </c>
      <c r="G51" t="s">
        <v>21</v>
      </c>
      <c r="H51">
        <v>91650</v>
      </c>
    </row>
    <row r="52" spans="2:8" x14ac:dyDescent="0.3">
      <c r="B52" t="s">
        <v>182</v>
      </c>
      <c r="C52" t="s">
        <v>15</v>
      </c>
      <c r="D52">
        <v>42</v>
      </c>
      <c r="E52" t="s">
        <v>24</v>
      </c>
      <c r="F52" s="4">
        <v>44670</v>
      </c>
      <c r="G52" t="s">
        <v>21</v>
      </c>
      <c r="H52">
        <v>70270</v>
      </c>
    </row>
    <row r="53" spans="2:8" x14ac:dyDescent="0.3">
      <c r="B53" t="s">
        <v>128</v>
      </c>
      <c r="C53" t="s">
        <v>8</v>
      </c>
      <c r="D53">
        <v>28</v>
      </c>
      <c r="E53" t="s">
        <v>16</v>
      </c>
      <c r="F53" s="4">
        <v>44124</v>
      </c>
      <c r="G53" t="s">
        <v>21</v>
      </c>
      <c r="H53">
        <v>75970</v>
      </c>
    </row>
    <row r="54" spans="2:8" x14ac:dyDescent="0.3">
      <c r="B54" t="s">
        <v>111</v>
      </c>
      <c r="D54">
        <v>27</v>
      </c>
      <c r="E54" t="s">
        <v>13</v>
      </c>
      <c r="F54" s="4">
        <v>44212</v>
      </c>
      <c r="G54" t="s">
        <v>12</v>
      </c>
      <c r="H54">
        <v>90700</v>
      </c>
    </row>
    <row r="55" spans="2:8" x14ac:dyDescent="0.3">
      <c r="B55" t="s">
        <v>130</v>
      </c>
      <c r="C55" t="s">
        <v>15</v>
      </c>
      <c r="D55">
        <v>30</v>
      </c>
      <c r="E55" t="s">
        <v>16</v>
      </c>
      <c r="F55" s="4">
        <v>44607</v>
      </c>
      <c r="G55" t="s">
        <v>9</v>
      </c>
      <c r="H55">
        <v>60570</v>
      </c>
    </row>
    <row r="56" spans="2:8" x14ac:dyDescent="0.3">
      <c r="B56" t="s">
        <v>133</v>
      </c>
      <c r="C56" t="s">
        <v>15</v>
      </c>
      <c r="D56">
        <v>33</v>
      </c>
      <c r="E56" t="s">
        <v>16</v>
      </c>
      <c r="F56" s="4">
        <v>44103</v>
      </c>
      <c r="G56" t="s">
        <v>9</v>
      </c>
      <c r="H56">
        <v>115920</v>
      </c>
    </row>
    <row r="57" spans="2:8" x14ac:dyDescent="0.3">
      <c r="B57" t="s">
        <v>185</v>
      </c>
      <c r="C57" t="s">
        <v>8</v>
      </c>
      <c r="D57">
        <v>33</v>
      </c>
      <c r="E57" t="s">
        <v>16</v>
      </c>
      <c r="F57" s="4">
        <v>44006</v>
      </c>
      <c r="G57" t="s">
        <v>21</v>
      </c>
      <c r="H57">
        <v>65360</v>
      </c>
    </row>
    <row r="58" spans="2:8" x14ac:dyDescent="0.3">
      <c r="B58" t="s">
        <v>115</v>
      </c>
      <c r="D58">
        <v>30</v>
      </c>
      <c r="E58" t="s">
        <v>16</v>
      </c>
      <c r="F58" s="4">
        <v>44535</v>
      </c>
      <c r="G58" t="s">
        <v>21</v>
      </c>
      <c r="H58">
        <v>64000</v>
      </c>
    </row>
    <row r="59" spans="2:8" x14ac:dyDescent="0.3">
      <c r="B59" t="s">
        <v>194</v>
      </c>
      <c r="C59" t="s">
        <v>8</v>
      </c>
      <c r="D59">
        <v>34</v>
      </c>
      <c r="E59" t="s">
        <v>16</v>
      </c>
      <c r="F59" s="4">
        <v>44383</v>
      </c>
      <c r="G59" t="s">
        <v>21</v>
      </c>
      <c r="H59">
        <v>92450</v>
      </c>
    </row>
    <row r="60" spans="2:8" x14ac:dyDescent="0.3">
      <c r="B60" t="s">
        <v>112</v>
      </c>
      <c r="C60" t="s">
        <v>15</v>
      </c>
      <c r="D60">
        <v>31</v>
      </c>
      <c r="E60" t="s">
        <v>16</v>
      </c>
      <c r="F60" s="4">
        <v>44450</v>
      </c>
      <c r="G60" t="s">
        <v>12</v>
      </c>
      <c r="H60">
        <v>48950</v>
      </c>
    </row>
    <row r="61" spans="2:8" x14ac:dyDescent="0.3">
      <c r="B61" t="s">
        <v>184</v>
      </c>
      <c r="C61" t="s">
        <v>8</v>
      </c>
      <c r="D61">
        <v>27</v>
      </c>
      <c r="E61" t="s">
        <v>16</v>
      </c>
      <c r="F61" s="4">
        <v>44625</v>
      </c>
      <c r="G61" t="s">
        <v>12</v>
      </c>
      <c r="H61">
        <v>83750</v>
      </c>
    </row>
    <row r="62" spans="2:8" x14ac:dyDescent="0.3">
      <c r="B62" t="s">
        <v>165</v>
      </c>
      <c r="C62" t="s">
        <v>8</v>
      </c>
      <c r="D62">
        <v>40</v>
      </c>
      <c r="E62" t="s">
        <v>16</v>
      </c>
      <c r="F62" s="4">
        <v>44276</v>
      </c>
      <c r="G62" t="s">
        <v>12</v>
      </c>
      <c r="H62">
        <v>87620</v>
      </c>
    </row>
    <row r="63" spans="2:8" x14ac:dyDescent="0.3">
      <c r="B63" t="s">
        <v>183</v>
      </c>
      <c r="C63" t="s">
        <v>8</v>
      </c>
      <c r="D63">
        <v>20</v>
      </c>
      <c r="E63" t="s">
        <v>24</v>
      </c>
      <c r="F63" s="4">
        <v>44476</v>
      </c>
      <c r="G63" t="s">
        <v>19</v>
      </c>
      <c r="H63">
        <v>68900</v>
      </c>
    </row>
    <row r="64" spans="2:8" x14ac:dyDescent="0.3">
      <c r="B64" t="s">
        <v>156</v>
      </c>
      <c r="C64" t="s">
        <v>15</v>
      </c>
      <c r="D64">
        <v>32</v>
      </c>
      <c r="E64" t="s">
        <v>16</v>
      </c>
      <c r="F64" s="4">
        <v>44403</v>
      </c>
      <c r="G64" t="s">
        <v>19</v>
      </c>
      <c r="H64">
        <v>53540</v>
      </c>
    </row>
    <row r="65" spans="2:8" x14ac:dyDescent="0.3">
      <c r="B65" t="s">
        <v>171</v>
      </c>
      <c r="C65" t="s">
        <v>15</v>
      </c>
      <c r="D65">
        <v>28</v>
      </c>
      <c r="E65" t="s">
        <v>42</v>
      </c>
      <c r="F65" s="4">
        <v>44758</v>
      </c>
      <c r="G65" t="s">
        <v>19</v>
      </c>
      <c r="H65">
        <v>43510</v>
      </c>
    </row>
    <row r="66" spans="2:8" x14ac:dyDescent="0.3">
      <c r="B66" t="s">
        <v>126</v>
      </c>
      <c r="C66" t="s">
        <v>8</v>
      </c>
      <c r="D66">
        <v>38</v>
      </c>
      <c r="E66" t="s">
        <v>10</v>
      </c>
      <c r="F66" s="4">
        <v>44316</v>
      </c>
      <c r="G66" t="s">
        <v>19</v>
      </c>
      <c r="H66">
        <v>109160</v>
      </c>
    </row>
    <row r="67" spans="2:8" x14ac:dyDescent="0.3">
      <c r="B67" t="s">
        <v>197</v>
      </c>
      <c r="C67" t="s">
        <v>15</v>
      </c>
      <c r="D67">
        <v>40</v>
      </c>
      <c r="E67" t="s">
        <v>16</v>
      </c>
      <c r="F67" s="4">
        <v>44204</v>
      </c>
      <c r="G67" t="s">
        <v>9</v>
      </c>
      <c r="H67">
        <v>99750</v>
      </c>
    </row>
    <row r="68" spans="2:8" x14ac:dyDescent="0.3">
      <c r="B68" t="s">
        <v>123</v>
      </c>
      <c r="C68" t="s">
        <v>8</v>
      </c>
      <c r="D68">
        <v>31</v>
      </c>
      <c r="E68" t="s">
        <v>16</v>
      </c>
      <c r="F68" s="4">
        <v>44084</v>
      </c>
      <c r="G68" t="s">
        <v>12</v>
      </c>
      <c r="H68">
        <v>41980</v>
      </c>
    </row>
    <row r="69" spans="2:8" x14ac:dyDescent="0.3">
      <c r="B69" t="s">
        <v>186</v>
      </c>
      <c r="C69" t="s">
        <v>15</v>
      </c>
      <c r="D69">
        <v>36</v>
      </c>
      <c r="E69" t="s">
        <v>16</v>
      </c>
      <c r="F69" s="4">
        <v>44272</v>
      </c>
      <c r="G69" t="s">
        <v>21</v>
      </c>
      <c r="H69">
        <v>71380</v>
      </c>
    </row>
    <row r="70" spans="2:8" x14ac:dyDescent="0.3">
      <c r="B70" t="s">
        <v>190</v>
      </c>
      <c r="C70" t="s">
        <v>15</v>
      </c>
      <c r="D70">
        <v>27</v>
      </c>
      <c r="E70" t="s">
        <v>42</v>
      </c>
      <c r="F70" s="4">
        <v>44547</v>
      </c>
      <c r="G70" t="s">
        <v>9</v>
      </c>
      <c r="H70">
        <v>113280</v>
      </c>
    </row>
    <row r="71" spans="2:8" x14ac:dyDescent="0.3">
      <c r="B71" t="s">
        <v>180</v>
      </c>
      <c r="C71" t="s">
        <v>8</v>
      </c>
      <c r="D71">
        <v>33</v>
      </c>
      <c r="E71" t="s">
        <v>16</v>
      </c>
      <c r="F71" s="4">
        <v>44747</v>
      </c>
      <c r="G71" t="s">
        <v>21</v>
      </c>
      <c r="H71">
        <v>86570</v>
      </c>
    </row>
    <row r="72" spans="2:8" x14ac:dyDescent="0.3">
      <c r="B72" t="s">
        <v>138</v>
      </c>
      <c r="C72" t="s">
        <v>15</v>
      </c>
      <c r="D72">
        <v>26</v>
      </c>
      <c r="E72" t="s">
        <v>16</v>
      </c>
      <c r="F72" s="4">
        <v>44350</v>
      </c>
      <c r="G72" t="s">
        <v>9</v>
      </c>
      <c r="H72">
        <v>53540</v>
      </c>
    </row>
    <row r="73" spans="2:8" x14ac:dyDescent="0.3">
      <c r="B73" t="s">
        <v>189</v>
      </c>
      <c r="C73" t="s">
        <v>15</v>
      </c>
      <c r="D73">
        <v>37</v>
      </c>
      <c r="E73" t="s">
        <v>16</v>
      </c>
      <c r="F73" s="4">
        <v>44640</v>
      </c>
      <c r="G73" t="s">
        <v>12</v>
      </c>
      <c r="H73">
        <v>69070</v>
      </c>
    </row>
    <row r="74" spans="2:8" x14ac:dyDescent="0.3">
      <c r="B74" t="s">
        <v>120</v>
      </c>
      <c r="C74" t="s">
        <v>8</v>
      </c>
      <c r="D74">
        <v>30</v>
      </c>
      <c r="E74" t="s">
        <v>24</v>
      </c>
      <c r="F74" s="4">
        <v>44328</v>
      </c>
      <c r="G74" t="s">
        <v>21</v>
      </c>
      <c r="H74">
        <v>67910</v>
      </c>
    </row>
    <row r="75" spans="2:8" x14ac:dyDescent="0.3">
      <c r="B75" t="s">
        <v>118</v>
      </c>
      <c r="C75" t="s">
        <v>15</v>
      </c>
      <c r="D75">
        <v>30</v>
      </c>
      <c r="E75" t="s">
        <v>16</v>
      </c>
      <c r="F75" s="4">
        <v>44214</v>
      </c>
      <c r="G75" t="s">
        <v>12</v>
      </c>
      <c r="H75">
        <v>69120</v>
      </c>
    </row>
    <row r="76" spans="2:8" x14ac:dyDescent="0.3">
      <c r="B76" t="s">
        <v>131</v>
      </c>
      <c r="C76" t="s">
        <v>8</v>
      </c>
      <c r="D76">
        <v>34</v>
      </c>
      <c r="E76" t="s">
        <v>16</v>
      </c>
      <c r="F76" s="4">
        <v>44550</v>
      </c>
      <c r="G76" t="s">
        <v>21</v>
      </c>
      <c r="H76">
        <v>60130</v>
      </c>
    </row>
    <row r="77" spans="2:8" x14ac:dyDescent="0.3">
      <c r="B77" t="s">
        <v>160</v>
      </c>
      <c r="C77" t="s">
        <v>15</v>
      </c>
      <c r="D77">
        <v>23</v>
      </c>
      <c r="E77" t="s">
        <v>16</v>
      </c>
      <c r="F77" s="4">
        <v>44378</v>
      </c>
      <c r="G77" t="s">
        <v>9</v>
      </c>
      <c r="H77">
        <v>106460</v>
      </c>
    </row>
    <row r="78" spans="2:8" x14ac:dyDescent="0.3">
      <c r="B78" t="s">
        <v>147</v>
      </c>
      <c r="C78" t="s">
        <v>8</v>
      </c>
      <c r="D78">
        <v>37</v>
      </c>
      <c r="E78" t="s">
        <v>16</v>
      </c>
      <c r="F78" s="4">
        <v>44389</v>
      </c>
      <c r="G78" t="s">
        <v>56</v>
      </c>
      <c r="H78">
        <v>118100</v>
      </c>
    </row>
    <row r="79" spans="2:8" x14ac:dyDescent="0.3">
      <c r="B79" t="s">
        <v>163</v>
      </c>
      <c r="C79" t="s">
        <v>8</v>
      </c>
      <c r="D79">
        <v>36</v>
      </c>
      <c r="E79" t="s">
        <v>16</v>
      </c>
      <c r="F79" s="4">
        <v>44468</v>
      </c>
      <c r="G79" t="s">
        <v>9</v>
      </c>
      <c r="H79">
        <v>78390</v>
      </c>
    </row>
    <row r="80" spans="2:8" x14ac:dyDescent="0.3">
      <c r="B80" t="s">
        <v>146</v>
      </c>
      <c r="C80" t="s">
        <v>8</v>
      </c>
      <c r="D80">
        <v>30</v>
      </c>
      <c r="E80" t="s">
        <v>16</v>
      </c>
      <c r="F80" s="4">
        <v>44789</v>
      </c>
      <c r="G80" t="s">
        <v>9</v>
      </c>
      <c r="H80">
        <v>114180</v>
      </c>
    </row>
    <row r="81" spans="2:8" x14ac:dyDescent="0.3">
      <c r="B81" t="s">
        <v>188</v>
      </c>
      <c r="C81" t="s">
        <v>8</v>
      </c>
      <c r="D81">
        <v>28</v>
      </c>
      <c r="E81" t="s">
        <v>16</v>
      </c>
      <c r="F81" s="4">
        <v>44590</v>
      </c>
      <c r="G81" t="s">
        <v>9</v>
      </c>
      <c r="H81">
        <v>104120</v>
      </c>
    </row>
    <row r="82" spans="2:8" x14ac:dyDescent="0.3">
      <c r="B82" t="s">
        <v>137</v>
      </c>
      <c r="C82" t="s">
        <v>15</v>
      </c>
      <c r="D82">
        <v>30</v>
      </c>
      <c r="E82" t="s">
        <v>16</v>
      </c>
      <c r="F82" s="4">
        <v>44640</v>
      </c>
      <c r="G82" t="s">
        <v>9</v>
      </c>
      <c r="H82">
        <v>67950</v>
      </c>
    </row>
    <row r="83" spans="2:8" x14ac:dyDescent="0.3">
      <c r="B83" t="s">
        <v>136</v>
      </c>
      <c r="C83" t="s">
        <v>8</v>
      </c>
      <c r="D83">
        <v>29</v>
      </c>
      <c r="E83" t="s">
        <v>16</v>
      </c>
      <c r="F83" s="4">
        <v>43962</v>
      </c>
      <c r="G83" t="s">
        <v>12</v>
      </c>
      <c r="H83">
        <v>34980</v>
      </c>
    </row>
    <row r="84" spans="2:8" x14ac:dyDescent="0.3">
      <c r="B84" t="s">
        <v>152</v>
      </c>
      <c r="C84" t="s">
        <v>8</v>
      </c>
      <c r="D84">
        <v>24</v>
      </c>
      <c r="E84" t="s">
        <v>16</v>
      </c>
      <c r="F84" s="4">
        <v>44087</v>
      </c>
      <c r="G84" t="s">
        <v>12</v>
      </c>
      <c r="H84">
        <v>62780</v>
      </c>
    </row>
    <row r="85" spans="2:8" x14ac:dyDescent="0.3">
      <c r="B85" t="s">
        <v>116</v>
      </c>
      <c r="C85" t="s">
        <v>15</v>
      </c>
      <c r="D85">
        <v>20</v>
      </c>
      <c r="E85" t="s">
        <v>16</v>
      </c>
      <c r="F85" s="4">
        <v>44397</v>
      </c>
      <c r="G85" t="s">
        <v>12</v>
      </c>
      <c r="H85">
        <v>107700</v>
      </c>
    </row>
    <row r="86" spans="2:8" x14ac:dyDescent="0.3">
      <c r="B86" t="s">
        <v>167</v>
      </c>
      <c r="C86" t="s">
        <v>15</v>
      </c>
      <c r="D86">
        <v>25</v>
      </c>
      <c r="E86" t="s">
        <v>16</v>
      </c>
      <c r="F86" s="4">
        <v>44322</v>
      </c>
      <c r="G86" t="s">
        <v>19</v>
      </c>
      <c r="H86">
        <v>65700</v>
      </c>
    </row>
    <row r="87" spans="2:8" x14ac:dyDescent="0.3">
      <c r="B87" t="s">
        <v>134</v>
      </c>
      <c r="C87" t="s">
        <v>8</v>
      </c>
      <c r="D87">
        <v>33</v>
      </c>
      <c r="E87" t="s">
        <v>42</v>
      </c>
      <c r="F87" s="4">
        <v>44313</v>
      </c>
      <c r="G87" t="s">
        <v>12</v>
      </c>
      <c r="H87">
        <v>75480</v>
      </c>
    </row>
    <row r="88" spans="2:8" x14ac:dyDescent="0.3">
      <c r="B88" t="s">
        <v>173</v>
      </c>
      <c r="C88" t="s">
        <v>15</v>
      </c>
      <c r="D88">
        <v>33</v>
      </c>
      <c r="E88" t="s">
        <v>16</v>
      </c>
      <c r="F88" s="4">
        <v>44448</v>
      </c>
      <c r="G88" t="s">
        <v>12</v>
      </c>
      <c r="H88">
        <v>53870</v>
      </c>
    </row>
    <row r="89" spans="2:8" x14ac:dyDescent="0.3">
      <c r="B89" t="s">
        <v>140</v>
      </c>
      <c r="C89" t="s">
        <v>8</v>
      </c>
      <c r="D89">
        <v>36</v>
      </c>
      <c r="E89" t="s">
        <v>16</v>
      </c>
      <c r="F89" s="4">
        <v>44433</v>
      </c>
      <c r="G89" t="s">
        <v>19</v>
      </c>
      <c r="H89">
        <v>78540</v>
      </c>
    </row>
    <row r="90" spans="2:8" x14ac:dyDescent="0.3">
      <c r="B90" t="s">
        <v>192</v>
      </c>
      <c r="C90" t="s">
        <v>15</v>
      </c>
      <c r="D90">
        <v>19</v>
      </c>
      <c r="E90" t="s">
        <v>16</v>
      </c>
      <c r="F90" s="4">
        <v>44218</v>
      </c>
      <c r="G90" t="s">
        <v>9</v>
      </c>
      <c r="H90">
        <v>58960</v>
      </c>
    </row>
    <row r="91" spans="2:8" x14ac:dyDescent="0.3">
      <c r="B91" t="s">
        <v>161</v>
      </c>
      <c r="C91" t="s">
        <v>15</v>
      </c>
      <c r="D91">
        <v>46</v>
      </c>
      <c r="E91" t="s">
        <v>16</v>
      </c>
      <c r="F91" s="4">
        <v>44697</v>
      </c>
      <c r="G91" t="s">
        <v>9</v>
      </c>
      <c r="H91">
        <v>70610</v>
      </c>
    </row>
    <row r="92" spans="2:8" x14ac:dyDescent="0.3">
      <c r="B92" t="s">
        <v>170</v>
      </c>
      <c r="C92" t="s">
        <v>15</v>
      </c>
      <c r="D92">
        <v>33</v>
      </c>
      <c r="E92" t="s">
        <v>16</v>
      </c>
      <c r="F92" s="4">
        <v>44181</v>
      </c>
      <c r="G92" t="s">
        <v>21</v>
      </c>
      <c r="H92">
        <v>59430</v>
      </c>
    </row>
    <row r="93" spans="2:8" x14ac:dyDescent="0.3">
      <c r="B93" t="s">
        <v>143</v>
      </c>
      <c r="C93" t="s">
        <v>15</v>
      </c>
      <c r="D93">
        <v>33</v>
      </c>
      <c r="E93" t="s">
        <v>13</v>
      </c>
      <c r="F93" s="4">
        <v>44640</v>
      </c>
      <c r="G93" t="s">
        <v>9</v>
      </c>
      <c r="H93">
        <v>48530</v>
      </c>
    </row>
    <row r="94" spans="2:8" x14ac:dyDescent="0.3">
      <c r="B94" t="s">
        <v>162</v>
      </c>
      <c r="C94" t="s">
        <v>8</v>
      </c>
      <c r="D94">
        <v>33</v>
      </c>
      <c r="E94" t="s">
        <v>16</v>
      </c>
      <c r="F94" s="4">
        <v>44129</v>
      </c>
      <c r="G94" t="s">
        <v>12</v>
      </c>
      <c r="H94">
        <v>96140</v>
      </c>
    </row>
    <row r="95" spans="2:8" x14ac:dyDescent="0.3">
      <c r="B95" t="s">
        <v>155</v>
      </c>
      <c r="C95" t="s">
        <v>15</v>
      </c>
      <c r="D95">
        <v>20</v>
      </c>
      <c r="E95" t="s">
        <v>16</v>
      </c>
      <c r="F95" s="4">
        <v>44122</v>
      </c>
      <c r="G95" t="s">
        <v>12</v>
      </c>
      <c r="H95">
        <v>112650</v>
      </c>
    </row>
    <row r="96" spans="2:8" x14ac:dyDescent="0.3">
      <c r="B96" t="s">
        <v>175</v>
      </c>
      <c r="C96" t="s">
        <v>8</v>
      </c>
      <c r="D96">
        <v>32</v>
      </c>
      <c r="E96" t="s">
        <v>13</v>
      </c>
      <c r="F96" s="4">
        <v>44293</v>
      </c>
      <c r="G96" t="s">
        <v>12</v>
      </c>
      <c r="H96">
        <v>43840</v>
      </c>
    </row>
    <row r="97" spans="2:8" x14ac:dyDescent="0.3">
      <c r="B97" t="s">
        <v>142</v>
      </c>
      <c r="C97" t="s">
        <v>15</v>
      </c>
      <c r="D97">
        <v>31</v>
      </c>
      <c r="E97" t="s">
        <v>16</v>
      </c>
      <c r="F97" s="4">
        <v>44663</v>
      </c>
      <c r="G97" t="s">
        <v>9</v>
      </c>
      <c r="H97">
        <v>103550</v>
      </c>
    </row>
    <row r="98" spans="2:8" x14ac:dyDescent="0.3">
      <c r="B98" t="s">
        <v>200</v>
      </c>
      <c r="C98" t="s">
        <v>8</v>
      </c>
      <c r="D98">
        <v>32</v>
      </c>
      <c r="E98" t="s">
        <v>16</v>
      </c>
      <c r="F98" s="4">
        <v>44339</v>
      </c>
      <c r="G98" t="s">
        <v>56</v>
      </c>
      <c r="H98">
        <v>45510</v>
      </c>
    </row>
    <row r="99" spans="2:8" x14ac:dyDescent="0.3">
      <c r="B99" t="s">
        <v>141</v>
      </c>
      <c r="D99">
        <v>37</v>
      </c>
      <c r="E99" t="s">
        <v>24</v>
      </c>
      <c r="F99" s="4">
        <v>44085</v>
      </c>
      <c r="G99" t="s">
        <v>21</v>
      </c>
      <c r="H99">
        <v>115440</v>
      </c>
    </row>
    <row r="100" spans="2:8" x14ac:dyDescent="0.3">
      <c r="B100" t="s">
        <v>201</v>
      </c>
      <c r="C100" t="s">
        <v>8</v>
      </c>
      <c r="D100">
        <v>38</v>
      </c>
      <c r="E100" t="s">
        <v>13</v>
      </c>
      <c r="F100" s="4">
        <v>44268</v>
      </c>
      <c r="G100" t="s">
        <v>19</v>
      </c>
      <c r="H100">
        <v>56870</v>
      </c>
    </row>
    <row r="101" spans="2:8" x14ac:dyDescent="0.3">
      <c r="B101" t="s">
        <v>168</v>
      </c>
      <c r="C101" t="s">
        <v>8</v>
      </c>
      <c r="D101">
        <v>25</v>
      </c>
      <c r="E101" t="s">
        <v>16</v>
      </c>
      <c r="F101" s="4">
        <v>44144</v>
      </c>
      <c r="G101" t="s">
        <v>19</v>
      </c>
      <c r="H101">
        <v>92700</v>
      </c>
    </row>
    <row r="102" spans="2:8" x14ac:dyDescent="0.3">
      <c r="B102" t="s">
        <v>144</v>
      </c>
      <c r="D102">
        <v>32</v>
      </c>
      <c r="E102" t="s">
        <v>16</v>
      </c>
      <c r="F102" s="4">
        <v>44713</v>
      </c>
      <c r="G102" t="s">
        <v>12</v>
      </c>
      <c r="H102">
        <v>91310</v>
      </c>
    </row>
    <row r="103" spans="2:8" x14ac:dyDescent="0.3">
      <c r="B103" t="s">
        <v>114</v>
      </c>
      <c r="C103" t="s">
        <v>15</v>
      </c>
      <c r="D103">
        <v>33</v>
      </c>
      <c r="E103" t="s">
        <v>16</v>
      </c>
      <c r="F103" s="4">
        <v>44324</v>
      </c>
      <c r="G103" t="s">
        <v>19</v>
      </c>
      <c r="H103">
        <v>74550</v>
      </c>
    </row>
    <row r="104" spans="2:8" x14ac:dyDescent="0.3">
      <c r="B104" t="s">
        <v>127</v>
      </c>
      <c r="C104" t="s">
        <v>15</v>
      </c>
      <c r="D104">
        <v>25</v>
      </c>
      <c r="E104" t="s">
        <v>13</v>
      </c>
      <c r="F104" s="4">
        <v>44665</v>
      </c>
      <c r="G104" t="s">
        <v>9</v>
      </c>
      <c r="H104">
        <v>109190</v>
      </c>
    </row>
    <row r="105" spans="2:8" x14ac:dyDescent="0.3">
      <c r="B105" t="s">
        <v>193</v>
      </c>
      <c r="C105" t="s">
        <v>8</v>
      </c>
      <c r="D105">
        <v>40</v>
      </c>
      <c r="E105" t="s">
        <v>16</v>
      </c>
      <c r="F105" s="4">
        <v>44320</v>
      </c>
      <c r="G105" t="s">
        <v>12</v>
      </c>
      <c r="H105">
        <v>104410</v>
      </c>
    </row>
    <row r="106" spans="2:8" x14ac:dyDescent="0.3">
      <c r="B106" t="s">
        <v>176</v>
      </c>
      <c r="C106" t="s">
        <v>15</v>
      </c>
      <c r="D106">
        <v>30</v>
      </c>
      <c r="E106" t="s">
        <v>16</v>
      </c>
      <c r="F106" s="4">
        <v>44544</v>
      </c>
      <c r="G106" t="s">
        <v>21</v>
      </c>
      <c r="H106">
        <v>96800</v>
      </c>
    </row>
    <row r="107" spans="2:8" x14ac:dyDescent="0.3">
      <c r="B107" t="s">
        <v>122</v>
      </c>
      <c r="C107" t="s">
        <v>15</v>
      </c>
      <c r="D107">
        <v>28</v>
      </c>
      <c r="E107" t="s">
        <v>13</v>
      </c>
      <c r="F107" s="4">
        <v>43980</v>
      </c>
      <c r="G107" t="s">
        <v>21</v>
      </c>
      <c r="H107">
        <v>48170</v>
      </c>
    </row>
    <row r="108" spans="2:8" x14ac:dyDescent="0.3">
      <c r="B108" t="s">
        <v>139</v>
      </c>
      <c r="C108" t="s">
        <v>15</v>
      </c>
      <c r="D108">
        <v>21</v>
      </c>
      <c r="E108" t="s">
        <v>16</v>
      </c>
      <c r="F108" s="4">
        <v>44042</v>
      </c>
      <c r="G108" t="s">
        <v>9</v>
      </c>
      <c r="H108">
        <v>37920</v>
      </c>
    </row>
    <row r="109" spans="2:8" x14ac:dyDescent="0.3">
      <c r="B109" t="s">
        <v>177</v>
      </c>
      <c r="C109" t="s">
        <v>15</v>
      </c>
      <c r="D109">
        <v>34</v>
      </c>
      <c r="E109" t="s">
        <v>16</v>
      </c>
      <c r="F109" s="4">
        <v>44642</v>
      </c>
      <c r="G109" t="s">
        <v>9</v>
      </c>
      <c r="H109">
        <v>112650</v>
      </c>
    </row>
    <row r="110" spans="2:8" x14ac:dyDescent="0.3">
      <c r="B110" t="s">
        <v>164</v>
      </c>
      <c r="C110" t="s">
        <v>8</v>
      </c>
      <c r="D110">
        <v>34</v>
      </c>
      <c r="E110" t="s">
        <v>24</v>
      </c>
      <c r="F110" s="4">
        <v>44660</v>
      </c>
      <c r="G110" t="s">
        <v>19</v>
      </c>
      <c r="H110">
        <v>49630</v>
      </c>
    </row>
    <row r="111" spans="2:8" x14ac:dyDescent="0.3">
      <c r="B111" t="s">
        <v>198</v>
      </c>
      <c r="C111" t="s">
        <v>15</v>
      </c>
      <c r="D111">
        <v>36</v>
      </c>
      <c r="E111" t="s">
        <v>16</v>
      </c>
      <c r="F111" s="4">
        <v>43958</v>
      </c>
      <c r="G111" t="s">
        <v>12</v>
      </c>
      <c r="H111">
        <v>118840</v>
      </c>
    </row>
    <row r="112" spans="2:8" x14ac:dyDescent="0.3">
      <c r="B112" t="s">
        <v>158</v>
      </c>
      <c r="C112" t="s">
        <v>15</v>
      </c>
      <c r="D112">
        <v>30</v>
      </c>
      <c r="E112" t="s">
        <v>16</v>
      </c>
      <c r="F112" s="4">
        <v>44789</v>
      </c>
      <c r="G112" t="s">
        <v>12</v>
      </c>
      <c r="H112">
        <v>69710</v>
      </c>
    </row>
    <row r="113" spans="2:8" x14ac:dyDescent="0.3">
      <c r="B113" t="s">
        <v>196</v>
      </c>
      <c r="C113" t="s">
        <v>15</v>
      </c>
      <c r="D113">
        <v>20</v>
      </c>
      <c r="E113" t="s">
        <v>16</v>
      </c>
      <c r="F113" s="4">
        <v>44683</v>
      </c>
      <c r="G113" t="s">
        <v>9</v>
      </c>
      <c r="H113">
        <v>79570</v>
      </c>
    </row>
    <row r="114" spans="2:8" x14ac:dyDescent="0.3">
      <c r="B114" t="s">
        <v>153</v>
      </c>
      <c r="C114" t="s">
        <v>8</v>
      </c>
      <c r="D114">
        <v>22</v>
      </c>
      <c r="E114" t="s">
        <v>13</v>
      </c>
      <c r="F114" s="4">
        <v>44388</v>
      </c>
      <c r="G114" t="s">
        <v>9</v>
      </c>
      <c r="H114">
        <v>76900</v>
      </c>
    </row>
  </sheetData>
  <conditionalFormatting sqref="B3:B114">
    <cfRule type="duplicateValues" dxfId="0"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43C94-15A1-4208-9A91-1FD22671646B}">
  <sheetPr>
    <tabColor rgb="FFFF0000"/>
  </sheetPr>
  <dimension ref="A1:X185"/>
  <sheetViews>
    <sheetView topLeftCell="E1" zoomScaleNormal="100" workbookViewId="0">
      <selection activeCell="O16" sqref="O16"/>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11" bestFit="1" customWidth="1"/>
    <col min="8" max="8" width="10" bestFit="1" customWidth="1"/>
    <col min="9" max="9" width="13.21875" style="8" customWidth="1"/>
    <col min="10" max="10" width="13.21875" style="30" customWidth="1"/>
    <col min="11" max="11" width="13.21875" customWidth="1"/>
    <col min="12" max="12" width="13.21875" style="8" customWidth="1"/>
    <col min="14" max="14" width="11.6640625" customWidth="1"/>
    <col min="15" max="15" width="27.5546875" bestFit="1" customWidth="1"/>
    <col min="16" max="16" width="13.5546875" customWidth="1"/>
    <col min="17" max="18" width="14.33203125" bestFit="1" customWidth="1"/>
    <col min="20" max="20" width="14.33203125" bestFit="1" customWidth="1"/>
  </cols>
  <sheetData>
    <row r="1" spans="1:24" x14ac:dyDescent="0.3">
      <c r="A1" t="s">
        <v>0</v>
      </c>
      <c r="B1" t="s">
        <v>1</v>
      </c>
      <c r="C1" t="s">
        <v>3</v>
      </c>
      <c r="D1" t="s">
        <v>6</v>
      </c>
      <c r="E1" t="s">
        <v>4</v>
      </c>
      <c r="F1" t="s">
        <v>2</v>
      </c>
      <c r="G1" t="s">
        <v>5</v>
      </c>
      <c r="H1" t="s">
        <v>203</v>
      </c>
      <c r="I1" s="8" t="s">
        <v>212</v>
      </c>
      <c r="J1" s="30" t="s">
        <v>228</v>
      </c>
      <c r="K1" t="s">
        <v>231</v>
      </c>
    </row>
    <row r="2" spans="1:24" ht="18" x14ac:dyDescent="0.35">
      <c r="A2" t="s">
        <v>155</v>
      </c>
      <c r="B2" t="s">
        <v>15</v>
      </c>
      <c r="C2">
        <v>20</v>
      </c>
      <c r="D2" t="s">
        <v>16</v>
      </c>
      <c r="E2" s="6">
        <v>44122</v>
      </c>
      <c r="F2" t="s">
        <v>12</v>
      </c>
      <c r="G2" s="33">
        <v>112650</v>
      </c>
      <c r="H2" t="s">
        <v>204</v>
      </c>
      <c r="I2" s="8">
        <f ca="1">(TODAY()-staff_data[[#This Row],[Date Joined]])/365</f>
        <v>2.9260273972602739</v>
      </c>
      <c r="J2" s="31">
        <f ca="1">ROUNDUP(IF(staff_data[[#This Row],[Tenure]]&gt;2.5,3%,2%)*staff_data[[#This Row],[Salary]],0)</f>
        <v>3380</v>
      </c>
      <c r="K2" s="32">
        <f>_xlfn.XLOOKUP(staff_data[[#This Row],[Rating]],'Salary vs Rating'!$B$12:$B$16,'Salary vs Rating'!$C$12:$C$16)</f>
        <v>3</v>
      </c>
      <c r="N2" s="11">
        <v>1</v>
      </c>
      <c r="O2" s="48" t="s">
        <v>216</v>
      </c>
      <c r="X2" s="10" t="s">
        <v>215</v>
      </c>
    </row>
    <row r="3" spans="1:24" x14ac:dyDescent="0.3">
      <c r="A3" t="s">
        <v>175</v>
      </c>
      <c r="B3" t="s">
        <v>8</v>
      </c>
      <c r="C3">
        <v>32</v>
      </c>
      <c r="D3" t="s">
        <v>13</v>
      </c>
      <c r="E3" s="6">
        <v>44293</v>
      </c>
      <c r="F3" t="s">
        <v>12</v>
      </c>
      <c r="G3" s="33">
        <v>43840</v>
      </c>
      <c r="H3" t="s">
        <v>204</v>
      </c>
      <c r="I3" s="8">
        <f ca="1">(TODAY()-staff_data[[#This Row],[Date Joined]])/365</f>
        <v>2.4575342465753423</v>
      </c>
      <c r="J3" s="31">
        <f ca="1">ROUNDUP(IF(staff_data[[#This Row],[Tenure]]&gt;2.5,3%,2%)*staff_data[[#This Row],[Salary]],0)</f>
        <v>877</v>
      </c>
      <c r="K3" s="32">
        <f>_xlfn.XLOOKUP(staff_data[[#This Row],[Rating]],'Salary vs Rating'!$B$12:$B$16,'Salary vs Rating'!$C$12:$C$16)</f>
        <v>4</v>
      </c>
      <c r="X3" t="b" cm="1">
        <f t="array" ref="X3:X185">IF(staff_data[Salary]&gt;90000,TRUE,FALSE)</f>
        <v>1</v>
      </c>
    </row>
    <row r="4" spans="1:24" x14ac:dyDescent="0.3">
      <c r="A4" t="s">
        <v>142</v>
      </c>
      <c r="B4" t="s">
        <v>15</v>
      </c>
      <c r="C4">
        <v>31</v>
      </c>
      <c r="D4" t="s">
        <v>16</v>
      </c>
      <c r="E4" s="6">
        <v>44663</v>
      </c>
      <c r="F4" t="s">
        <v>9</v>
      </c>
      <c r="G4" s="33">
        <v>103550</v>
      </c>
      <c r="H4" t="s">
        <v>204</v>
      </c>
      <c r="I4" s="8">
        <f ca="1">(TODAY()-staff_data[[#This Row],[Date Joined]])/365</f>
        <v>1.4438356164383561</v>
      </c>
      <c r="J4" s="31">
        <f ca="1">ROUNDUP(IF(staff_data[[#This Row],[Tenure]]&gt;2.5,3%,2%)*staff_data[[#This Row],[Salary]],0)</f>
        <v>2071</v>
      </c>
      <c r="K4" s="32">
        <f>_xlfn.XLOOKUP(staff_data[[#This Row],[Rating]],'Salary vs Rating'!$B$12:$B$16,'Salary vs Rating'!$C$12:$C$16)</f>
        <v>3</v>
      </c>
      <c r="O4" s="13" t="s">
        <v>207</v>
      </c>
      <c r="P4" s="13">
        <f>COUNTA(staff_data[Name])</f>
        <v>183</v>
      </c>
      <c r="X4" t="b">
        <v>0</v>
      </c>
    </row>
    <row r="5" spans="1:24" x14ac:dyDescent="0.3">
      <c r="A5" t="s">
        <v>200</v>
      </c>
      <c r="B5" t="s">
        <v>8</v>
      </c>
      <c r="C5">
        <v>32</v>
      </c>
      <c r="D5" t="s">
        <v>16</v>
      </c>
      <c r="E5" s="6">
        <v>44339</v>
      </c>
      <c r="F5" t="s">
        <v>56</v>
      </c>
      <c r="G5" s="33">
        <v>45510</v>
      </c>
      <c r="H5" t="s">
        <v>204</v>
      </c>
      <c r="I5" s="8">
        <f ca="1">(TODAY()-staff_data[[#This Row],[Date Joined]])/365</f>
        <v>2.3315068493150686</v>
      </c>
      <c r="J5" s="31">
        <f ca="1">ROUNDUP(IF(staff_data[[#This Row],[Tenure]]&gt;2.5,3%,2%)*staff_data[[#This Row],[Salary]],0)</f>
        <v>911</v>
      </c>
      <c r="K5" s="32">
        <f>_xlfn.XLOOKUP(staff_data[[#This Row],[Rating]],'Salary vs Rating'!$B$12:$B$16,'Salary vs Rating'!$C$12:$C$16)</f>
        <v>3</v>
      </c>
      <c r="O5" s="13" t="s">
        <v>208</v>
      </c>
      <c r="P5" s="49">
        <f>AVERAGE(staff_data[Salary])</f>
        <v>77173.715846994543</v>
      </c>
      <c r="Q5">
        <f>MEDIAN(staff_data[Salary])</f>
        <v>75000</v>
      </c>
      <c r="X5" t="b">
        <v>1</v>
      </c>
    </row>
    <row r="6" spans="1:24" x14ac:dyDescent="0.3">
      <c r="A6" t="s">
        <v>151</v>
      </c>
      <c r="B6" t="s">
        <v>8</v>
      </c>
      <c r="C6">
        <v>27</v>
      </c>
      <c r="D6" t="s">
        <v>16</v>
      </c>
      <c r="E6" s="6">
        <v>44061</v>
      </c>
      <c r="F6" t="s">
        <v>56</v>
      </c>
      <c r="G6" s="33">
        <v>119110</v>
      </c>
      <c r="H6" t="s">
        <v>204</v>
      </c>
      <c r="I6" s="8">
        <f ca="1">(TODAY()-staff_data[[#This Row],[Date Joined]])/365</f>
        <v>3.0931506849315067</v>
      </c>
      <c r="J6" s="31">
        <f ca="1">ROUNDUP(IF(staff_data[[#This Row],[Tenure]]&gt;2.5,3%,2%)*staff_data[[#This Row],[Salary]],0)</f>
        <v>3574</v>
      </c>
      <c r="K6" s="32">
        <f>_xlfn.XLOOKUP(staff_data[[#This Row],[Rating]],'Salary vs Rating'!$B$12:$B$16,'Salary vs Rating'!$C$12:$C$16)</f>
        <v>3</v>
      </c>
      <c r="O6" s="13" t="s">
        <v>209</v>
      </c>
      <c r="P6" s="13">
        <f>AVERAGE(staff_data[Age])</f>
        <v>30.42622950819672</v>
      </c>
      <c r="Q6">
        <f>MEDIAN(staff_data[Age])</f>
        <v>30</v>
      </c>
      <c r="X6" t="b">
        <v>0</v>
      </c>
    </row>
    <row r="7" spans="1:24" x14ac:dyDescent="0.3">
      <c r="A7" t="s">
        <v>201</v>
      </c>
      <c r="B7" t="s">
        <v>8</v>
      </c>
      <c r="C7">
        <v>38</v>
      </c>
      <c r="D7" t="s">
        <v>13</v>
      </c>
      <c r="E7" s="6">
        <v>44268</v>
      </c>
      <c r="F7" t="s">
        <v>19</v>
      </c>
      <c r="G7" s="33">
        <v>56870</v>
      </c>
      <c r="H7" t="s">
        <v>204</v>
      </c>
      <c r="I7" s="8">
        <f ca="1">(TODAY()-staff_data[[#This Row],[Date Joined]])/365</f>
        <v>2.526027397260274</v>
      </c>
      <c r="J7" s="31">
        <f ca="1">ROUNDUP(IF(staff_data[[#This Row],[Tenure]]&gt;2.5,3%,2%)*staff_data[[#This Row],[Salary]],0)</f>
        <v>1707</v>
      </c>
      <c r="K7" s="32">
        <f>_xlfn.XLOOKUP(staff_data[[#This Row],[Rating]],'Salary vs Rating'!$B$12:$B$16,'Salary vs Rating'!$C$12:$C$16)</f>
        <v>4</v>
      </c>
      <c r="O7" s="13" t="s">
        <v>210</v>
      </c>
      <c r="P7" s="13">
        <f ca="1">AVERAGE(staff_data[Tenure])</f>
        <v>2.0738827756568607</v>
      </c>
      <c r="X7" t="b">
        <v>1</v>
      </c>
    </row>
    <row r="8" spans="1:24" x14ac:dyDescent="0.3">
      <c r="A8" t="s">
        <v>168</v>
      </c>
      <c r="B8" t="s">
        <v>8</v>
      </c>
      <c r="C8">
        <v>25</v>
      </c>
      <c r="D8" t="s">
        <v>16</v>
      </c>
      <c r="E8" s="6">
        <v>44144</v>
      </c>
      <c r="F8" t="s">
        <v>19</v>
      </c>
      <c r="G8" s="33">
        <v>92700</v>
      </c>
      <c r="H8" t="s">
        <v>204</v>
      </c>
      <c r="I8" s="8">
        <f ca="1">(TODAY()-staff_data[[#This Row],[Date Joined]])/365</f>
        <v>2.8657534246575342</v>
      </c>
      <c r="J8" s="31">
        <f ca="1">ROUNDUP(IF(staff_data[[#This Row],[Tenure]]&gt;2.5,3%,2%)*staff_data[[#This Row],[Salary]],0)</f>
        <v>2781</v>
      </c>
      <c r="K8" s="32">
        <f>_xlfn.XLOOKUP(staff_data[[#This Row],[Rating]],'Salary vs Rating'!$B$12:$B$16,'Salary vs Rating'!$C$12:$C$16)</f>
        <v>3</v>
      </c>
      <c r="O8" s="13" t="s">
        <v>211</v>
      </c>
      <c r="P8" s="50">
        <f>P9/P4</f>
        <v>0.46994535519125685</v>
      </c>
      <c r="X8" t="b">
        <v>0</v>
      </c>
    </row>
    <row r="9" spans="1:24" x14ac:dyDescent="0.3">
      <c r="A9" t="s">
        <v>144</v>
      </c>
      <c r="B9" t="s">
        <v>205</v>
      </c>
      <c r="C9">
        <v>32</v>
      </c>
      <c r="D9" t="s">
        <v>16</v>
      </c>
      <c r="E9" s="6">
        <v>44713</v>
      </c>
      <c r="F9" t="s">
        <v>12</v>
      </c>
      <c r="G9" s="33">
        <v>91310</v>
      </c>
      <c r="H9" t="s">
        <v>204</v>
      </c>
      <c r="I9" s="8">
        <f ca="1">(TODAY()-staff_data[[#This Row],[Date Joined]])/365</f>
        <v>1.3068493150684932</v>
      </c>
      <c r="J9" s="31">
        <f ca="1">ROUNDUP(IF(staff_data[[#This Row],[Tenure]]&gt;2.5,3%,2%)*staff_data[[#This Row],[Salary]],0)</f>
        <v>1827</v>
      </c>
      <c r="K9" s="32">
        <f>_xlfn.XLOOKUP(staff_data[[#This Row],[Rating]],'Salary vs Rating'!$B$12:$B$16,'Salary vs Rating'!$C$12:$C$16)</f>
        <v>3</v>
      </c>
      <c r="O9" s="13" t="s">
        <v>213</v>
      </c>
      <c r="P9" s="13">
        <f>COUNTIFS(staff_data[Gender],"Female")</f>
        <v>86</v>
      </c>
      <c r="X9" t="b">
        <v>1</v>
      </c>
    </row>
    <row r="10" spans="1:24" x14ac:dyDescent="0.3">
      <c r="A10" t="s">
        <v>114</v>
      </c>
      <c r="B10" t="s">
        <v>15</v>
      </c>
      <c r="C10">
        <v>33</v>
      </c>
      <c r="D10" t="s">
        <v>16</v>
      </c>
      <c r="E10" s="6">
        <v>44324</v>
      </c>
      <c r="F10" t="s">
        <v>19</v>
      </c>
      <c r="G10" s="33">
        <v>74550</v>
      </c>
      <c r="H10" t="s">
        <v>204</v>
      </c>
      <c r="I10" s="8">
        <f ca="1">(TODAY()-staff_data[[#This Row],[Date Joined]])/365</f>
        <v>2.3726027397260272</v>
      </c>
      <c r="J10" s="31">
        <f ca="1">ROUNDUP(IF(staff_data[[#This Row],[Tenure]]&gt;2.5,3%,2%)*staff_data[[#This Row],[Salary]],0)</f>
        <v>1491</v>
      </c>
      <c r="K10" s="32">
        <f>_xlfn.XLOOKUP(staff_data[[#This Row],[Rating]],'Salary vs Rating'!$B$12:$B$16,'Salary vs Rating'!$C$12:$C$16)</f>
        <v>3</v>
      </c>
      <c r="X10" t="b">
        <v>1</v>
      </c>
    </row>
    <row r="11" spans="1:24" x14ac:dyDescent="0.3">
      <c r="A11" t="s">
        <v>127</v>
      </c>
      <c r="B11" t="s">
        <v>15</v>
      </c>
      <c r="C11">
        <v>25</v>
      </c>
      <c r="D11" t="s">
        <v>13</v>
      </c>
      <c r="E11" s="6">
        <v>44665</v>
      </c>
      <c r="F11" t="s">
        <v>9</v>
      </c>
      <c r="G11" s="33">
        <v>109190</v>
      </c>
      <c r="H11" t="s">
        <v>204</v>
      </c>
      <c r="I11" s="8">
        <f ca="1">(TODAY()-staff_data[[#This Row],[Date Joined]])/365</f>
        <v>1.4383561643835616</v>
      </c>
      <c r="J11" s="31">
        <f ca="1">ROUNDUP(IF(staff_data[[#This Row],[Tenure]]&gt;2.5,3%,2%)*staff_data[[#This Row],[Salary]],0)</f>
        <v>2184</v>
      </c>
      <c r="K11" s="32">
        <f>_xlfn.XLOOKUP(staff_data[[#This Row],[Rating]],'Salary vs Rating'!$B$12:$B$16,'Salary vs Rating'!$C$12:$C$16)</f>
        <v>4</v>
      </c>
      <c r="O11" t="s">
        <v>214</v>
      </c>
      <c r="P11" s="9">
        <f>(COUNTIFS(_xlfn.ANCHORARRAY(X3),"TRUE"))/P4</f>
        <v>0.34426229508196721</v>
      </c>
      <c r="X11" t="b">
        <v>0</v>
      </c>
    </row>
    <row r="12" spans="1:24" x14ac:dyDescent="0.3">
      <c r="A12" t="s">
        <v>193</v>
      </c>
      <c r="B12" t="s">
        <v>8</v>
      </c>
      <c r="C12">
        <v>40</v>
      </c>
      <c r="D12" t="s">
        <v>16</v>
      </c>
      <c r="E12" s="6">
        <v>44320</v>
      </c>
      <c r="F12" t="s">
        <v>12</v>
      </c>
      <c r="G12" s="33">
        <v>104410</v>
      </c>
      <c r="H12" t="s">
        <v>204</v>
      </c>
      <c r="I12" s="8">
        <f ca="1">(TODAY()-staff_data[[#This Row],[Date Joined]])/365</f>
        <v>2.3835616438356166</v>
      </c>
      <c r="J12" s="31">
        <f ca="1">ROUNDUP(IF(staff_data[[#This Row],[Tenure]]&gt;2.5,3%,2%)*staff_data[[#This Row],[Salary]],0)</f>
        <v>2089</v>
      </c>
      <c r="K12" s="32">
        <f>_xlfn.XLOOKUP(staff_data[[#This Row],[Rating]],'Salary vs Rating'!$B$12:$B$16,'Salary vs Rating'!$C$12:$C$16)</f>
        <v>3</v>
      </c>
      <c r="X12" t="b">
        <v>1</v>
      </c>
    </row>
    <row r="13" spans="1:24" x14ac:dyDescent="0.3">
      <c r="A13" t="s">
        <v>176</v>
      </c>
      <c r="B13" t="s">
        <v>15</v>
      </c>
      <c r="C13">
        <v>30</v>
      </c>
      <c r="D13" t="s">
        <v>16</v>
      </c>
      <c r="E13" s="6">
        <v>44544</v>
      </c>
      <c r="F13" t="s">
        <v>21</v>
      </c>
      <c r="G13" s="33">
        <v>96800</v>
      </c>
      <c r="H13" t="s">
        <v>204</v>
      </c>
      <c r="I13" s="8">
        <f ca="1">(TODAY()-staff_data[[#This Row],[Date Joined]])/365</f>
        <v>1.7698630136986302</v>
      </c>
      <c r="J13" s="31">
        <f ca="1">ROUNDUP(IF(staff_data[[#This Row],[Tenure]]&gt;2.5,3%,2%)*staff_data[[#This Row],[Salary]],0)</f>
        <v>1936</v>
      </c>
      <c r="K13" s="32">
        <f>_xlfn.XLOOKUP(staff_data[[#This Row],[Rating]],'Salary vs Rating'!$B$12:$B$16,'Salary vs Rating'!$C$12:$C$16)</f>
        <v>3</v>
      </c>
      <c r="X13" t="b">
        <v>1</v>
      </c>
    </row>
    <row r="14" spans="1:24" ht="18" x14ac:dyDescent="0.35">
      <c r="A14" t="s">
        <v>122</v>
      </c>
      <c r="B14" t="s">
        <v>15</v>
      </c>
      <c r="C14">
        <v>28</v>
      </c>
      <c r="D14" t="s">
        <v>13</v>
      </c>
      <c r="E14" s="6">
        <v>43980</v>
      </c>
      <c r="F14" t="s">
        <v>21</v>
      </c>
      <c r="G14" s="33">
        <v>48170</v>
      </c>
      <c r="H14" t="s">
        <v>204</v>
      </c>
      <c r="I14" s="8">
        <f ca="1">(TODAY()-staff_data[[#This Row],[Date Joined]])/365</f>
        <v>3.3150684931506849</v>
      </c>
      <c r="J14" s="31">
        <f ca="1">ROUNDUP(IF(staff_data[[#This Row],[Tenure]]&gt;2.5,3%,2%)*staff_data[[#This Row],[Salary]],0)</f>
        <v>1446</v>
      </c>
      <c r="K14" s="32">
        <f>_xlfn.XLOOKUP(staff_data[[#This Row],[Rating]],'Salary vs Rating'!$B$12:$B$16,'Salary vs Rating'!$C$12:$C$16)</f>
        <v>4</v>
      </c>
      <c r="N14" s="11">
        <v>2</v>
      </c>
      <c r="O14" s="48" t="s">
        <v>217</v>
      </c>
      <c r="X14" t="b">
        <v>1</v>
      </c>
    </row>
    <row r="15" spans="1:24" x14ac:dyDescent="0.3">
      <c r="A15" t="s">
        <v>139</v>
      </c>
      <c r="B15" t="s">
        <v>15</v>
      </c>
      <c r="C15">
        <v>21</v>
      </c>
      <c r="D15" t="s">
        <v>16</v>
      </c>
      <c r="E15" s="6">
        <v>44042</v>
      </c>
      <c r="F15" t="s">
        <v>9</v>
      </c>
      <c r="G15" s="33">
        <v>37920</v>
      </c>
      <c r="H15" t="s">
        <v>204</v>
      </c>
      <c r="I15" s="8">
        <f ca="1">(TODAY()-staff_data[[#This Row],[Date Joined]])/365</f>
        <v>3.1452054794520548</v>
      </c>
      <c r="J15" s="31">
        <f ca="1">ROUNDUP(IF(staff_data[[#This Row],[Tenure]]&gt;2.5,3%,2%)*staff_data[[#This Row],[Salary]],0)</f>
        <v>1138</v>
      </c>
      <c r="K15" s="32">
        <f>_xlfn.XLOOKUP(staff_data[[#This Row],[Rating]],'Salary vs Rating'!$B$12:$B$16,'Salary vs Rating'!$C$12:$C$16)</f>
        <v>3</v>
      </c>
      <c r="X15" t="b">
        <v>0</v>
      </c>
    </row>
    <row r="16" spans="1:24" x14ac:dyDescent="0.3">
      <c r="A16" t="s">
        <v>177</v>
      </c>
      <c r="B16" t="s">
        <v>15</v>
      </c>
      <c r="C16">
        <v>34</v>
      </c>
      <c r="D16" t="s">
        <v>16</v>
      </c>
      <c r="E16" s="6">
        <v>44642</v>
      </c>
      <c r="F16" t="s">
        <v>9</v>
      </c>
      <c r="G16" s="33">
        <v>112650</v>
      </c>
      <c r="H16" t="s">
        <v>204</v>
      </c>
      <c r="I16" s="8">
        <f ca="1">(TODAY()-staff_data[[#This Row],[Date Joined]])/365</f>
        <v>1.5013698630136987</v>
      </c>
      <c r="J16" s="31">
        <f ca="1">ROUNDUP(IF(staff_data[[#This Row],[Tenure]]&gt;2.5,3%,2%)*staff_data[[#This Row],[Salary]],0)</f>
        <v>2253</v>
      </c>
      <c r="K16" s="32">
        <f>_xlfn.XLOOKUP(staff_data[[#This Row],[Rating]],'Salary vs Rating'!$B$12:$B$16,'Salary vs Rating'!$C$12:$C$16)</f>
        <v>3</v>
      </c>
      <c r="O16" s="12" t="s">
        <v>198</v>
      </c>
      <c r="X16" t="b">
        <v>0</v>
      </c>
    </row>
    <row r="17" spans="1:24" x14ac:dyDescent="0.3">
      <c r="A17" t="s">
        <v>164</v>
      </c>
      <c r="B17" t="s">
        <v>8</v>
      </c>
      <c r="C17">
        <v>34</v>
      </c>
      <c r="D17" t="s">
        <v>24</v>
      </c>
      <c r="E17" s="6">
        <v>44660</v>
      </c>
      <c r="F17" t="s">
        <v>19</v>
      </c>
      <c r="G17" s="33">
        <v>49630</v>
      </c>
      <c r="H17" t="s">
        <v>204</v>
      </c>
      <c r="I17" s="8">
        <f ca="1">(TODAY()-staff_data[[#This Row],[Date Joined]])/365</f>
        <v>1.452054794520548</v>
      </c>
      <c r="J17" s="31">
        <f ca="1">ROUNDUP(IF(staff_data[[#This Row],[Tenure]]&gt;2.5,3%,2%)*staff_data[[#This Row],[Salary]],0)</f>
        <v>993</v>
      </c>
      <c r="K17" s="32">
        <f>_xlfn.XLOOKUP(staff_data[[#This Row],[Rating]],'Salary vs Rating'!$B$12:$B$16,'Salary vs Rating'!$C$12:$C$16)</f>
        <v>2</v>
      </c>
      <c r="X17" t="b">
        <v>1</v>
      </c>
    </row>
    <row r="18" spans="1:24" x14ac:dyDescent="0.3">
      <c r="A18" t="s">
        <v>60</v>
      </c>
      <c r="B18" t="s">
        <v>8</v>
      </c>
      <c r="C18">
        <v>27</v>
      </c>
      <c r="D18" t="s">
        <v>16</v>
      </c>
      <c r="E18" s="6">
        <v>44122</v>
      </c>
      <c r="F18" t="s">
        <v>56</v>
      </c>
      <c r="G18" s="33">
        <v>119110</v>
      </c>
      <c r="H18" t="s">
        <v>206</v>
      </c>
      <c r="I18" s="8">
        <f ca="1">(TODAY()-staff_data[[#This Row],[Date Joined]])/365</f>
        <v>2.9260273972602739</v>
      </c>
      <c r="J18" s="31">
        <f ca="1">ROUNDUP(IF(staff_data[[#This Row],[Tenure]]&gt;2.5,3%,2%)*staff_data[[#This Row],[Salary]],0)</f>
        <v>3574</v>
      </c>
      <c r="K18" s="32">
        <f>_xlfn.XLOOKUP(staff_data[[#This Row],[Rating]],'Salary vs Rating'!$B$12:$B$16,'Salary vs Rating'!$C$12:$C$16)</f>
        <v>3</v>
      </c>
      <c r="O18" s="13" t="s">
        <v>1</v>
      </c>
      <c r="P18" s="14" t="str" cm="1">
        <f t="array" aca="1" ref="P18:P25" ca="1">TRANSPOSE(_xlfn.XLOOKUP(O16,staff_data[Name],staff_data[[Gender]:[Tenure]]))</f>
        <v>Male</v>
      </c>
      <c r="X18" t="b">
        <v>0</v>
      </c>
    </row>
    <row r="19" spans="1:24" x14ac:dyDescent="0.3">
      <c r="A19" t="s">
        <v>158</v>
      </c>
      <c r="B19" t="s">
        <v>15</v>
      </c>
      <c r="C19">
        <v>30</v>
      </c>
      <c r="D19" t="s">
        <v>16</v>
      </c>
      <c r="E19" s="6">
        <v>44789</v>
      </c>
      <c r="F19" t="s">
        <v>12</v>
      </c>
      <c r="G19" s="33">
        <v>69710</v>
      </c>
      <c r="H19" t="s">
        <v>204</v>
      </c>
      <c r="I19" s="8">
        <f ca="1">(TODAY()-staff_data[[#This Row],[Date Joined]])/365</f>
        <v>1.0986301369863014</v>
      </c>
      <c r="J19" s="31">
        <f ca="1">ROUNDUP(IF(staff_data[[#This Row],[Tenure]]&gt;2.5,3%,2%)*staff_data[[#This Row],[Salary]],0)</f>
        <v>1395</v>
      </c>
      <c r="K19" s="32">
        <f>_xlfn.XLOOKUP(staff_data[[#This Row],[Rating]],'Salary vs Rating'!$B$12:$B$16,'Salary vs Rating'!$C$12:$C$16)</f>
        <v>3</v>
      </c>
      <c r="O19" s="13" t="s">
        <v>3</v>
      </c>
      <c r="P19" s="14">
        <f ca="1"/>
        <v>36</v>
      </c>
      <c r="X19" t="b">
        <v>1</v>
      </c>
    </row>
    <row r="20" spans="1:24" x14ac:dyDescent="0.3">
      <c r="A20" t="s">
        <v>196</v>
      </c>
      <c r="B20" t="s">
        <v>15</v>
      </c>
      <c r="C20">
        <v>20</v>
      </c>
      <c r="D20" t="s">
        <v>16</v>
      </c>
      <c r="E20" s="6">
        <v>44683</v>
      </c>
      <c r="F20" t="s">
        <v>9</v>
      </c>
      <c r="G20" s="33">
        <v>79570</v>
      </c>
      <c r="H20" t="s">
        <v>204</v>
      </c>
      <c r="I20" s="8">
        <f ca="1">(TODAY()-staff_data[[#This Row],[Date Joined]])/365</f>
        <v>1.3890410958904109</v>
      </c>
      <c r="J20" s="31">
        <f ca="1">ROUNDUP(IF(staff_data[[#This Row],[Tenure]]&gt;2.5,3%,2%)*staff_data[[#This Row],[Salary]],0)</f>
        <v>1592</v>
      </c>
      <c r="K20" s="32">
        <f>_xlfn.XLOOKUP(staff_data[[#This Row],[Rating]],'Salary vs Rating'!$B$12:$B$16,'Salary vs Rating'!$C$12:$C$16)</f>
        <v>3</v>
      </c>
      <c r="O20" s="13" t="s">
        <v>6</v>
      </c>
      <c r="P20" s="14" t="str">
        <f ca="1"/>
        <v>Average</v>
      </c>
      <c r="X20" t="b">
        <v>0</v>
      </c>
    </row>
    <row r="21" spans="1:24" x14ac:dyDescent="0.3">
      <c r="A21" t="s">
        <v>153</v>
      </c>
      <c r="B21" t="s">
        <v>8</v>
      </c>
      <c r="C21">
        <v>22</v>
      </c>
      <c r="D21" t="s">
        <v>13</v>
      </c>
      <c r="E21" s="6">
        <v>44388</v>
      </c>
      <c r="F21" t="s">
        <v>9</v>
      </c>
      <c r="G21" s="33">
        <v>76900</v>
      </c>
      <c r="H21" t="s">
        <v>204</v>
      </c>
      <c r="I21" s="8">
        <f ca="1">(TODAY()-staff_data[[#This Row],[Date Joined]])/365</f>
        <v>2.1972602739726028</v>
      </c>
      <c r="J21" s="31">
        <f ca="1">ROUNDUP(IF(staff_data[[#This Row],[Tenure]]&gt;2.5,3%,2%)*staff_data[[#This Row],[Salary]],0)</f>
        <v>1538</v>
      </c>
      <c r="K21" s="32">
        <f>_xlfn.XLOOKUP(staff_data[[#This Row],[Rating]],'Salary vs Rating'!$B$12:$B$16,'Salary vs Rating'!$C$12:$C$16)</f>
        <v>4</v>
      </c>
      <c r="O21" s="13" t="s">
        <v>4</v>
      </c>
      <c r="P21" s="16">
        <f ca="1"/>
        <v>43958</v>
      </c>
      <c r="X21" t="b">
        <v>0</v>
      </c>
    </row>
    <row r="22" spans="1:24" x14ac:dyDescent="0.3">
      <c r="A22" t="s">
        <v>181</v>
      </c>
      <c r="B22" t="s">
        <v>15</v>
      </c>
      <c r="C22">
        <v>27</v>
      </c>
      <c r="D22" t="s">
        <v>16</v>
      </c>
      <c r="E22" s="6">
        <v>44073</v>
      </c>
      <c r="F22" t="s">
        <v>19</v>
      </c>
      <c r="G22" s="33">
        <v>54970</v>
      </c>
      <c r="H22" t="s">
        <v>204</v>
      </c>
      <c r="I22" s="8">
        <f ca="1">(TODAY()-staff_data[[#This Row],[Date Joined]])/365</f>
        <v>3.0602739726027397</v>
      </c>
      <c r="J22" s="31">
        <f ca="1">ROUNDUP(IF(staff_data[[#This Row],[Tenure]]&gt;2.5,3%,2%)*staff_data[[#This Row],[Salary]],0)</f>
        <v>1650</v>
      </c>
      <c r="K22" s="32">
        <f>_xlfn.XLOOKUP(staff_data[[#This Row],[Rating]],'Salary vs Rating'!$B$12:$B$16,'Salary vs Rating'!$C$12:$C$16)</f>
        <v>3</v>
      </c>
      <c r="O22" s="13" t="s">
        <v>2</v>
      </c>
      <c r="P22" s="14" t="str">
        <f ca="1"/>
        <v>Website</v>
      </c>
      <c r="X22" t="b">
        <v>0</v>
      </c>
    </row>
    <row r="23" spans="1:24" x14ac:dyDescent="0.3">
      <c r="A23" t="s">
        <v>117</v>
      </c>
      <c r="B23" t="s">
        <v>15</v>
      </c>
      <c r="C23">
        <v>37</v>
      </c>
      <c r="D23" t="s">
        <v>24</v>
      </c>
      <c r="E23" s="6">
        <v>44277</v>
      </c>
      <c r="F23" t="s">
        <v>12</v>
      </c>
      <c r="G23" s="33">
        <v>88050</v>
      </c>
      <c r="H23" t="s">
        <v>204</v>
      </c>
      <c r="I23" s="8">
        <f ca="1">(TODAY()-staff_data[[#This Row],[Date Joined]])/365</f>
        <v>2.5013698630136987</v>
      </c>
      <c r="J23" s="31">
        <f ca="1">ROUNDUP(IF(staff_data[[#This Row],[Tenure]]&gt;2.5,3%,2%)*staff_data[[#This Row],[Salary]],0)</f>
        <v>2642</v>
      </c>
      <c r="K23" s="32">
        <f>_xlfn.XLOOKUP(staff_data[[#This Row],[Rating]],'Salary vs Rating'!$B$12:$B$16,'Salary vs Rating'!$C$12:$C$16)</f>
        <v>2</v>
      </c>
      <c r="O23" s="13" t="s">
        <v>5</v>
      </c>
      <c r="P23" s="15">
        <f ca="1"/>
        <v>118840</v>
      </c>
      <c r="X23" t="b">
        <v>0</v>
      </c>
    </row>
    <row r="24" spans="1:24" x14ac:dyDescent="0.3">
      <c r="A24" t="s">
        <v>191</v>
      </c>
      <c r="B24" t="s">
        <v>15</v>
      </c>
      <c r="C24">
        <v>43</v>
      </c>
      <c r="D24" t="s">
        <v>16</v>
      </c>
      <c r="E24" s="6">
        <v>44558</v>
      </c>
      <c r="F24" t="s">
        <v>19</v>
      </c>
      <c r="G24" s="33">
        <v>36040</v>
      </c>
      <c r="H24" t="s">
        <v>204</v>
      </c>
      <c r="I24" s="8">
        <f ca="1">(TODAY()-staff_data[[#This Row],[Date Joined]])/365</f>
        <v>1.7315068493150685</v>
      </c>
      <c r="J24" s="31">
        <f ca="1">ROUNDUP(IF(staff_data[[#This Row],[Tenure]]&gt;2.5,3%,2%)*staff_data[[#This Row],[Salary]],0)</f>
        <v>721</v>
      </c>
      <c r="K24" s="32">
        <f>_xlfn.XLOOKUP(staff_data[[#This Row],[Rating]],'Salary vs Rating'!$B$12:$B$16,'Salary vs Rating'!$C$12:$C$16)</f>
        <v>3</v>
      </c>
      <c r="O24" s="13" t="s">
        <v>203</v>
      </c>
      <c r="P24" s="14" t="str">
        <f ca="1"/>
        <v>IND</v>
      </c>
      <c r="X24" t="b">
        <v>0</v>
      </c>
    </row>
    <row r="25" spans="1:24" x14ac:dyDescent="0.3">
      <c r="A25" t="s">
        <v>110</v>
      </c>
      <c r="B25" t="s">
        <v>8</v>
      </c>
      <c r="C25">
        <v>42</v>
      </c>
      <c r="D25" t="s">
        <v>10</v>
      </c>
      <c r="E25" s="6">
        <v>44718</v>
      </c>
      <c r="F25" t="s">
        <v>9</v>
      </c>
      <c r="G25" s="33">
        <v>75000</v>
      </c>
      <c r="H25" t="s">
        <v>204</v>
      </c>
      <c r="I25" s="8">
        <f ca="1">(TODAY()-staff_data[[#This Row],[Date Joined]])/365</f>
        <v>1.2931506849315069</v>
      </c>
      <c r="J25" s="31">
        <f ca="1">ROUNDUP(IF(staff_data[[#This Row],[Tenure]]&gt;2.5,3%,2%)*staff_data[[#This Row],[Salary]],0)</f>
        <v>1500</v>
      </c>
      <c r="K25" s="32">
        <f>_xlfn.XLOOKUP(staff_data[[#This Row],[Rating]],'Salary vs Rating'!$B$12:$B$16,'Salary vs Rating'!$C$12:$C$16)</f>
        <v>5</v>
      </c>
      <c r="O25" s="13" t="s">
        <v>212</v>
      </c>
      <c r="P25" s="14">
        <f ca="1"/>
        <v>3.3753424657534246</v>
      </c>
      <c r="X25" t="b">
        <v>0</v>
      </c>
    </row>
    <row r="26" spans="1:24" x14ac:dyDescent="0.3">
      <c r="A26" t="s">
        <v>148</v>
      </c>
      <c r="B26" t="s">
        <v>15</v>
      </c>
      <c r="C26">
        <v>35</v>
      </c>
      <c r="D26" t="s">
        <v>16</v>
      </c>
      <c r="E26" s="6">
        <v>44666</v>
      </c>
      <c r="F26" t="s">
        <v>9</v>
      </c>
      <c r="G26" s="33">
        <v>40400</v>
      </c>
      <c r="H26" t="s">
        <v>204</v>
      </c>
      <c r="I26" s="8">
        <f ca="1">(TODAY()-staff_data[[#This Row],[Date Joined]])/365</f>
        <v>1.4356164383561645</v>
      </c>
      <c r="J26" s="31">
        <f ca="1">ROUNDUP(IF(staff_data[[#This Row],[Tenure]]&gt;2.5,3%,2%)*staff_data[[#This Row],[Salary]],0)</f>
        <v>808</v>
      </c>
      <c r="K26" s="32">
        <f>_xlfn.XLOOKUP(staff_data[[#This Row],[Rating]],'Salary vs Rating'!$B$12:$B$16,'Salary vs Rating'!$C$12:$C$16)</f>
        <v>3</v>
      </c>
      <c r="X26" t="b">
        <v>0</v>
      </c>
    </row>
    <row r="27" spans="1:24" x14ac:dyDescent="0.3">
      <c r="A27" t="s">
        <v>195</v>
      </c>
      <c r="B27" t="s">
        <v>15</v>
      </c>
      <c r="C27">
        <v>24</v>
      </c>
      <c r="D27" t="s">
        <v>16</v>
      </c>
      <c r="E27" s="6">
        <v>44625</v>
      </c>
      <c r="F27" t="s">
        <v>12</v>
      </c>
      <c r="G27" s="33">
        <v>100420</v>
      </c>
      <c r="H27" t="s">
        <v>204</v>
      </c>
      <c r="I27" s="8">
        <f ca="1">(TODAY()-staff_data[[#This Row],[Date Joined]])/365</f>
        <v>1.547945205479452</v>
      </c>
      <c r="J27" s="31">
        <f ca="1">ROUNDUP(IF(staff_data[[#This Row],[Tenure]]&gt;2.5,3%,2%)*staff_data[[#This Row],[Salary]],0)</f>
        <v>2009</v>
      </c>
      <c r="K27" s="32">
        <f>_xlfn.XLOOKUP(staff_data[[#This Row],[Rating]],'Salary vs Rating'!$B$12:$B$16,'Salary vs Rating'!$C$12:$C$16)</f>
        <v>3</v>
      </c>
      <c r="X27" t="b">
        <v>0</v>
      </c>
    </row>
    <row r="28" spans="1:24" x14ac:dyDescent="0.3">
      <c r="A28" t="s">
        <v>119</v>
      </c>
      <c r="B28" t="s">
        <v>8</v>
      </c>
      <c r="C28">
        <v>31</v>
      </c>
      <c r="D28" t="s">
        <v>16</v>
      </c>
      <c r="E28" s="6">
        <v>44604</v>
      </c>
      <c r="F28" t="s">
        <v>12</v>
      </c>
      <c r="G28" s="33">
        <v>58100</v>
      </c>
      <c r="H28" t="s">
        <v>204</v>
      </c>
      <c r="I28" s="8">
        <f ca="1">(TODAY()-staff_data[[#This Row],[Date Joined]])/365</f>
        <v>1.6054794520547946</v>
      </c>
      <c r="J28" s="31">
        <f ca="1">ROUNDUP(IF(staff_data[[#This Row],[Tenure]]&gt;2.5,3%,2%)*staff_data[[#This Row],[Salary]],0)</f>
        <v>1162</v>
      </c>
      <c r="K28" s="32">
        <f>_xlfn.XLOOKUP(staff_data[[#This Row],[Rating]],'Salary vs Rating'!$B$12:$B$16,'Salary vs Rating'!$C$12:$C$16)</f>
        <v>3</v>
      </c>
      <c r="X28" t="b">
        <v>1</v>
      </c>
    </row>
    <row r="29" spans="1:24" x14ac:dyDescent="0.3">
      <c r="A29" t="s">
        <v>113</v>
      </c>
      <c r="B29" t="s">
        <v>8</v>
      </c>
      <c r="C29">
        <v>44</v>
      </c>
      <c r="D29" t="s">
        <v>16</v>
      </c>
      <c r="E29" s="6">
        <v>44985</v>
      </c>
      <c r="F29" t="s">
        <v>12</v>
      </c>
      <c r="G29" s="33">
        <v>114870</v>
      </c>
      <c r="H29" t="s">
        <v>204</v>
      </c>
      <c r="I29" s="8">
        <f ca="1">(TODAY()-staff_data[[#This Row],[Date Joined]])/365</f>
        <v>0.56164383561643838</v>
      </c>
      <c r="J29" s="31">
        <f ca="1">ROUNDUP(IF(staff_data[[#This Row],[Tenure]]&gt;2.5,3%,2%)*staff_data[[#This Row],[Salary]],0)</f>
        <v>2298</v>
      </c>
      <c r="K29" s="32">
        <f>_xlfn.XLOOKUP(staff_data[[#This Row],[Rating]],'Salary vs Rating'!$B$12:$B$16,'Salary vs Rating'!$C$12:$C$16)</f>
        <v>3</v>
      </c>
      <c r="X29" t="b">
        <v>0</v>
      </c>
    </row>
    <row r="30" spans="1:24" x14ac:dyDescent="0.3">
      <c r="A30" t="s">
        <v>157</v>
      </c>
      <c r="B30" t="s">
        <v>8</v>
      </c>
      <c r="C30">
        <v>32</v>
      </c>
      <c r="D30" t="s">
        <v>16</v>
      </c>
      <c r="E30" s="6">
        <v>44549</v>
      </c>
      <c r="F30" t="s">
        <v>9</v>
      </c>
      <c r="G30" s="33">
        <v>41570</v>
      </c>
      <c r="H30" t="s">
        <v>204</v>
      </c>
      <c r="I30" s="8">
        <f ca="1">(TODAY()-staff_data[[#This Row],[Date Joined]])/365</f>
        <v>1.7561643835616438</v>
      </c>
      <c r="J30" s="31">
        <f ca="1">ROUNDUP(IF(staff_data[[#This Row],[Tenure]]&gt;2.5,3%,2%)*staff_data[[#This Row],[Salary]],0)</f>
        <v>832</v>
      </c>
      <c r="K30" s="32">
        <f>_xlfn.XLOOKUP(staff_data[[#This Row],[Rating]],'Salary vs Rating'!$B$12:$B$16,'Salary vs Rating'!$C$12:$C$16)</f>
        <v>3</v>
      </c>
      <c r="X30" t="b">
        <v>1</v>
      </c>
    </row>
    <row r="31" spans="1:24" x14ac:dyDescent="0.3">
      <c r="A31" t="s">
        <v>172</v>
      </c>
      <c r="B31" t="s">
        <v>8</v>
      </c>
      <c r="C31">
        <v>30</v>
      </c>
      <c r="D31" t="s">
        <v>16</v>
      </c>
      <c r="E31" s="6">
        <v>44800</v>
      </c>
      <c r="F31" t="s">
        <v>9</v>
      </c>
      <c r="G31" s="33">
        <v>112570</v>
      </c>
      <c r="H31" t="s">
        <v>204</v>
      </c>
      <c r="I31" s="8">
        <f ca="1">(TODAY()-staff_data[[#This Row],[Date Joined]])/365</f>
        <v>1.0684931506849316</v>
      </c>
      <c r="J31" s="31">
        <f ca="1">ROUNDUP(IF(staff_data[[#This Row],[Tenure]]&gt;2.5,3%,2%)*staff_data[[#This Row],[Salary]],0)</f>
        <v>2252</v>
      </c>
      <c r="K31" s="32">
        <f>_xlfn.XLOOKUP(staff_data[[#This Row],[Rating]],'Salary vs Rating'!$B$12:$B$16,'Salary vs Rating'!$C$12:$C$16)</f>
        <v>3</v>
      </c>
      <c r="X31" t="b">
        <v>0</v>
      </c>
    </row>
    <row r="32" spans="1:24" x14ac:dyDescent="0.3">
      <c r="A32" t="s">
        <v>150</v>
      </c>
      <c r="B32" t="s">
        <v>15</v>
      </c>
      <c r="C32">
        <v>26</v>
      </c>
      <c r="D32" t="s">
        <v>16</v>
      </c>
      <c r="E32" s="6">
        <v>44164</v>
      </c>
      <c r="F32" t="s">
        <v>9</v>
      </c>
      <c r="G32" s="33">
        <v>47360</v>
      </c>
      <c r="H32" t="s">
        <v>204</v>
      </c>
      <c r="I32" s="8">
        <f ca="1">(TODAY()-staff_data[[#This Row],[Date Joined]])/365</f>
        <v>2.8109589041095893</v>
      </c>
      <c r="J32" s="31">
        <f ca="1">ROUNDUP(IF(staff_data[[#This Row],[Tenure]]&gt;2.5,3%,2%)*staff_data[[#This Row],[Salary]],0)</f>
        <v>1421</v>
      </c>
      <c r="K32" s="32">
        <f>_xlfn.XLOOKUP(staff_data[[#This Row],[Rating]],'Salary vs Rating'!$B$12:$B$16,'Salary vs Rating'!$C$12:$C$16)</f>
        <v>3</v>
      </c>
      <c r="X32" t="b">
        <v>1</v>
      </c>
    </row>
    <row r="33" spans="1:24" x14ac:dyDescent="0.3">
      <c r="A33" t="s">
        <v>125</v>
      </c>
      <c r="B33" t="s">
        <v>8</v>
      </c>
      <c r="C33">
        <v>21</v>
      </c>
      <c r="D33" t="s">
        <v>16</v>
      </c>
      <c r="E33" s="6">
        <v>44256</v>
      </c>
      <c r="F33" t="s">
        <v>21</v>
      </c>
      <c r="G33" s="33">
        <v>65920</v>
      </c>
      <c r="H33" t="s">
        <v>204</v>
      </c>
      <c r="I33" s="8">
        <f ca="1">(TODAY()-staff_data[[#This Row],[Date Joined]])/365</f>
        <v>2.558904109589041</v>
      </c>
      <c r="J33" s="31">
        <f ca="1">ROUNDUP(IF(staff_data[[#This Row],[Tenure]]&gt;2.5,3%,2%)*staff_data[[#This Row],[Salary]],0)</f>
        <v>1978</v>
      </c>
      <c r="K33" s="32">
        <f>_xlfn.XLOOKUP(staff_data[[#This Row],[Rating]],'Salary vs Rating'!$B$12:$B$16,'Salary vs Rating'!$C$12:$C$16)</f>
        <v>3</v>
      </c>
      <c r="X33" t="b">
        <v>0</v>
      </c>
    </row>
    <row r="34" spans="1:24" x14ac:dyDescent="0.3">
      <c r="A34" t="s">
        <v>199</v>
      </c>
      <c r="B34" t="s">
        <v>8</v>
      </c>
      <c r="C34">
        <v>28</v>
      </c>
      <c r="D34" t="s">
        <v>16</v>
      </c>
      <c r="E34" s="6">
        <v>44571</v>
      </c>
      <c r="F34" t="s">
        <v>9</v>
      </c>
      <c r="G34" s="33">
        <v>99970</v>
      </c>
      <c r="H34" t="s">
        <v>204</v>
      </c>
      <c r="I34" s="8">
        <f ca="1">(TODAY()-staff_data[[#This Row],[Date Joined]])/365</f>
        <v>1.6958904109589041</v>
      </c>
      <c r="J34" s="31">
        <f ca="1">ROUNDUP(IF(staff_data[[#This Row],[Tenure]]&gt;2.5,3%,2%)*staff_data[[#This Row],[Salary]],0)</f>
        <v>2000</v>
      </c>
      <c r="K34" s="32">
        <f>_xlfn.XLOOKUP(staff_data[[#This Row],[Rating]],'Salary vs Rating'!$B$12:$B$16,'Salary vs Rating'!$C$12:$C$16)</f>
        <v>3</v>
      </c>
      <c r="X34" t="b">
        <v>0</v>
      </c>
    </row>
    <row r="35" spans="1:24" x14ac:dyDescent="0.3">
      <c r="A35" t="s">
        <v>132</v>
      </c>
      <c r="B35" t="s">
        <v>8</v>
      </c>
      <c r="C35">
        <v>25</v>
      </c>
      <c r="D35" t="s">
        <v>13</v>
      </c>
      <c r="E35" s="6">
        <v>44633</v>
      </c>
      <c r="F35" t="s">
        <v>12</v>
      </c>
      <c r="G35" s="33">
        <v>80700</v>
      </c>
      <c r="H35" t="s">
        <v>204</v>
      </c>
      <c r="I35" s="8">
        <f ca="1">(TODAY()-staff_data[[#This Row],[Date Joined]])/365</f>
        <v>1.526027397260274</v>
      </c>
      <c r="J35" s="31">
        <f ca="1">ROUNDUP(IF(staff_data[[#This Row],[Tenure]]&gt;2.5,3%,2%)*staff_data[[#This Row],[Salary]],0)</f>
        <v>1614</v>
      </c>
      <c r="K35" s="32">
        <f>_xlfn.XLOOKUP(staff_data[[#This Row],[Rating]],'Salary vs Rating'!$B$12:$B$16,'Salary vs Rating'!$C$12:$C$16)</f>
        <v>4</v>
      </c>
      <c r="X35" t="b">
        <v>1</v>
      </c>
    </row>
    <row r="36" spans="1:24" x14ac:dyDescent="0.3">
      <c r="A36" t="s">
        <v>154</v>
      </c>
      <c r="B36" t="s">
        <v>15</v>
      </c>
      <c r="C36">
        <v>24</v>
      </c>
      <c r="D36" t="s">
        <v>24</v>
      </c>
      <c r="E36" s="6">
        <v>44375</v>
      </c>
      <c r="F36" t="s">
        <v>21</v>
      </c>
      <c r="G36" s="33">
        <v>52610</v>
      </c>
      <c r="H36" t="s">
        <v>204</v>
      </c>
      <c r="I36" s="8">
        <f ca="1">(TODAY()-staff_data[[#This Row],[Date Joined]])/365</f>
        <v>2.2328767123287672</v>
      </c>
      <c r="J36" s="31">
        <f ca="1">ROUNDUP(IF(staff_data[[#This Row],[Tenure]]&gt;2.5,3%,2%)*staff_data[[#This Row],[Salary]],0)</f>
        <v>1053</v>
      </c>
      <c r="K36" s="32">
        <f>_xlfn.XLOOKUP(staff_data[[#This Row],[Rating]],'Salary vs Rating'!$B$12:$B$16,'Salary vs Rating'!$C$12:$C$16)</f>
        <v>2</v>
      </c>
      <c r="X36" t="b">
        <v>0</v>
      </c>
    </row>
    <row r="37" spans="1:24" x14ac:dyDescent="0.3">
      <c r="A37" t="s">
        <v>179</v>
      </c>
      <c r="B37" t="s">
        <v>15</v>
      </c>
      <c r="C37">
        <v>29</v>
      </c>
      <c r="D37" t="s">
        <v>24</v>
      </c>
      <c r="E37" s="6">
        <v>44119</v>
      </c>
      <c r="F37" t="s">
        <v>12</v>
      </c>
      <c r="G37" s="33">
        <v>112110</v>
      </c>
      <c r="H37" t="s">
        <v>204</v>
      </c>
      <c r="I37" s="8">
        <f ca="1">(TODAY()-staff_data[[#This Row],[Date Joined]])/365</f>
        <v>2.9342465753424656</v>
      </c>
      <c r="J37" s="31">
        <f ca="1">ROUNDUP(IF(staff_data[[#This Row],[Tenure]]&gt;2.5,3%,2%)*staff_data[[#This Row],[Salary]],0)</f>
        <v>3364</v>
      </c>
      <c r="K37" s="32">
        <f>_xlfn.XLOOKUP(staff_data[[#This Row],[Rating]],'Salary vs Rating'!$B$12:$B$16,'Salary vs Rating'!$C$12:$C$16)</f>
        <v>2</v>
      </c>
      <c r="X37" t="b">
        <v>0</v>
      </c>
    </row>
    <row r="38" spans="1:24" x14ac:dyDescent="0.3">
      <c r="A38" t="s">
        <v>198</v>
      </c>
      <c r="B38" t="s">
        <v>15</v>
      </c>
      <c r="C38">
        <v>36</v>
      </c>
      <c r="D38" t="s">
        <v>16</v>
      </c>
      <c r="E38" s="6">
        <v>43958</v>
      </c>
      <c r="F38" t="s">
        <v>12</v>
      </c>
      <c r="G38" s="33">
        <v>118840</v>
      </c>
      <c r="H38" t="s">
        <v>204</v>
      </c>
      <c r="I38" s="8">
        <f ca="1">(TODAY()-staff_data[[#This Row],[Date Joined]])/365</f>
        <v>3.3753424657534246</v>
      </c>
      <c r="J38" s="31">
        <f ca="1">ROUNDUP(IF(staff_data[[#This Row],[Tenure]]&gt;2.5,3%,2%)*staff_data[[#This Row],[Salary]],0)</f>
        <v>3566</v>
      </c>
      <c r="K38" s="32">
        <f>_xlfn.XLOOKUP(staff_data[[#This Row],[Rating]],'Salary vs Rating'!$B$12:$B$16,'Salary vs Rating'!$C$12:$C$16)</f>
        <v>3</v>
      </c>
      <c r="X38" t="b">
        <v>1</v>
      </c>
    </row>
    <row r="39" spans="1:24" x14ac:dyDescent="0.3">
      <c r="A39" t="s">
        <v>149</v>
      </c>
      <c r="B39" t="s">
        <v>15</v>
      </c>
      <c r="C39">
        <v>22</v>
      </c>
      <c r="D39" t="s">
        <v>13</v>
      </c>
      <c r="E39" s="6">
        <v>44384</v>
      </c>
      <c r="F39" t="s">
        <v>19</v>
      </c>
      <c r="G39" s="33">
        <v>112780</v>
      </c>
      <c r="H39" t="s">
        <v>204</v>
      </c>
      <c r="I39" s="8">
        <f ca="1">(TODAY()-staff_data[[#This Row],[Date Joined]])/365</f>
        <v>2.2082191780821918</v>
      </c>
      <c r="J39" s="31">
        <f ca="1">ROUNDUP(IF(staff_data[[#This Row],[Tenure]]&gt;2.5,3%,2%)*staff_data[[#This Row],[Salary]],0)</f>
        <v>2256</v>
      </c>
      <c r="K39" s="32">
        <f>_xlfn.XLOOKUP(staff_data[[#This Row],[Rating]],'Salary vs Rating'!$B$12:$B$16,'Salary vs Rating'!$C$12:$C$16)</f>
        <v>4</v>
      </c>
      <c r="X39" t="b">
        <v>1</v>
      </c>
    </row>
    <row r="40" spans="1:24" x14ac:dyDescent="0.3">
      <c r="A40" t="s">
        <v>106</v>
      </c>
      <c r="B40" t="s">
        <v>15</v>
      </c>
      <c r="C40">
        <v>36</v>
      </c>
      <c r="D40" t="s">
        <v>16</v>
      </c>
      <c r="E40" s="6">
        <v>44019</v>
      </c>
      <c r="F40" t="s">
        <v>12</v>
      </c>
      <c r="G40" s="33">
        <v>118840</v>
      </c>
      <c r="H40" t="s">
        <v>206</v>
      </c>
      <c r="I40" s="8">
        <f ca="1">(TODAY()-staff_data[[#This Row],[Date Joined]])/365</f>
        <v>3.2082191780821918</v>
      </c>
      <c r="J40" s="31">
        <f ca="1">ROUNDUP(IF(staff_data[[#This Row],[Tenure]]&gt;2.5,3%,2%)*staff_data[[#This Row],[Salary]],0)</f>
        <v>3566</v>
      </c>
      <c r="K40" s="32">
        <f>_xlfn.XLOOKUP(staff_data[[#This Row],[Rating]],'Salary vs Rating'!$B$12:$B$16,'Salary vs Rating'!$C$12:$C$16)</f>
        <v>3</v>
      </c>
      <c r="X40" t="b">
        <v>1</v>
      </c>
    </row>
    <row r="41" spans="1:24" x14ac:dyDescent="0.3">
      <c r="A41" t="s">
        <v>145</v>
      </c>
      <c r="B41" t="s">
        <v>15</v>
      </c>
      <c r="C41">
        <v>27</v>
      </c>
      <c r="D41" t="s">
        <v>16</v>
      </c>
      <c r="E41" s="6">
        <v>44506</v>
      </c>
      <c r="F41" t="s">
        <v>21</v>
      </c>
      <c r="G41" s="33">
        <v>48980</v>
      </c>
      <c r="H41" t="s">
        <v>204</v>
      </c>
      <c r="I41" s="8">
        <f ca="1">(TODAY()-staff_data[[#This Row],[Date Joined]])/365</f>
        <v>1.8739726027397261</v>
      </c>
      <c r="J41" s="31">
        <f ca="1">ROUNDUP(IF(staff_data[[#This Row],[Tenure]]&gt;2.5,3%,2%)*staff_data[[#This Row],[Salary]],0)</f>
        <v>980</v>
      </c>
      <c r="K41" s="32">
        <f>_xlfn.XLOOKUP(staff_data[[#This Row],[Rating]],'Salary vs Rating'!$B$12:$B$16,'Salary vs Rating'!$C$12:$C$16)</f>
        <v>3</v>
      </c>
      <c r="X41" t="b">
        <v>1</v>
      </c>
    </row>
    <row r="42" spans="1:24" x14ac:dyDescent="0.3">
      <c r="A42" t="s">
        <v>169</v>
      </c>
      <c r="B42" t="s">
        <v>15</v>
      </c>
      <c r="C42">
        <v>21</v>
      </c>
      <c r="D42" t="s">
        <v>16</v>
      </c>
      <c r="E42" s="6">
        <v>44180</v>
      </c>
      <c r="F42" t="s">
        <v>56</v>
      </c>
      <c r="G42" s="33">
        <v>75880</v>
      </c>
      <c r="H42" t="s">
        <v>204</v>
      </c>
      <c r="I42" s="8">
        <f ca="1">(TODAY()-staff_data[[#This Row],[Date Joined]])/365</f>
        <v>2.7671232876712328</v>
      </c>
      <c r="J42" s="31">
        <f ca="1">ROUNDUP(IF(staff_data[[#This Row],[Tenure]]&gt;2.5,3%,2%)*staff_data[[#This Row],[Salary]],0)</f>
        <v>2277</v>
      </c>
      <c r="K42" s="32">
        <f>_xlfn.XLOOKUP(staff_data[[#This Row],[Rating]],'Salary vs Rating'!$B$12:$B$16,'Salary vs Rating'!$C$12:$C$16)</f>
        <v>3</v>
      </c>
      <c r="X42" t="b">
        <v>0</v>
      </c>
    </row>
    <row r="43" spans="1:24" x14ac:dyDescent="0.3">
      <c r="A43" t="s">
        <v>166</v>
      </c>
      <c r="B43" t="s">
        <v>8</v>
      </c>
      <c r="C43">
        <v>28</v>
      </c>
      <c r="D43" t="s">
        <v>16</v>
      </c>
      <c r="E43" s="6">
        <v>44296</v>
      </c>
      <c r="F43" t="s">
        <v>19</v>
      </c>
      <c r="G43" s="33">
        <v>53240</v>
      </c>
      <c r="H43" t="s">
        <v>204</v>
      </c>
      <c r="I43" s="8">
        <f ca="1">(TODAY()-staff_data[[#This Row],[Date Joined]])/365</f>
        <v>2.4493150684931506</v>
      </c>
      <c r="J43" s="31">
        <f ca="1">ROUNDUP(IF(staff_data[[#This Row],[Tenure]]&gt;2.5,3%,2%)*staff_data[[#This Row],[Salary]],0)</f>
        <v>1065</v>
      </c>
      <c r="K43" s="32">
        <f>_xlfn.XLOOKUP(staff_data[[#This Row],[Rating]],'Salary vs Rating'!$B$12:$B$16,'Salary vs Rating'!$C$12:$C$16)</f>
        <v>3</v>
      </c>
      <c r="X43" t="b">
        <v>0</v>
      </c>
    </row>
    <row r="44" spans="1:24" x14ac:dyDescent="0.3">
      <c r="A44" t="s">
        <v>121</v>
      </c>
      <c r="B44" t="s">
        <v>8</v>
      </c>
      <c r="C44">
        <v>34</v>
      </c>
      <c r="D44" t="s">
        <v>16</v>
      </c>
      <c r="E44" s="6">
        <v>44397</v>
      </c>
      <c r="F44" t="s">
        <v>21</v>
      </c>
      <c r="G44" s="33">
        <v>85000</v>
      </c>
      <c r="H44" t="s">
        <v>204</v>
      </c>
      <c r="I44" s="8">
        <f ca="1">(TODAY()-staff_data[[#This Row],[Date Joined]])/365</f>
        <v>2.1726027397260275</v>
      </c>
      <c r="J44" s="31">
        <f ca="1">ROUNDUP(IF(staff_data[[#This Row],[Tenure]]&gt;2.5,3%,2%)*staff_data[[#This Row],[Salary]],0)</f>
        <v>1700</v>
      </c>
      <c r="K44" s="32">
        <f>_xlfn.XLOOKUP(staff_data[[#This Row],[Rating]],'Salary vs Rating'!$B$12:$B$16,'Salary vs Rating'!$C$12:$C$16)</f>
        <v>3</v>
      </c>
      <c r="X44" t="b">
        <v>0</v>
      </c>
    </row>
    <row r="45" spans="1:24" x14ac:dyDescent="0.3">
      <c r="A45" t="s">
        <v>178</v>
      </c>
      <c r="B45" t="s">
        <v>8</v>
      </c>
      <c r="C45">
        <v>21</v>
      </c>
      <c r="D45" t="s">
        <v>16</v>
      </c>
      <c r="E45" s="6">
        <v>44619</v>
      </c>
      <c r="F45" t="s">
        <v>12</v>
      </c>
      <c r="G45" s="33">
        <v>33920</v>
      </c>
      <c r="H45" t="s">
        <v>204</v>
      </c>
      <c r="I45" s="8">
        <f ca="1">(TODAY()-staff_data[[#This Row],[Date Joined]])/365</f>
        <v>1.5643835616438355</v>
      </c>
      <c r="J45" s="31">
        <f ca="1">ROUNDUP(IF(staff_data[[#This Row],[Tenure]]&gt;2.5,3%,2%)*staff_data[[#This Row],[Salary]],0)</f>
        <v>679</v>
      </c>
      <c r="K45" s="32">
        <f>_xlfn.XLOOKUP(staff_data[[#This Row],[Rating]],'Salary vs Rating'!$B$12:$B$16,'Salary vs Rating'!$C$12:$C$16)</f>
        <v>3</v>
      </c>
      <c r="X45" t="b">
        <v>0</v>
      </c>
    </row>
    <row r="46" spans="1:24" x14ac:dyDescent="0.3">
      <c r="A46" t="s">
        <v>187</v>
      </c>
      <c r="B46" t="s">
        <v>8</v>
      </c>
      <c r="C46">
        <v>33</v>
      </c>
      <c r="D46" t="s">
        <v>16</v>
      </c>
      <c r="E46" s="6">
        <v>44253</v>
      </c>
      <c r="F46" t="s">
        <v>12</v>
      </c>
      <c r="G46" s="33">
        <v>75280</v>
      </c>
      <c r="H46" t="s">
        <v>204</v>
      </c>
      <c r="I46" s="8">
        <f ca="1">(TODAY()-staff_data[[#This Row],[Date Joined]])/365</f>
        <v>2.5671232876712327</v>
      </c>
      <c r="J46" s="31">
        <f ca="1">ROUNDUP(IF(staff_data[[#This Row],[Tenure]]&gt;2.5,3%,2%)*staff_data[[#This Row],[Salary]],0)</f>
        <v>2259</v>
      </c>
      <c r="K46" s="32">
        <f>_xlfn.XLOOKUP(staff_data[[#This Row],[Rating]],'Salary vs Rating'!$B$12:$B$16,'Salary vs Rating'!$C$12:$C$16)</f>
        <v>3</v>
      </c>
      <c r="X46" t="b">
        <v>0</v>
      </c>
    </row>
    <row r="47" spans="1:24" x14ac:dyDescent="0.3">
      <c r="A47" t="s">
        <v>129</v>
      </c>
      <c r="B47" t="s">
        <v>8</v>
      </c>
      <c r="C47">
        <v>34</v>
      </c>
      <c r="D47" t="s">
        <v>16</v>
      </c>
      <c r="E47" s="6">
        <v>44594</v>
      </c>
      <c r="F47" t="s">
        <v>21</v>
      </c>
      <c r="G47" s="33">
        <v>58940</v>
      </c>
      <c r="H47" t="s">
        <v>204</v>
      </c>
      <c r="I47" s="8">
        <f ca="1">(TODAY()-staff_data[[#This Row],[Date Joined]])/365</f>
        <v>1.6328767123287671</v>
      </c>
      <c r="J47" s="31">
        <f ca="1">ROUNDUP(IF(staff_data[[#This Row],[Tenure]]&gt;2.5,3%,2%)*staff_data[[#This Row],[Salary]],0)</f>
        <v>1179</v>
      </c>
      <c r="K47" s="32">
        <f>_xlfn.XLOOKUP(staff_data[[#This Row],[Rating]],'Salary vs Rating'!$B$12:$B$16,'Salary vs Rating'!$C$12:$C$16)</f>
        <v>3</v>
      </c>
      <c r="X47" t="b">
        <v>0</v>
      </c>
    </row>
    <row r="48" spans="1:24" x14ac:dyDescent="0.3">
      <c r="A48" t="s">
        <v>135</v>
      </c>
      <c r="B48" t="s">
        <v>8</v>
      </c>
      <c r="C48">
        <v>28</v>
      </c>
      <c r="D48" t="s">
        <v>16</v>
      </c>
      <c r="E48" s="6">
        <v>44425</v>
      </c>
      <c r="F48" t="s">
        <v>9</v>
      </c>
      <c r="G48" s="33">
        <v>104770</v>
      </c>
      <c r="H48" t="s">
        <v>204</v>
      </c>
      <c r="I48" s="8">
        <f ca="1">(TODAY()-staff_data[[#This Row],[Date Joined]])/365</f>
        <v>2.095890410958904</v>
      </c>
      <c r="J48" s="31">
        <f ca="1">ROUNDUP(IF(staff_data[[#This Row],[Tenure]]&gt;2.5,3%,2%)*staff_data[[#This Row],[Salary]],0)</f>
        <v>2096</v>
      </c>
      <c r="K48" s="32">
        <f>_xlfn.XLOOKUP(staff_data[[#This Row],[Rating]],'Salary vs Rating'!$B$12:$B$16,'Salary vs Rating'!$C$12:$C$16)</f>
        <v>3</v>
      </c>
      <c r="X48" t="b">
        <v>0</v>
      </c>
    </row>
    <row r="49" spans="1:24" x14ac:dyDescent="0.3">
      <c r="A49" t="s">
        <v>124</v>
      </c>
      <c r="B49" t="s">
        <v>15</v>
      </c>
      <c r="C49">
        <v>21</v>
      </c>
      <c r="D49" t="s">
        <v>16</v>
      </c>
      <c r="E49" s="6">
        <v>44701</v>
      </c>
      <c r="F49" t="s">
        <v>9</v>
      </c>
      <c r="G49" s="33">
        <v>57090</v>
      </c>
      <c r="H49" t="s">
        <v>204</v>
      </c>
      <c r="I49" s="8">
        <f ca="1">(TODAY()-staff_data[[#This Row],[Date Joined]])/365</f>
        <v>1.3397260273972602</v>
      </c>
      <c r="J49" s="31">
        <f ca="1">ROUNDUP(IF(staff_data[[#This Row],[Tenure]]&gt;2.5,3%,2%)*staff_data[[#This Row],[Salary]],0)</f>
        <v>1142</v>
      </c>
      <c r="K49" s="32">
        <f>_xlfn.XLOOKUP(staff_data[[#This Row],[Rating]],'Salary vs Rating'!$B$12:$B$16,'Salary vs Rating'!$C$12:$C$16)</f>
        <v>3</v>
      </c>
      <c r="X49" t="b">
        <v>1</v>
      </c>
    </row>
    <row r="50" spans="1:24" x14ac:dyDescent="0.3">
      <c r="A50" t="s">
        <v>159</v>
      </c>
      <c r="B50" t="s">
        <v>15</v>
      </c>
      <c r="C50">
        <v>27</v>
      </c>
      <c r="D50" t="s">
        <v>13</v>
      </c>
      <c r="E50" s="6">
        <v>44174</v>
      </c>
      <c r="F50" t="s">
        <v>21</v>
      </c>
      <c r="G50" s="33">
        <v>91650</v>
      </c>
      <c r="H50" t="s">
        <v>204</v>
      </c>
      <c r="I50" s="8">
        <f ca="1">(TODAY()-staff_data[[#This Row],[Date Joined]])/365</f>
        <v>2.7835616438356166</v>
      </c>
      <c r="J50" s="31">
        <f ca="1">ROUNDUP(IF(staff_data[[#This Row],[Tenure]]&gt;2.5,3%,2%)*staff_data[[#This Row],[Salary]],0)</f>
        <v>2750</v>
      </c>
      <c r="K50" s="32">
        <f>_xlfn.XLOOKUP(staff_data[[#This Row],[Rating]],'Salary vs Rating'!$B$12:$B$16,'Salary vs Rating'!$C$12:$C$16)</f>
        <v>4</v>
      </c>
      <c r="X50" t="b">
        <v>0</v>
      </c>
    </row>
    <row r="51" spans="1:24" x14ac:dyDescent="0.3">
      <c r="A51" t="s">
        <v>182</v>
      </c>
      <c r="B51" t="s">
        <v>15</v>
      </c>
      <c r="C51">
        <v>42</v>
      </c>
      <c r="D51" t="s">
        <v>24</v>
      </c>
      <c r="E51" s="6">
        <v>44670</v>
      </c>
      <c r="F51" t="s">
        <v>21</v>
      </c>
      <c r="G51" s="33">
        <v>70270</v>
      </c>
      <c r="H51" t="s">
        <v>204</v>
      </c>
      <c r="I51" s="8">
        <f ca="1">(TODAY()-staff_data[[#This Row],[Date Joined]])/365</f>
        <v>1.4246575342465753</v>
      </c>
      <c r="J51" s="31">
        <f ca="1">ROUNDUP(IF(staff_data[[#This Row],[Tenure]]&gt;2.5,3%,2%)*staff_data[[#This Row],[Salary]],0)</f>
        <v>1406</v>
      </c>
      <c r="K51" s="32">
        <f>_xlfn.XLOOKUP(staff_data[[#This Row],[Rating]],'Salary vs Rating'!$B$12:$B$16,'Salary vs Rating'!$C$12:$C$16)</f>
        <v>2</v>
      </c>
      <c r="X51" t="b">
        <v>1</v>
      </c>
    </row>
    <row r="52" spans="1:24" x14ac:dyDescent="0.3">
      <c r="A52" t="s">
        <v>128</v>
      </c>
      <c r="B52" t="s">
        <v>8</v>
      </c>
      <c r="C52">
        <v>28</v>
      </c>
      <c r="D52" t="s">
        <v>16</v>
      </c>
      <c r="E52" s="6">
        <v>44124</v>
      </c>
      <c r="F52" t="s">
        <v>21</v>
      </c>
      <c r="G52" s="33">
        <v>75970</v>
      </c>
      <c r="H52" t="s">
        <v>204</v>
      </c>
      <c r="I52" s="8">
        <f ca="1">(TODAY()-staff_data[[#This Row],[Date Joined]])/365</f>
        <v>2.9205479452054797</v>
      </c>
      <c r="J52" s="31">
        <f ca="1">ROUNDUP(IF(staff_data[[#This Row],[Tenure]]&gt;2.5,3%,2%)*staff_data[[#This Row],[Salary]],0)</f>
        <v>2280</v>
      </c>
      <c r="K52" s="32">
        <f>_xlfn.XLOOKUP(staff_data[[#This Row],[Rating]],'Salary vs Rating'!$B$12:$B$16,'Salary vs Rating'!$C$12:$C$16)</f>
        <v>3</v>
      </c>
      <c r="X52" t="b">
        <v>0</v>
      </c>
    </row>
    <row r="53" spans="1:24" x14ac:dyDescent="0.3">
      <c r="A53" t="s">
        <v>111</v>
      </c>
      <c r="B53" t="s">
        <v>205</v>
      </c>
      <c r="C53">
        <v>27</v>
      </c>
      <c r="D53" t="s">
        <v>13</v>
      </c>
      <c r="E53" s="6">
        <v>44212</v>
      </c>
      <c r="F53" t="s">
        <v>12</v>
      </c>
      <c r="G53" s="33">
        <v>90700</v>
      </c>
      <c r="H53" t="s">
        <v>204</v>
      </c>
      <c r="I53" s="8">
        <f ca="1">(TODAY()-staff_data[[#This Row],[Date Joined]])/365</f>
        <v>2.6794520547945204</v>
      </c>
      <c r="J53" s="31">
        <f ca="1">ROUNDUP(IF(staff_data[[#This Row],[Tenure]]&gt;2.5,3%,2%)*staff_data[[#This Row],[Salary]],0)</f>
        <v>2721</v>
      </c>
      <c r="K53" s="32">
        <f>_xlfn.XLOOKUP(staff_data[[#This Row],[Rating]],'Salary vs Rating'!$B$12:$B$16,'Salary vs Rating'!$C$12:$C$16)</f>
        <v>4</v>
      </c>
      <c r="X53" t="b">
        <v>0</v>
      </c>
    </row>
    <row r="54" spans="1:24" x14ac:dyDescent="0.3">
      <c r="A54" t="s">
        <v>130</v>
      </c>
      <c r="B54" t="s">
        <v>15</v>
      </c>
      <c r="C54">
        <v>30</v>
      </c>
      <c r="D54" t="s">
        <v>16</v>
      </c>
      <c r="E54" s="6">
        <v>44607</v>
      </c>
      <c r="F54" t="s">
        <v>9</v>
      </c>
      <c r="G54" s="33">
        <v>60570</v>
      </c>
      <c r="H54" t="s">
        <v>204</v>
      </c>
      <c r="I54" s="8">
        <f ca="1">(TODAY()-staff_data[[#This Row],[Date Joined]])/365</f>
        <v>1.5972602739726027</v>
      </c>
      <c r="J54" s="31">
        <f ca="1">ROUNDUP(IF(staff_data[[#This Row],[Tenure]]&gt;2.5,3%,2%)*staff_data[[#This Row],[Salary]],0)</f>
        <v>1212</v>
      </c>
      <c r="K54" s="32">
        <f>_xlfn.XLOOKUP(staff_data[[#This Row],[Rating]],'Salary vs Rating'!$B$12:$B$16,'Salary vs Rating'!$C$12:$C$16)</f>
        <v>3</v>
      </c>
      <c r="X54" t="b">
        <v>1</v>
      </c>
    </row>
    <row r="55" spans="1:24" x14ac:dyDescent="0.3">
      <c r="A55" t="s">
        <v>133</v>
      </c>
      <c r="B55" t="s">
        <v>15</v>
      </c>
      <c r="C55">
        <v>33</v>
      </c>
      <c r="D55" t="s">
        <v>16</v>
      </c>
      <c r="E55" s="6">
        <v>44103</v>
      </c>
      <c r="F55" t="s">
        <v>9</v>
      </c>
      <c r="G55" s="33">
        <v>115920</v>
      </c>
      <c r="H55" t="s">
        <v>204</v>
      </c>
      <c r="I55" s="8">
        <f ca="1">(TODAY()-staff_data[[#This Row],[Date Joined]])/365</f>
        <v>2.978082191780822</v>
      </c>
      <c r="J55" s="31">
        <f ca="1">ROUNDUP(IF(staff_data[[#This Row],[Tenure]]&gt;2.5,3%,2%)*staff_data[[#This Row],[Salary]],0)</f>
        <v>3478</v>
      </c>
      <c r="K55" s="32">
        <f>_xlfn.XLOOKUP(staff_data[[#This Row],[Rating]],'Salary vs Rating'!$B$12:$B$16,'Salary vs Rating'!$C$12:$C$16)</f>
        <v>3</v>
      </c>
      <c r="X55" t="b">
        <v>0</v>
      </c>
    </row>
    <row r="56" spans="1:24" x14ac:dyDescent="0.3">
      <c r="A56" t="s">
        <v>185</v>
      </c>
      <c r="B56" t="s">
        <v>8</v>
      </c>
      <c r="C56">
        <v>33</v>
      </c>
      <c r="D56" t="s">
        <v>16</v>
      </c>
      <c r="E56" s="6">
        <v>44006</v>
      </c>
      <c r="F56" t="s">
        <v>21</v>
      </c>
      <c r="G56" s="33">
        <v>65360</v>
      </c>
      <c r="H56" t="s">
        <v>204</v>
      </c>
      <c r="I56" s="8">
        <f ca="1">(TODAY()-staff_data[[#This Row],[Date Joined]])/365</f>
        <v>3.2438356164383562</v>
      </c>
      <c r="J56" s="31">
        <f ca="1">ROUNDUP(IF(staff_data[[#This Row],[Tenure]]&gt;2.5,3%,2%)*staff_data[[#This Row],[Salary]],0)</f>
        <v>1961</v>
      </c>
      <c r="K56" s="32">
        <f>_xlfn.XLOOKUP(staff_data[[#This Row],[Rating]],'Salary vs Rating'!$B$12:$B$16,'Salary vs Rating'!$C$12:$C$16)</f>
        <v>3</v>
      </c>
      <c r="X56" t="b">
        <v>1</v>
      </c>
    </row>
    <row r="57" spans="1:24" x14ac:dyDescent="0.3">
      <c r="A57" t="s">
        <v>115</v>
      </c>
      <c r="B57" t="s">
        <v>205</v>
      </c>
      <c r="C57">
        <v>30</v>
      </c>
      <c r="D57" t="s">
        <v>16</v>
      </c>
      <c r="E57" s="6">
        <v>44535</v>
      </c>
      <c r="F57" t="s">
        <v>21</v>
      </c>
      <c r="G57" s="33">
        <v>64000</v>
      </c>
      <c r="H57" t="s">
        <v>204</v>
      </c>
      <c r="I57" s="8">
        <f ca="1">(TODAY()-staff_data[[#This Row],[Date Joined]])/365</f>
        <v>1.7945205479452055</v>
      </c>
      <c r="J57" s="31">
        <f ca="1">ROUNDUP(IF(staff_data[[#This Row],[Tenure]]&gt;2.5,3%,2%)*staff_data[[#This Row],[Salary]],0)</f>
        <v>1280</v>
      </c>
      <c r="K57" s="32">
        <f>_xlfn.XLOOKUP(staff_data[[#This Row],[Rating]],'Salary vs Rating'!$B$12:$B$16,'Salary vs Rating'!$C$12:$C$16)</f>
        <v>3</v>
      </c>
      <c r="X57" t="b">
        <v>0</v>
      </c>
    </row>
    <row r="58" spans="1:24" x14ac:dyDescent="0.3">
      <c r="A58" t="s">
        <v>194</v>
      </c>
      <c r="B58" t="s">
        <v>8</v>
      </c>
      <c r="C58">
        <v>34</v>
      </c>
      <c r="D58" t="s">
        <v>16</v>
      </c>
      <c r="E58" s="6">
        <v>44383</v>
      </c>
      <c r="F58" t="s">
        <v>21</v>
      </c>
      <c r="G58" s="33">
        <v>92450</v>
      </c>
      <c r="H58" t="s">
        <v>204</v>
      </c>
      <c r="I58" s="8">
        <f ca="1">(TODAY()-staff_data[[#This Row],[Date Joined]])/365</f>
        <v>2.2109589041095892</v>
      </c>
      <c r="J58" s="31">
        <f ca="1">ROUNDUP(IF(staff_data[[#This Row],[Tenure]]&gt;2.5,3%,2%)*staff_data[[#This Row],[Salary]],0)</f>
        <v>1849</v>
      </c>
      <c r="K58" s="32">
        <f>_xlfn.XLOOKUP(staff_data[[#This Row],[Rating]],'Salary vs Rating'!$B$12:$B$16,'Salary vs Rating'!$C$12:$C$16)</f>
        <v>3</v>
      </c>
      <c r="X58" t="b">
        <v>0</v>
      </c>
    </row>
    <row r="59" spans="1:24" x14ac:dyDescent="0.3">
      <c r="A59" t="s">
        <v>112</v>
      </c>
      <c r="B59" t="s">
        <v>15</v>
      </c>
      <c r="C59">
        <v>31</v>
      </c>
      <c r="D59" t="s">
        <v>16</v>
      </c>
      <c r="E59" s="6">
        <v>44450</v>
      </c>
      <c r="F59" t="s">
        <v>12</v>
      </c>
      <c r="G59" s="33">
        <v>48950</v>
      </c>
      <c r="H59" t="s">
        <v>204</v>
      </c>
      <c r="I59" s="8">
        <f ca="1">(TODAY()-staff_data[[#This Row],[Date Joined]])/365</f>
        <v>2.0273972602739727</v>
      </c>
      <c r="J59" s="31">
        <f ca="1">ROUNDUP(IF(staff_data[[#This Row],[Tenure]]&gt;2.5,3%,2%)*staff_data[[#This Row],[Salary]],0)</f>
        <v>979</v>
      </c>
      <c r="K59" s="32">
        <f>_xlfn.XLOOKUP(staff_data[[#This Row],[Rating]],'Salary vs Rating'!$B$12:$B$16,'Salary vs Rating'!$C$12:$C$16)</f>
        <v>3</v>
      </c>
      <c r="X59" t="b">
        <v>1</v>
      </c>
    </row>
    <row r="60" spans="1:24" x14ac:dyDescent="0.3">
      <c r="A60" t="s">
        <v>184</v>
      </c>
      <c r="B60" t="s">
        <v>8</v>
      </c>
      <c r="C60">
        <v>27</v>
      </c>
      <c r="D60" t="s">
        <v>16</v>
      </c>
      <c r="E60" s="6">
        <v>44625</v>
      </c>
      <c r="F60" t="s">
        <v>12</v>
      </c>
      <c r="G60" s="33">
        <v>83750</v>
      </c>
      <c r="H60" t="s">
        <v>204</v>
      </c>
      <c r="I60" s="8">
        <f ca="1">(TODAY()-staff_data[[#This Row],[Date Joined]])/365</f>
        <v>1.547945205479452</v>
      </c>
      <c r="J60" s="31">
        <f ca="1">ROUNDUP(IF(staff_data[[#This Row],[Tenure]]&gt;2.5,3%,2%)*staff_data[[#This Row],[Salary]],0)</f>
        <v>1675</v>
      </c>
      <c r="K60" s="32">
        <f>_xlfn.XLOOKUP(staff_data[[#This Row],[Rating]],'Salary vs Rating'!$B$12:$B$16,'Salary vs Rating'!$C$12:$C$16)</f>
        <v>3</v>
      </c>
      <c r="X60" t="b">
        <v>0</v>
      </c>
    </row>
    <row r="61" spans="1:24" x14ac:dyDescent="0.3">
      <c r="A61" t="s">
        <v>165</v>
      </c>
      <c r="B61" t="s">
        <v>8</v>
      </c>
      <c r="C61">
        <v>40</v>
      </c>
      <c r="D61" t="s">
        <v>16</v>
      </c>
      <c r="E61" s="6">
        <v>44276</v>
      </c>
      <c r="F61" t="s">
        <v>12</v>
      </c>
      <c r="G61" s="33">
        <v>87620</v>
      </c>
      <c r="H61" t="s">
        <v>204</v>
      </c>
      <c r="I61" s="8">
        <f ca="1">(TODAY()-staff_data[[#This Row],[Date Joined]])/365</f>
        <v>2.504109589041096</v>
      </c>
      <c r="J61" s="31">
        <f ca="1">ROUNDUP(IF(staff_data[[#This Row],[Tenure]]&gt;2.5,3%,2%)*staff_data[[#This Row],[Salary]],0)</f>
        <v>2629</v>
      </c>
      <c r="K61" s="32">
        <f>_xlfn.XLOOKUP(staff_data[[#This Row],[Rating]],'Salary vs Rating'!$B$12:$B$16,'Salary vs Rating'!$C$12:$C$16)</f>
        <v>3</v>
      </c>
      <c r="X61" t="b">
        <v>0</v>
      </c>
    </row>
    <row r="62" spans="1:24" x14ac:dyDescent="0.3">
      <c r="A62" t="s">
        <v>183</v>
      </c>
      <c r="B62" t="s">
        <v>8</v>
      </c>
      <c r="C62">
        <v>20</v>
      </c>
      <c r="D62" t="s">
        <v>24</v>
      </c>
      <c r="E62" s="6">
        <v>44476</v>
      </c>
      <c r="F62" t="s">
        <v>19</v>
      </c>
      <c r="G62" s="33">
        <v>68900</v>
      </c>
      <c r="H62" t="s">
        <v>204</v>
      </c>
      <c r="I62" s="8">
        <f ca="1">(TODAY()-staff_data[[#This Row],[Date Joined]])/365</f>
        <v>1.9561643835616438</v>
      </c>
      <c r="J62" s="31">
        <f ca="1">ROUNDUP(IF(staff_data[[#This Row],[Tenure]]&gt;2.5,3%,2%)*staff_data[[#This Row],[Salary]],0)</f>
        <v>1378</v>
      </c>
      <c r="K62" s="32">
        <f>_xlfn.XLOOKUP(staff_data[[#This Row],[Rating]],'Salary vs Rating'!$B$12:$B$16,'Salary vs Rating'!$C$12:$C$16)</f>
        <v>2</v>
      </c>
      <c r="X62" t="b">
        <v>0</v>
      </c>
    </row>
    <row r="63" spans="1:24" x14ac:dyDescent="0.3">
      <c r="A63" t="s">
        <v>156</v>
      </c>
      <c r="B63" t="s">
        <v>15</v>
      </c>
      <c r="C63">
        <v>32</v>
      </c>
      <c r="D63" t="s">
        <v>16</v>
      </c>
      <c r="E63" s="6">
        <v>44403</v>
      </c>
      <c r="F63" t="s">
        <v>19</v>
      </c>
      <c r="G63" s="33">
        <v>53540</v>
      </c>
      <c r="H63" t="s">
        <v>204</v>
      </c>
      <c r="I63" s="8">
        <f ca="1">(TODAY()-staff_data[[#This Row],[Date Joined]])/365</f>
        <v>2.1561643835616437</v>
      </c>
      <c r="J63" s="31">
        <f ca="1">ROUNDUP(IF(staff_data[[#This Row],[Tenure]]&gt;2.5,3%,2%)*staff_data[[#This Row],[Salary]],0)</f>
        <v>1071</v>
      </c>
      <c r="K63" s="32">
        <f>_xlfn.XLOOKUP(staff_data[[#This Row],[Rating]],'Salary vs Rating'!$B$12:$B$16,'Salary vs Rating'!$C$12:$C$16)</f>
        <v>3</v>
      </c>
      <c r="X63" t="b">
        <v>0</v>
      </c>
    </row>
    <row r="64" spans="1:24" x14ac:dyDescent="0.3">
      <c r="A64" t="s">
        <v>171</v>
      </c>
      <c r="B64" t="s">
        <v>15</v>
      </c>
      <c r="C64">
        <v>28</v>
      </c>
      <c r="D64" t="s">
        <v>42</v>
      </c>
      <c r="E64" s="6">
        <v>44758</v>
      </c>
      <c r="F64" t="s">
        <v>19</v>
      </c>
      <c r="G64" s="33">
        <v>43510</v>
      </c>
      <c r="H64" t="s">
        <v>204</v>
      </c>
      <c r="I64" s="8">
        <f ca="1">(TODAY()-staff_data[[#This Row],[Date Joined]])/365</f>
        <v>1.1835616438356165</v>
      </c>
      <c r="J64" s="31">
        <f ca="1">ROUNDUP(IF(staff_data[[#This Row],[Tenure]]&gt;2.5,3%,2%)*staff_data[[#This Row],[Salary]],0)</f>
        <v>871</v>
      </c>
      <c r="K64" s="32">
        <f>_xlfn.XLOOKUP(staff_data[[#This Row],[Rating]],'Salary vs Rating'!$B$12:$B$16,'Salary vs Rating'!$C$12:$C$16)</f>
        <v>1</v>
      </c>
      <c r="X64" t="b">
        <v>0</v>
      </c>
    </row>
    <row r="65" spans="1:24" x14ac:dyDescent="0.3">
      <c r="A65" t="s">
        <v>126</v>
      </c>
      <c r="B65" t="s">
        <v>8</v>
      </c>
      <c r="C65">
        <v>38</v>
      </c>
      <c r="D65" t="s">
        <v>10</v>
      </c>
      <c r="E65" s="6">
        <v>44316</v>
      </c>
      <c r="F65" t="s">
        <v>19</v>
      </c>
      <c r="G65" s="33">
        <v>109160</v>
      </c>
      <c r="H65" t="s">
        <v>204</v>
      </c>
      <c r="I65" s="8">
        <f ca="1">(TODAY()-staff_data[[#This Row],[Date Joined]])/365</f>
        <v>2.3945205479452056</v>
      </c>
      <c r="J65" s="31">
        <f ca="1">ROUNDUP(IF(staff_data[[#This Row],[Tenure]]&gt;2.5,3%,2%)*staff_data[[#This Row],[Salary]],0)</f>
        <v>2184</v>
      </c>
      <c r="K65" s="32">
        <f>_xlfn.XLOOKUP(staff_data[[#This Row],[Rating]],'Salary vs Rating'!$B$12:$B$16,'Salary vs Rating'!$C$12:$C$16)</f>
        <v>5</v>
      </c>
      <c r="X65" t="b">
        <v>0</v>
      </c>
    </row>
    <row r="66" spans="1:24" x14ac:dyDescent="0.3">
      <c r="A66" t="s">
        <v>197</v>
      </c>
      <c r="B66" t="s">
        <v>15</v>
      </c>
      <c r="C66">
        <v>40</v>
      </c>
      <c r="D66" t="s">
        <v>16</v>
      </c>
      <c r="E66" s="6">
        <v>44204</v>
      </c>
      <c r="F66" t="s">
        <v>9</v>
      </c>
      <c r="G66" s="33">
        <v>99750</v>
      </c>
      <c r="H66" t="s">
        <v>204</v>
      </c>
      <c r="I66" s="8">
        <f ca="1">(TODAY()-staff_data[[#This Row],[Date Joined]])/365</f>
        <v>2.7013698630136984</v>
      </c>
      <c r="J66" s="31">
        <f ca="1">ROUNDUP(IF(staff_data[[#This Row],[Tenure]]&gt;2.5,3%,2%)*staff_data[[#This Row],[Salary]],0)</f>
        <v>2993</v>
      </c>
      <c r="K66" s="32">
        <f>_xlfn.XLOOKUP(staff_data[[#This Row],[Rating]],'Salary vs Rating'!$B$12:$B$16,'Salary vs Rating'!$C$12:$C$16)</f>
        <v>3</v>
      </c>
      <c r="X66" t="b">
        <v>1</v>
      </c>
    </row>
    <row r="67" spans="1:24" x14ac:dyDescent="0.3">
      <c r="A67" t="s">
        <v>123</v>
      </c>
      <c r="B67" t="s">
        <v>8</v>
      </c>
      <c r="C67">
        <v>31</v>
      </c>
      <c r="D67" t="s">
        <v>16</v>
      </c>
      <c r="E67" s="6">
        <v>44084</v>
      </c>
      <c r="F67" t="s">
        <v>12</v>
      </c>
      <c r="G67" s="33">
        <v>41980</v>
      </c>
      <c r="H67" t="s">
        <v>204</v>
      </c>
      <c r="I67" s="8">
        <f ca="1">(TODAY()-staff_data[[#This Row],[Date Joined]])/365</f>
        <v>3.0301369863013701</v>
      </c>
      <c r="J67" s="31">
        <f ca="1">ROUNDUP(IF(staff_data[[#This Row],[Tenure]]&gt;2.5,3%,2%)*staff_data[[#This Row],[Salary]],0)</f>
        <v>1260</v>
      </c>
      <c r="K67" s="32">
        <f>_xlfn.XLOOKUP(staff_data[[#This Row],[Rating]],'Salary vs Rating'!$B$12:$B$16,'Salary vs Rating'!$C$12:$C$16)</f>
        <v>3</v>
      </c>
      <c r="X67" t="b">
        <v>1</v>
      </c>
    </row>
    <row r="68" spans="1:24" x14ac:dyDescent="0.3">
      <c r="A68" t="s">
        <v>186</v>
      </c>
      <c r="B68" t="s">
        <v>15</v>
      </c>
      <c r="C68">
        <v>36</v>
      </c>
      <c r="D68" t="s">
        <v>16</v>
      </c>
      <c r="E68" s="6">
        <v>44272</v>
      </c>
      <c r="F68" t="s">
        <v>21</v>
      </c>
      <c r="G68" s="33">
        <v>71380</v>
      </c>
      <c r="H68" t="s">
        <v>204</v>
      </c>
      <c r="I68" s="8">
        <f ca="1">(TODAY()-staff_data[[#This Row],[Date Joined]])/365</f>
        <v>2.515068493150685</v>
      </c>
      <c r="J68" s="31">
        <f ca="1">ROUNDUP(IF(staff_data[[#This Row],[Tenure]]&gt;2.5,3%,2%)*staff_data[[#This Row],[Salary]],0)</f>
        <v>2142</v>
      </c>
      <c r="K68" s="32">
        <f>_xlfn.XLOOKUP(staff_data[[#This Row],[Rating]],'Salary vs Rating'!$B$12:$B$16,'Salary vs Rating'!$C$12:$C$16)</f>
        <v>3</v>
      </c>
      <c r="X68" t="b">
        <v>0</v>
      </c>
    </row>
    <row r="69" spans="1:24" x14ac:dyDescent="0.3">
      <c r="A69" t="s">
        <v>190</v>
      </c>
      <c r="B69" t="s">
        <v>15</v>
      </c>
      <c r="C69">
        <v>27</v>
      </c>
      <c r="D69" t="s">
        <v>42</v>
      </c>
      <c r="E69" s="6">
        <v>44547</v>
      </c>
      <c r="F69" t="s">
        <v>9</v>
      </c>
      <c r="G69" s="33">
        <v>113280</v>
      </c>
      <c r="H69" t="s">
        <v>204</v>
      </c>
      <c r="I69" s="8">
        <f ca="1">(TODAY()-staff_data[[#This Row],[Date Joined]])/365</f>
        <v>1.7616438356164383</v>
      </c>
      <c r="J69" s="31">
        <f ca="1">ROUNDUP(IF(staff_data[[#This Row],[Tenure]]&gt;2.5,3%,2%)*staff_data[[#This Row],[Salary]],0)</f>
        <v>2266</v>
      </c>
      <c r="K69" s="32">
        <f>_xlfn.XLOOKUP(staff_data[[#This Row],[Rating]],'Salary vs Rating'!$B$12:$B$16,'Salary vs Rating'!$C$12:$C$16)</f>
        <v>1</v>
      </c>
      <c r="X69" t="b">
        <v>0</v>
      </c>
    </row>
    <row r="70" spans="1:24" x14ac:dyDescent="0.3">
      <c r="A70" t="s">
        <v>180</v>
      </c>
      <c r="B70" t="s">
        <v>8</v>
      </c>
      <c r="C70">
        <v>33</v>
      </c>
      <c r="D70" t="s">
        <v>16</v>
      </c>
      <c r="E70" s="6">
        <v>44747</v>
      </c>
      <c r="F70" t="s">
        <v>21</v>
      </c>
      <c r="G70" s="33">
        <v>86570</v>
      </c>
      <c r="H70" t="s">
        <v>204</v>
      </c>
      <c r="I70" s="8">
        <f ca="1">(TODAY()-staff_data[[#This Row],[Date Joined]])/365</f>
        <v>1.2136986301369863</v>
      </c>
      <c r="J70" s="31">
        <f ca="1">ROUNDUP(IF(staff_data[[#This Row],[Tenure]]&gt;2.5,3%,2%)*staff_data[[#This Row],[Salary]],0)</f>
        <v>1732</v>
      </c>
      <c r="K70" s="32">
        <f>_xlfn.XLOOKUP(staff_data[[#This Row],[Rating]],'Salary vs Rating'!$B$12:$B$16,'Salary vs Rating'!$C$12:$C$16)</f>
        <v>3</v>
      </c>
      <c r="X70" t="b">
        <v>1</v>
      </c>
    </row>
    <row r="71" spans="1:24" x14ac:dyDescent="0.3">
      <c r="A71" t="s">
        <v>138</v>
      </c>
      <c r="B71" t="s">
        <v>15</v>
      </c>
      <c r="C71">
        <v>26</v>
      </c>
      <c r="D71" t="s">
        <v>16</v>
      </c>
      <c r="E71" s="6">
        <v>44350</v>
      </c>
      <c r="F71" t="s">
        <v>9</v>
      </c>
      <c r="G71" s="33">
        <v>53540</v>
      </c>
      <c r="H71" t="s">
        <v>204</v>
      </c>
      <c r="I71" s="8">
        <f ca="1">(TODAY()-staff_data[[#This Row],[Date Joined]])/365</f>
        <v>2.3013698630136985</v>
      </c>
      <c r="J71" s="31">
        <f ca="1">ROUNDUP(IF(staff_data[[#This Row],[Tenure]]&gt;2.5,3%,2%)*staff_data[[#This Row],[Salary]],0)</f>
        <v>1071</v>
      </c>
      <c r="K71" s="32">
        <f>_xlfn.XLOOKUP(staff_data[[#This Row],[Rating]],'Salary vs Rating'!$B$12:$B$16,'Salary vs Rating'!$C$12:$C$16)</f>
        <v>3</v>
      </c>
      <c r="X71" t="b">
        <v>0</v>
      </c>
    </row>
    <row r="72" spans="1:24" x14ac:dyDescent="0.3">
      <c r="A72" t="s">
        <v>189</v>
      </c>
      <c r="B72" t="s">
        <v>15</v>
      </c>
      <c r="C72">
        <v>37</v>
      </c>
      <c r="D72" t="s">
        <v>16</v>
      </c>
      <c r="E72" s="6">
        <v>44640</v>
      </c>
      <c r="F72" t="s">
        <v>12</v>
      </c>
      <c r="G72" s="33">
        <v>69070</v>
      </c>
      <c r="H72" t="s">
        <v>204</v>
      </c>
      <c r="I72" s="8">
        <f ca="1">(TODAY()-staff_data[[#This Row],[Date Joined]])/365</f>
        <v>1.5068493150684932</v>
      </c>
      <c r="J72" s="31">
        <f ca="1">ROUNDUP(IF(staff_data[[#This Row],[Tenure]]&gt;2.5,3%,2%)*staff_data[[#This Row],[Salary]],0)</f>
        <v>1382</v>
      </c>
      <c r="K72" s="32">
        <f>_xlfn.XLOOKUP(staff_data[[#This Row],[Rating]],'Salary vs Rating'!$B$12:$B$16,'Salary vs Rating'!$C$12:$C$16)</f>
        <v>3</v>
      </c>
      <c r="X72" t="b">
        <v>0</v>
      </c>
    </row>
    <row r="73" spans="1:24" x14ac:dyDescent="0.3">
      <c r="A73" t="s">
        <v>120</v>
      </c>
      <c r="B73" t="s">
        <v>8</v>
      </c>
      <c r="C73">
        <v>30</v>
      </c>
      <c r="D73" t="s">
        <v>24</v>
      </c>
      <c r="E73" s="6">
        <v>44328</v>
      </c>
      <c r="F73" t="s">
        <v>21</v>
      </c>
      <c r="G73" s="33">
        <v>67910</v>
      </c>
      <c r="H73" t="s">
        <v>204</v>
      </c>
      <c r="I73" s="8">
        <f ca="1">(TODAY()-staff_data[[#This Row],[Date Joined]])/365</f>
        <v>2.3616438356164382</v>
      </c>
      <c r="J73" s="31">
        <f ca="1">ROUNDUP(IF(staff_data[[#This Row],[Tenure]]&gt;2.5,3%,2%)*staff_data[[#This Row],[Salary]],0)</f>
        <v>1359</v>
      </c>
      <c r="K73" s="32">
        <f>_xlfn.XLOOKUP(staff_data[[#This Row],[Rating]],'Salary vs Rating'!$B$12:$B$16,'Salary vs Rating'!$C$12:$C$16)</f>
        <v>2</v>
      </c>
      <c r="X73" t="b">
        <v>0</v>
      </c>
    </row>
    <row r="74" spans="1:24" x14ac:dyDescent="0.3">
      <c r="A74" t="s">
        <v>118</v>
      </c>
      <c r="B74" t="s">
        <v>15</v>
      </c>
      <c r="C74">
        <v>30</v>
      </c>
      <c r="D74" t="s">
        <v>16</v>
      </c>
      <c r="E74" s="6">
        <v>44214</v>
      </c>
      <c r="F74" t="s">
        <v>12</v>
      </c>
      <c r="G74" s="33">
        <v>69120</v>
      </c>
      <c r="H74" t="s">
        <v>204</v>
      </c>
      <c r="I74" s="8">
        <f ca="1">(TODAY()-staff_data[[#This Row],[Date Joined]])/365</f>
        <v>2.6739726027397261</v>
      </c>
      <c r="J74" s="31">
        <f ca="1">ROUNDUP(IF(staff_data[[#This Row],[Tenure]]&gt;2.5,3%,2%)*staff_data[[#This Row],[Salary]],0)</f>
        <v>2074</v>
      </c>
      <c r="K74" s="32">
        <f>_xlfn.XLOOKUP(staff_data[[#This Row],[Rating]],'Salary vs Rating'!$B$12:$B$16,'Salary vs Rating'!$C$12:$C$16)</f>
        <v>3</v>
      </c>
      <c r="X74" t="b">
        <v>0</v>
      </c>
    </row>
    <row r="75" spans="1:24" x14ac:dyDescent="0.3">
      <c r="A75" t="s">
        <v>131</v>
      </c>
      <c r="B75" t="s">
        <v>8</v>
      </c>
      <c r="C75">
        <v>34</v>
      </c>
      <c r="D75" t="s">
        <v>16</v>
      </c>
      <c r="E75" s="6">
        <v>44550</v>
      </c>
      <c r="F75" t="s">
        <v>21</v>
      </c>
      <c r="G75" s="33">
        <v>60130</v>
      </c>
      <c r="H75" t="s">
        <v>204</v>
      </c>
      <c r="I75" s="8">
        <f ca="1">(TODAY()-staff_data[[#This Row],[Date Joined]])/365</f>
        <v>1.7534246575342465</v>
      </c>
      <c r="J75" s="31">
        <f ca="1">ROUNDUP(IF(staff_data[[#This Row],[Tenure]]&gt;2.5,3%,2%)*staff_data[[#This Row],[Salary]],0)</f>
        <v>1203</v>
      </c>
      <c r="K75" s="32">
        <f>_xlfn.XLOOKUP(staff_data[[#This Row],[Rating]],'Salary vs Rating'!$B$12:$B$16,'Salary vs Rating'!$C$12:$C$16)</f>
        <v>3</v>
      </c>
      <c r="X75" t="b">
        <v>0</v>
      </c>
    </row>
    <row r="76" spans="1:24" x14ac:dyDescent="0.3">
      <c r="A76" t="s">
        <v>160</v>
      </c>
      <c r="B76" t="s">
        <v>15</v>
      </c>
      <c r="C76">
        <v>23</v>
      </c>
      <c r="D76" t="s">
        <v>16</v>
      </c>
      <c r="E76" s="6">
        <v>44378</v>
      </c>
      <c r="F76" t="s">
        <v>9</v>
      </c>
      <c r="G76" s="33">
        <v>106460</v>
      </c>
      <c r="H76" t="s">
        <v>204</v>
      </c>
      <c r="I76" s="8">
        <f ca="1">(TODAY()-staff_data[[#This Row],[Date Joined]])/365</f>
        <v>2.2246575342465755</v>
      </c>
      <c r="J76" s="31">
        <f ca="1">ROUNDUP(IF(staff_data[[#This Row],[Tenure]]&gt;2.5,3%,2%)*staff_data[[#This Row],[Salary]],0)</f>
        <v>2130</v>
      </c>
      <c r="K76" s="32">
        <f>_xlfn.XLOOKUP(staff_data[[#This Row],[Rating]],'Salary vs Rating'!$B$12:$B$16,'Salary vs Rating'!$C$12:$C$16)</f>
        <v>3</v>
      </c>
      <c r="X76" t="b">
        <v>0</v>
      </c>
    </row>
    <row r="77" spans="1:24" x14ac:dyDescent="0.3">
      <c r="A77" t="s">
        <v>147</v>
      </c>
      <c r="B77" t="s">
        <v>8</v>
      </c>
      <c r="C77">
        <v>37</v>
      </c>
      <c r="D77" t="s">
        <v>16</v>
      </c>
      <c r="E77" s="6">
        <v>44389</v>
      </c>
      <c r="F77" t="s">
        <v>56</v>
      </c>
      <c r="G77" s="33">
        <v>118100</v>
      </c>
      <c r="H77" t="s">
        <v>204</v>
      </c>
      <c r="I77" s="8">
        <f ca="1">(TODAY()-staff_data[[#This Row],[Date Joined]])/365</f>
        <v>2.1945205479452055</v>
      </c>
      <c r="J77" s="31">
        <f ca="1">ROUNDUP(IF(staff_data[[#This Row],[Tenure]]&gt;2.5,3%,2%)*staff_data[[#This Row],[Salary]],0)</f>
        <v>2362</v>
      </c>
      <c r="K77" s="32">
        <f>_xlfn.XLOOKUP(staff_data[[#This Row],[Rating]],'Salary vs Rating'!$B$12:$B$16,'Salary vs Rating'!$C$12:$C$16)</f>
        <v>3</v>
      </c>
      <c r="X77" t="b">
        <v>1</v>
      </c>
    </row>
    <row r="78" spans="1:24" x14ac:dyDescent="0.3">
      <c r="A78" t="s">
        <v>163</v>
      </c>
      <c r="B78" t="s">
        <v>8</v>
      </c>
      <c r="C78">
        <v>36</v>
      </c>
      <c r="D78" t="s">
        <v>16</v>
      </c>
      <c r="E78" s="6">
        <v>44468</v>
      </c>
      <c r="F78" t="s">
        <v>9</v>
      </c>
      <c r="G78" s="33">
        <v>78390</v>
      </c>
      <c r="H78" t="s">
        <v>204</v>
      </c>
      <c r="I78" s="8">
        <f ca="1">(TODAY()-staff_data[[#This Row],[Date Joined]])/365</f>
        <v>1.978082191780822</v>
      </c>
      <c r="J78" s="31">
        <f ca="1">ROUNDUP(IF(staff_data[[#This Row],[Tenure]]&gt;2.5,3%,2%)*staff_data[[#This Row],[Salary]],0)</f>
        <v>1568</v>
      </c>
      <c r="K78" s="32">
        <f>_xlfn.XLOOKUP(staff_data[[#This Row],[Rating]],'Salary vs Rating'!$B$12:$B$16,'Salary vs Rating'!$C$12:$C$16)</f>
        <v>3</v>
      </c>
      <c r="X78" t="b">
        <v>1</v>
      </c>
    </row>
    <row r="79" spans="1:24" x14ac:dyDescent="0.3">
      <c r="A79" t="s">
        <v>146</v>
      </c>
      <c r="B79" t="s">
        <v>8</v>
      </c>
      <c r="C79">
        <v>30</v>
      </c>
      <c r="D79" t="s">
        <v>16</v>
      </c>
      <c r="E79" s="6">
        <v>44789</v>
      </c>
      <c r="F79" t="s">
        <v>9</v>
      </c>
      <c r="G79" s="33">
        <v>114180</v>
      </c>
      <c r="H79" t="s">
        <v>204</v>
      </c>
      <c r="I79" s="8">
        <f ca="1">(TODAY()-staff_data[[#This Row],[Date Joined]])/365</f>
        <v>1.0986301369863014</v>
      </c>
      <c r="J79" s="31">
        <f ca="1">ROUNDUP(IF(staff_data[[#This Row],[Tenure]]&gt;2.5,3%,2%)*staff_data[[#This Row],[Salary]],0)</f>
        <v>2284</v>
      </c>
      <c r="K79" s="32">
        <f>_xlfn.XLOOKUP(staff_data[[#This Row],[Rating]],'Salary vs Rating'!$B$12:$B$16,'Salary vs Rating'!$C$12:$C$16)</f>
        <v>3</v>
      </c>
      <c r="X79" t="b">
        <v>0</v>
      </c>
    </row>
    <row r="80" spans="1:24" x14ac:dyDescent="0.3">
      <c r="A80" t="s">
        <v>188</v>
      </c>
      <c r="B80" t="s">
        <v>8</v>
      </c>
      <c r="C80">
        <v>28</v>
      </c>
      <c r="D80" t="s">
        <v>16</v>
      </c>
      <c r="E80" s="6">
        <v>44590</v>
      </c>
      <c r="F80" t="s">
        <v>9</v>
      </c>
      <c r="G80" s="33">
        <v>104120</v>
      </c>
      <c r="H80" t="s">
        <v>204</v>
      </c>
      <c r="I80" s="8">
        <f ca="1">(TODAY()-staff_data[[#This Row],[Date Joined]])/365</f>
        <v>1.6438356164383561</v>
      </c>
      <c r="J80" s="31">
        <f ca="1">ROUNDUP(IF(staff_data[[#This Row],[Tenure]]&gt;2.5,3%,2%)*staff_data[[#This Row],[Salary]],0)</f>
        <v>2083</v>
      </c>
      <c r="K80" s="32">
        <f>_xlfn.XLOOKUP(staff_data[[#This Row],[Rating]],'Salary vs Rating'!$B$12:$B$16,'Salary vs Rating'!$C$12:$C$16)</f>
        <v>3</v>
      </c>
      <c r="X80" t="b">
        <v>1</v>
      </c>
    </row>
    <row r="81" spans="1:24" x14ac:dyDescent="0.3">
      <c r="A81" t="s">
        <v>137</v>
      </c>
      <c r="B81" t="s">
        <v>15</v>
      </c>
      <c r="C81">
        <v>30</v>
      </c>
      <c r="D81" t="s">
        <v>16</v>
      </c>
      <c r="E81" s="6">
        <v>44640</v>
      </c>
      <c r="F81" t="s">
        <v>9</v>
      </c>
      <c r="G81" s="33">
        <v>67950</v>
      </c>
      <c r="H81" t="s">
        <v>204</v>
      </c>
      <c r="I81" s="8">
        <f ca="1">(TODAY()-staff_data[[#This Row],[Date Joined]])/365</f>
        <v>1.5068493150684932</v>
      </c>
      <c r="J81" s="31">
        <f ca="1">ROUNDUP(IF(staff_data[[#This Row],[Tenure]]&gt;2.5,3%,2%)*staff_data[[#This Row],[Salary]],0)</f>
        <v>1359</v>
      </c>
      <c r="K81" s="32">
        <f>_xlfn.XLOOKUP(staff_data[[#This Row],[Rating]],'Salary vs Rating'!$B$12:$B$16,'Salary vs Rating'!$C$12:$C$16)</f>
        <v>3</v>
      </c>
      <c r="X81" t="b">
        <v>1</v>
      </c>
    </row>
    <row r="82" spans="1:24" x14ac:dyDescent="0.3">
      <c r="A82" t="s">
        <v>136</v>
      </c>
      <c r="B82" t="s">
        <v>8</v>
      </c>
      <c r="C82">
        <v>29</v>
      </c>
      <c r="D82" t="s">
        <v>16</v>
      </c>
      <c r="E82" s="6">
        <v>43962</v>
      </c>
      <c r="F82" t="s">
        <v>12</v>
      </c>
      <c r="G82" s="33">
        <v>34980</v>
      </c>
      <c r="H82" t="s">
        <v>204</v>
      </c>
      <c r="I82" s="8">
        <f ca="1">(TODAY()-staff_data[[#This Row],[Date Joined]])/365</f>
        <v>3.3643835616438356</v>
      </c>
      <c r="J82" s="31">
        <f ca="1">ROUNDUP(IF(staff_data[[#This Row],[Tenure]]&gt;2.5,3%,2%)*staff_data[[#This Row],[Salary]],0)</f>
        <v>1050</v>
      </c>
      <c r="K82" s="32">
        <f>_xlfn.XLOOKUP(staff_data[[#This Row],[Rating]],'Salary vs Rating'!$B$12:$B$16,'Salary vs Rating'!$C$12:$C$16)</f>
        <v>3</v>
      </c>
      <c r="X82" t="b">
        <v>0</v>
      </c>
    </row>
    <row r="83" spans="1:24" x14ac:dyDescent="0.3">
      <c r="A83" t="s">
        <v>152</v>
      </c>
      <c r="B83" t="s">
        <v>8</v>
      </c>
      <c r="C83">
        <v>24</v>
      </c>
      <c r="D83" t="s">
        <v>16</v>
      </c>
      <c r="E83" s="6">
        <v>44087</v>
      </c>
      <c r="F83" t="s">
        <v>12</v>
      </c>
      <c r="G83" s="33">
        <v>62780</v>
      </c>
      <c r="H83" t="s">
        <v>204</v>
      </c>
      <c r="I83" s="8">
        <f ca="1">(TODAY()-staff_data[[#This Row],[Date Joined]])/365</f>
        <v>3.021917808219178</v>
      </c>
      <c r="J83" s="31">
        <f ca="1">ROUNDUP(IF(staff_data[[#This Row],[Tenure]]&gt;2.5,3%,2%)*staff_data[[#This Row],[Salary]],0)</f>
        <v>1884</v>
      </c>
      <c r="K83" s="32">
        <f>_xlfn.XLOOKUP(staff_data[[#This Row],[Rating]],'Salary vs Rating'!$B$12:$B$16,'Salary vs Rating'!$C$12:$C$16)</f>
        <v>3</v>
      </c>
      <c r="X83" t="b">
        <v>0</v>
      </c>
    </row>
    <row r="84" spans="1:24" x14ac:dyDescent="0.3">
      <c r="A84" t="s">
        <v>116</v>
      </c>
      <c r="B84" t="s">
        <v>15</v>
      </c>
      <c r="C84">
        <v>20</v>
      </c>
      <c r="D84" t="s">
        <v>16</v>
      </c>
      <c r="E84" s="6">
        <v>44397</v>
      </c>
      <c r="F84" t="s">
        <v>12</v>
      </c>
      <c r="G84" s="33">
        <v>107700</v>
      </c>
      <c r="H84" t="s">
        <v>204</v>
      </c>
      <c r="I84" s="8">
        <f ca="1">(TODAY()-staff_data[[#This Row],[Date Joined]])/365</f>
        <v>2.1726027397260275</v>
      </c>
      <c r="J84" s="31">
        <f ca="1">ROUNDUP(IF(staff_data[[#This Row],[Tenure]]&gt;2.5,3%,2%)*staff_data[[#This Row],[Salary]],0)</f>
        <v>2154</v>
      </c>
      <c r="K84" s="32">
        <f>_xlfn.XLOOKUP(staff_data[[#This Row],[Rating]],'Salary vs Rating'!$B$12:$B$16,'Salary vs Rating'!$C$12:$C$16)</f>
        <v>3</v>
      </c>
      <c r="X84" t="b">
        <v>0</v>
      </c>
    </row>
    <row r="85" spans="1:24" x14ac:dyDescent="0.3">
      <c r="A85" t="s">
        <v>167</v>
      </c>
      <c r="B85" t="s">
        <v>15</v>
      </c>
      <c r="C85">
        <v>25</v>
      </c>
      <c r="D85" t="s">
        <v>16</v>
      </c>
      <c r="E85" s="6">
        <v>44322</v>
      </c>
      <c r="F85" t="s">
        <v>19</v>
      </c>
      <c r="G85" s="33">
        <v>65700</v>
      </c>
      <c r="H85" t="s">
        <v>204</v>
      </c>
      <c r="I85" s="8">
        <f ca="1">(TODAY()-staff_data[[#This Row],[Date Joined]])/365</f>
        <v>2.3780821917808219</v>
      </c>
      <c r="J85" s="31">
        <f ca="1">ROUNDUP(IF(staff_data[[#This Row],[Tenure]]&gt;2.5,3%,2%)*staff_data[[#This Row],[Salary]],0)</f>
        <v>1314</v>
      </c>
      <c r="K85" s="32">
        <f>_xlfn.XLOOKUP(staff_data[[#This Row],[Rating]],'Salary vs Rating'!$B$12:$B$16,'Salary vs Rating'!$C$12:$C$16)</f>
        <v>3</v>
      </c>
      <c r="X85" t="b">
        <v>1</v>
      </c>
    </row>
    <row r="86" spans="1:24" x14ac:dyDescent="0.3">
      <c r="A86" t="s">
        <v>134</v>
      </c>
      <c r="B86" t="s">
        <v>8</v>
      </c>
      <c r="C86">
        <v>33</v>
      </c>
      <c r="D86" t="s">
        <v>42</v>
      </c>
      <c r="E86" s="6">
        <v>44313</v>
      </c>
      <c r="F86" t="s">
        <v>12</v>
      </c>
      <c r="G86" s="33">
        <v>75480</v>
      </c>
      <c r="H86" t="s">
        <v>204</v>
      </c>
      <c r="I86" s="8">
        <f ca="1">(TODAY()-staff_data[[#This Row],[Date Joined]])/365</f>
        <v>2.4027397260273973</v>
      </c>
      <c r="J86" s="31">
        <f ca="1">ROUNDUP(IF(staff_data[[#This Row],[Tenure]]&gt;2.5,3%,2%)*staff_data[[#This Row],[Salary]],0)</f>
        <v>1510</v>
      </c>
      <c r="K86" s="32">
        <f>_xlfn.XLOOKUP(staff_data[[#This Row],[Rating]],'Salary vs Rating'!$B$12:$B$16,'Salary vs Rating'!$C$12:$C$16)</f>
        <v>1</v>
      </c>
      <c r="X86" t="b">
        <v>0</v>
      </c>
    </row>
    <row r="87" spans="1:24" x14ac:dyDescent="0.3">
      <c r="A87" t="s">
        <v>173</v>
      </c>
      <c r="B87" t="s">
        <v>15</v>
      </c>
      <c r="C87">
        <v>33</v>
      </c>
      <c r="D87" t="s">
        <v>16</v>
      </c>
      <c r="E87" s="6">
        <v>44448</v>
      </c>
      <c r="F87" t="s">
        <v>12</v>
      </c>
      <c r="G87" s="33">
        <v>53870</v>
      </c>
      <c r="H87" t="s">
        <v>204</v>
      </c>
      <c r="I87" s="8">
        <f ca="1">(TODAY()-staff_data[[#This Row],[Date Joined]])/365</f>
        <v>2.032876712328767</v>
      </c>
      <c r="J87" s="31">
        <f ca="1">ROUNDUP(IF(staff_data[[#This Row],[Tenure]]&gt;2.5,3%,2%)*staff_data[[#This Row],[Salary]],0)</f>
        <v>1078</v>
      </c>
      <c r="K87" s="32">
        <f>_xlfn.XLOOKUP(staff_data[[#This Row],[Rating]],'Salary vs Rating'!$B$12:$B$16,'Salary vs Rating'!$C$12:$C$16)</f>
        <v>3</v>
      </c>
      <c r="X87" t="b">
        <v>0</v>
      </c>
    </row>
    <row r="88" spans="1:24" x14ac:dyDescent="0.3">
      <c r="A88" t="s">
        <v>140</v>
      </c>
      <c r="B88" t="s">
        <v>8</v>
      </c>
      <c r="C88">
        <v>36</v>
      </c>
      <c r="D88" t="s">
        <v>16</v>
      </c>
      <c r="E88" s="6">
        <v>44433</v>
      </c>
      <c r="F88" t="s">
        <v>19</v>
      </c>
      <c r="G88" s="33">
        <v>78540</v>
      </c>
      <c r="H88" t="s">
        <v>204</v>
      </c>
      <c r="I88" s="8">
        <f ca="1">(TODAY()-staff_data[[#This Row],[Date Joined]])/365</f>
        <v>2.0739726027397261</v>
      </c>
      <c r="J88" s="31">
        <f ca="1">ROUNDUP(IF(staff_data[[#This Row],[Tenure]]&gt;2.5,3%,2%)*staff_data[[#This Row],[Salary]],0)</f>
        <v>1571</v>
      </c>
      <c r="K88" s="32">
        <f>_xlfn.XLOOKUP(staff_data[[#This Row],[Rating]],'Salary vs Rating'!$B$12:$B$16,'Salary vs Rating'!$C$12:$C$16)</f>
        <v>3</v>
      </c>
      <c r="X88" t="b">
        <v>0</v>
      </c>
    </row>
    <row r="89" spans="1:24" x14ac:dyDescent="0.3">
      <c r="A89" t="s">
        <v>192</v>
      </c>
      <c r="B89" t="s">
        <v>15</v>
      </c>
      <c r="C89">
        <v>19</v>
      </c>
      <c r="D89" t="s">
        <v>16</v>
      </c>
      <c r="E89" s="6">
        <v>44218</v>
      </c>
      <c r="F89" t="s">
        <v>9</v>
      </c>
      <c r="G89" s="33">
        <v>58960</v>
      </c>
      <c r="H89" t="s">
        <v>204</v>
      </c>
      <c r="I89" s="8">
        <f ca="1">(TODAY()-staff_data[[#This Row],[Date Joined]])/365</f>
        <v>2.6630136986301371</v>
      </c>
      <c r="J89" s="31">
        <f ca="1">ROUNDUP(IF(staff_data[[#This Row],[Tenure]]&gt;2.5,3%,2%)*staff_data[[#This Row],[Salary]],0)</f>
        <v>1769</v>
      </c>
      <c r="K89" s="32">
        <f>_xlfn.XLOOKUP(staff_data[[#This Row],[Rating]],'Salary vs Rating'!$B$12:$B$16,'Salary vs Rating'!$C$12:$C$16)</f>
        <v>3</v>
      </c>
      <c r="X89" t="b">
        <v>0</v>
      </c>
    </row>
    <row r="90" spans="1:24" x14ac:dyDescent="0.3">
      <c r="A90" t="s">
        <v>161</v>
      </c>
      <c r="B90" t="s">
        <v>15</v>
      </c>
      <c r="C90">
        <v>46</v>
      </c>
      <c r="D90" t="s">
        <v>16</v>
      </c>
      <c r="E90" s="6">
        <v>44697</v>
      </c>
      <c r="F90" t="s">
        <v>9</v>
      </c>
      <c r="G90" s="33">
        <v>70610</v>
      </c>
      <c r="H90" t="s">
        <v>204</v>
      </c>
      <c r="I90" s="8">
        <f ca="1">(TODAY()-staff_data[[#This Row],[Date Joined]])/365</f>
        <v>1.3506849315068492</v>
      </c>
      <c r="J90" s="31">
        <f ca="1">ROUNDUP(IF(staff_data[[#This Row],[Tenure]]&gt;2.5,3%,2%)*staff_data[[#This Row],[Salary]],0)</f>
        <v>1413</v>
      </c>
      <c r="K90" s="32">
        <f>_xlfn.XLOOKUP(staff_data[[#This Row],[Rating]],'Salary vs Rating'!$B$12:$B$16,'Salary vs Rating'!$C$12:$C$16)</f>
        <v>3</v>
      </c>
      <c r="X90" t="b">
        <v>0</v>
      </c>
    </row>
    <row r="91" spans="1:24" x14ac:dyDescent="0.3">
      <c r="A91" t="s">
        <v>170</v>
      </c>
      <c r="B91" t="s">
        <v>15</v>
      </c>
      <c r="C91">
        <v>33</v>
      </c>
      <c r="D91" t="s">
        <v>16</v>
      </c>
      <c r="E91" s="6">
        <v>44181</v>
      </c>
      <c r="F91" t="s">
        <v>21</v>
      </c>
      <c r="G91" s="33">
        <v>59430</v>
      </c>
      <c r="H91" t="s">
        <v>204</v>
      </c>
      <c r="I91" s="8">
        <f ca="1">(TODAY()-staff_data[[#This Row],[Date Joined]])/365</f>
        <v>2.7643835616438355</v>
      </c>
      <c r="J91" s="31">
        <f ca="1">ROUNDUP(IF(staff_data[[#This Row],[Tenure]]&gt;2.5,3%,2%)*staff_data[[#This Row],[Salary]],0)</f>
        <v>1783</v>
      </c>
      <c r="K91" s="32">
        <f>_xlfn.XLOOKUP(staff_data[[#This Row],[Rating]],'Salary vs Rating'!$B$12:$B$16,'Salary vs Rating'!$C$12:$C$16)</f>
        <v>3</v>
      </c>
      <c r="X91" t="b">
        <v>0</v>
      </c>
    </row>
    <row r="92" spans="1:24" x14ac:dyDescent="0.3">
      <c r="A92" t="s">
        <v>143</v>
      </c>
      <c r="B92" t="s">
        <v>15</v>
      </c>
      <c r="C92">
        <v>33</v>
      </c>
      <c r="D92" t="s">
        <v>13</v>
      </c>
      <c r="E92" s="6">
        <v>44640</v>
      </c>
      <c r="F92" t="s">
        <v>9</v>
      </c>
      <c r="G92" s="33">
        <v>48530</v>
      </c>
      <c r="H92" t="s">
        <v>204</v>
      </c>
      <c r="I92" s="8">
        <f ca="1">(TODAY()-staff_data[[#This Row],[Date Joined]])/365</f>
        <v>1.5068493150684932</v>
      </c>
      <c r="J92" s="31">
        <f ca="1">ROUNDUP(IF(staff_data[[#This Row],[Tenure]]&gt;2.5,3%,2%)*staff_data[[#This Row],[Salary]],0)</f>
        <v>971</v>
      </c>
      <c r="K92" s="32">
        <f>_xlfn.XLOOKUP(staff_data[[#This Row],[Rating]],'Salary vs Rating'!$B$12:$B$16,'Salary vs Rating'!$C$12:$C$16)</f>
        <v>4</v>
      </c>
      <c r="X92" t="b">
        <v>0</v>
      </c>
    </row>
    <row r="93" spans="1:24" x14ac:dyDescent="0.3">
      <c r="A93" t="s">
        <v>162</v>
      </c>
      <c r="B93" t="s">
        <v>8</v>
      </c>
      <c r="C93">
        <v>33</v>
      </c>
      <c r="D93" t="s">
        <v>16</v>
      </c>
      <c r="E93" s="6">
        <v>44129</v>
      </c>
      <c r="F93" t="s">
        <v>12</v>
      </c>
      <c r="G93" s="33">
        <v>96140</v>
      </c>
      <c r="H93" t="s">
        <v>204</v>
      </c>
      <c r="I93" s="8">
        <f ca="1">(TODAY()-staff_data[[#This Row],[Date Joined]])/365</f>
        <v>2.9068493150684933</v>
      </c>
      <c r="J93" s="31">
        <f ca="1">ROUNDUP(IF(staff_data[[#This Row],[Tenure]]&gt;2.5,3%,2%)*staff_data[[#This Row],[Salary]],0)</f>
        <v>2885</v>
      </c>
      <c r="K93" s="32">
        <f>_xlfn.XLOOKUP(staff_data[[#This Row],[Rating]],'Salary vs Rating'!$B$12:$B$16,'Salary vs Rating'!$C$12:$C$16)</f>
        <v>3</v>
      </c>
      <c r="X93" t="b">
        <v>0</v>
      </c>
    </row>
    <row r="94" spans="1:24" x14ac:dyDescent="0.3">
      <c r="A94" t="s">
        <v>58</v>
      </c>
      <c r="B94" t="s">
        <v>15</v>
      </c>
      <c r="C94">
        <v>22</v>
      </c>
      <c r="D94" t="s">
        <v>13</v>
      </c>
      <c r="E94" s="6">
        <v>44446</v>
      </c>
      <c r="F94" t="s">
        <v>19</v>
      </c>
      <c r="G94" s="33">
        <v>112780</v>
      </c>
      <c r="H94" t="s">
        <v>206</v>
      </c>
      <c r="I94" s="8">
        <f ca="1">(TODAY()-staff_data[[#This Row],[Date Joined]])/365</f>
        <v>2.0383561643835617</v>
      </c>
      <c r="J94" s="31">
        <f ca="1">ROUNDUP(IF(staff_data[[#This Row],[Tenure]]&gt;2.5,3%,2%)*staff_data[[#This Row],[Salary]],0)</f>
        <v>2256</v>
      </c>
      <c r="K94" s="32">
        <f>_xlfn.XLOOKUP(staff_data[[#This Row],[Rating]],'Salary vs Rating'!$B$12:$B$16,'Salary vs Rating'!$C$12:$C$16)</f>
        <v>4</v>
      </c>
      <c r="X94" t="b">
        <v>1</v>
      </c>
    </row>
    <row r="95" spans="1:24" x14ac:dyDescent="0.3">
      <c r="A95" t="s">
        <v>70</v>
      </c>
      <c r="B95" t="s">
        <v>15</v>
      </c>
      <c r="C95">
        <v>46</v>
      </c>
      <c r="D95" t="s">
        <v>16</v>
      </c>
      <c r="E95" s="6">
        <v>44758</v>
      </c>
      <c r="F95" t="s">
        <v>9</v>
      </c>
      <c r="G95" s="33">
        <v>70610</v>
      </c>
      <c r="H95" t="s">
        <v>206</v>
      </c>
      <c r="I95" s="8">
        <f ca="1">(TODAY()-staff_data[[#This Row],[Date Joined]])/365</f>
        <v>1.1835616438356165</v>
      </c>
      <c r="J95" s="31">
        <f ca="1">ROUNDUP(IF(staff_data[[#This Row],[Tenure]]&gt;2.5,3%,2%)*staff_data[[#This Row],[Salary]],0)</f>
        <v>1413</v>
      </c>
      <c r="K95" s="32">
        <f>_xlfn.XLOOKUP(staff_data[[#This Row],[Rating]],'Salary vs Rating'!$B$12:$B$16,'Salary vs Rating'!$C$12:$C$16)</f>
        <v>3</v>
      </c>
      <c r="X95" t="b">
        <v>1</v>
      </c>
    </row>
    <row r="96" spans="1:24" x14ac:dyDescent="0.3">
      <c r="A96" t="s">
        <v>75</v>
      </c>
      <c r="B96" t="s">
        <v>8</v>
      </c>
      <c r="C96">
        <v>28</v>
      </c>
      <c r="D96" t="s">
        <v>16</v>
      </c>
      <c r="E96" s="6">
        <v>44357</v>
      </c>
      <c r="F96" t="s">
        <v>19</v>
      </c>
      <c r="G96" s="33">
        <v>53240</v>
      </c>
      <c r="H96" t="s">
        <v>206</v>
      </c>
      <c r="I96" s="8">
        <f ca="1">(TODAY()-staff_data[[#This Row],[Date Joined]])/365</f>
        <v>2.2821917808219179</v>
      </c>
      <c r="J96" s="31">
        <f ca="1">ROUNDUP(IF(staff_data[[#This Row],[Tenure]]&gt;2.5,3%,2%)*staff_data[[#This Row],[Salary]],0)</f>
        <v>1065</v>
      </c>
      <c r="K96" s="32">
        <f>_xlfn.XLOOKUP(staff_data[[#This Row],[Rating]],'Salary vs Rating'!$B$12:$B$16,'Salary vs Rating'!$C$12:$C$16)</f>
        <v>3</v>
      </c>
      <c r="X96" t="b">
        <v>0</v>
      </c>
    </row>
    <row r="97" spans="1:24" x14ac:dyDescent="0.3">
      <c r="A97" t="s">
        <v>40</v>
      </c>
      <c r="B97" t="s">
        <v>15</v>
      </c>
      <c r="C97">
        <v>33</v>
      </c>
      <c r="D97" t="s">
        <v>16</v>
      </c>
      <c r="E97" s="6">
        <v>44164</v>
      </c>
      <c r="F97" t="s">
        <v>9</v>
      </c>
      <c r="G97" s="33">
        <v>115920</v>
      </c>
      <c r="H97" t="s">
        <v>206</v>
      </c>
      <c r="I97" s="8">
        <f ca="1">(TODAY()-staff_data[[#This Row],[Date Joined]])/365</f>
        <v>2.8109589041095893</v>
      </c>
      <c r="J97" s="31">
        <f ca="1">ROUNDUP(IF(staff_data[[#This Row],[Tenure]]&gt;2.5,3%,2%)*staff_data[[#This Row],[Salary]],0)</f>
        <v>3478</v>
      </c>
      <c r="K97" s="32">
        <f>_xlfn.XLOOKUP(staff_data[[#This Row],[Rating]],'Salary vs Rating'!$B$12:$B$16,'Salary vs Rating'!$C$12:$C$16)</f>
        <v>3</v>
      </c>
      <c r="X97" t="b">
        <v>0</v>
      </c>
    </row>
    <row r="98" spans="1:24" x14ac:dyDescent="0.3">
      <c r="A98" t="s">
        <v>65</v>
      </c>
      <c r="B98" t="s">
        <v>15</v>
      </c>
      <c r="C98">
        <v>32</v>
      </c>
      <c r="D98" t="s">
        <v>16</v>
      </c>
      <c r="E98" s="6">
        <v>44465</v>
      </c>
      <c r="F98" t="s">
        <v>19</v>
      </c>
      <c r="G98" s="33">
        <v>53540</v>
      </c>
      <c r="H98" t="s">
        <v>206</v>
      </c>
      <c r="I98" s="8">
        <f ca="1">(TODAY()-staff_data[[#This Row],[Date Joined]])/365</f>
        <v>1.9863013698630136</v>
      </c>
      <c r="J98" s="31">
        <f ca="1">ROUNDUP(IF(staff_data[[#This Row],[Tenure]]&gt;2.5,3%,2%)*staff_data[[#This Row],[Salary]],0)</f>
        <v>1071</v>
      </c>
      <c r="K98" s="32">
        <f>_xlfn.XLOOKUP(staff_data[[#This Row],[Rating]],'Salary vs Rating'!$B$12:$B$16,'Salary vs Rating'!$C$12:$C$16)</f>
        <v>3</v>
      </c>
      <c r="X98" t="b">
        <v>1</v>
      </c>
    </row>
    <row r="99" spans="1:24" x14ac:dyDescent="0.3">
      <c r="A99" t="s">
        <v>81</v>
      </c>
      <c r="B99" t="s">
        <v>8</v>
      </c>
      <c r="C99">
        <v>30</v>
      </c>
      <c r="D99" t="s">
        <v>16</v>
      </c>
      <c r="E99" s="6">
        <v>44861</v>
      </c>
      <c r="F99" t="s">
        <v>9</v>
      </c>
      <c r="G99" s="33">
        <v>112570</v>
      </c>
      <c r="H99" t="s">
        <v>206</v>
      </c>
      <c r="I99" s="8">
        <f ca="1">(TODAY()-staff_data[[#This Row],[Date Joined]])/365</f>
        <v>0.90136986301369859</v>
      </c>
      <c r="J99" s="31">
        <f ca="1">ROUNDUP(IF(staff_data[[#This Row],[Tenure]]&gt;2.5,3%,2%)*staff_data[[#This Row],[Salary]],0)</f>
        <v>2252</v>
      </c>
      <c r="K99" s="32">
        <f>_xlfn.XLOOKUP(staff_data[[#This Row],[Rating]],'Salary vs Rating'!$B$12:$B$16,'Salary vs Rating'!$C$12:$C$16)</f>
        <v>3</v>
      </c>
      <c r="X99" t="b">
        <v>0</v>
      </c>
    </row>
    <row r="100" spans="1:24" x14ac:dyDescent="0.3">
      <c r="A100" t="s">
        <v>51</v>
      </c>
      <c r="B100" t="s">
        <v>15</v>
      </c>
      <c r="C100">
        <v>33</v>
      </c>
      <c r="D100" t="s">
        <v>13</v>
      </c>
      <c r="E100" s="6">
        <v>44701</v>
      </c>
      <c r="F100" t="s">
        <v>9</v>
      </c>
      <c r="G100" s="33">
        <v>48530</v>
      </c>
      <c r="H100" t="s">
        <v>206</v>
      </c>
      <c r="I100" s="8">
        <f ca="1">(TODAY()-staff_data[[#This Row],[Date Joined]])/365</f>
        <v>1.3397260273972602</v>
      </c>
      <c r="J100" s="31">
        <f ca="1">ROUNDUP(IF(staff_data[[#This Row],[Tenure]]&gt;2.5,3%,2%)*staff_data[[#This Row],[Salary]],0)</f>
        <v>971</v>
      </c>
      <c r="K100" s="32">
        <f>_xlfn.XLOOKUP(staff_data[[#This Row],[Rating]],'Salary vs Rating'!$B$12:$B$16,'Salary vs Rating'!$C$12:$C$16)</f>
        <v>4</v>
      </c>
      <c r="X100" t="b">
        <v>1</v>
      </c>
    </row>
    <row r="101" spans="1:24" x14ac:dyDescent="0.3">
      <c r="A101" t="s">
        <v>61</v>
      </c>
      <c r="B101" t="s">
        <v>8</v>
      </c>
      <c r="C101">
        <v>24</v>
      </c>
      <c r="D101" t="s">
        <v>16</v>
      </c>
      <c r="E101" s="6">
        <v>44148</v>
      </c>
      <c r="F101" t="s">
        <v>12</v>
      </c>
      <c r="G101" s="33">
        <v>62780</v>
      </c>
      <c r="H101" t="s">
        <v>206</v>
      </c>
      <c r="I101" s="8">
        <f ca="1">(TODAY()-staff_data[[#This Row],[Date Joined]])/365</f>
        <v>2.8547945205479452</v>
      </c>
      <c r="J101" s="31">
        <f ca="1">ROUNDUP(IF(staff_data[[#This Row],[Tenure]]&gt;2.5,3%,2%)*staff_data[[#This Row],[Salary]],0)</f>
        <v>1884</v>
      </c>
      <c r="K101" s="32">
        <f>_xlfn.XLOOKUP(staff_data[[#This Row],[Rating]],'Salary vs Rating'!$B$12:$B$16,'Salary vs Rating'!$C$12:$C$16)</f>
        <v>3</v>
      </c>
      <c r="X101" t="b">
        <v>0</v>
      </c>
    </row>
    <row r="102" spans="1:24" x14ac:dyDescent="0.3">
      <c r="A102" t="s">
        <v>82</v>
      </c>
      <c r="B102" t="s">
        <v>15</v>
      </c>
      <c r="C102">
        <v>33</v>
      </c>
      <c r="D102" t="s">
        <v>16</v>
      </c>
      <c r="E102" s="6">
        <v>44509</v>
      </c>
      <c r="F102" t="s">
        <v>12</v>
      </c>
      <c r="G102" s="33">
        <v>53870</v>
      </c>
      <c r="H102" t="s">
        <v>206</v>
      </c>
      <c r="I102" s="8">
        <f ca="1">(TODAY()-staff_data[[#This Row],[Date Joined]])/365</f>
        <v>1.8657534246575342</v>
      </c>
      <c r="J102" s="31">
        <f ca="1">ROUNDUP(IF(staff_data[[#This Row],[Tenure]]&gt;2.5,3%,2%)*staff_data[[#This Row],[Salary]],0)</f>
        <v>1078</v>
      </c>
      <c r="K102" s="32">
        <f>_xlfn.XLOOKUP(staff_data[[#This Row],[Rating]],'Salary vs Rating'!$B$12:$B$16,'Salary vs Rating'!$C$12:$C$16)</f>
        <v>3</v>
      </c>
      <c r="X102" t="b">
        <v>0</v>
      </c>
    </row>
    <row r="103" spans="1:24" x14ac:dyDescent="0.3">
      <c r="A103" t="s">
        <v>141</v>
      </c>
      <c r="B103" t="s">
        <v>205</v>
      </c>
      <c r="C103">
        <v>37</v>
      </c>
      <c r="D103" t="s">
        <v>24</v>
      </c>
      <c r="E103" s="6">
        <v>44085</v>
      </c>
      <c r="F103" t="s">
        <v>21</v>
      </c>
      <c r="G103" s="33">
        <v>115440</v>
      </c>
      <c r="H103" t="s">
        <v>204</v>
      </c>
      <c r="I103" s="8">
        <f ca="1">(TODAY()-staff_data[[#This Row],[Date Joined]])/365</f>
        <v>3.0273972602739727</v>
      </c>
      <c r="J103" s="31">
        <f ca="1">ROUNDUP(IF(staff_data[[#This Row],[Tenure]]&gt;2.5,3%,2%)*staff_data[[#This Row],[Salary]],0)</f>
        <v>3464</v>
      </c>
      <c r="K103" s="32">
        <f>_xlfn.XLOOKUP(staff_data[[#This Row],[Rating]],'Salary vs Rating'!$B$12:$B$16,'Salary vs Rating'!$C$12:$C$16)</f>
        <v>2</v>
      </c>
      <c r="X103" t="b">
        <v>0</v>
      </c>
    </row>
    <row r="104" spans="1:24" x14ac:dyDescent="0.3">
      <c r="A104" t="s">
        <v>87</v>
      </c>
      <c r="B104" t="s">
        <v>15</v>
      </c>
      <c r="C104">
        <v>29</v>
      </c>
      <c r="D104" t="s">
        <v>24</v>
      </c>
      <c r="E104" s="6">
        <v>44180</v>
      </c>
      <c r="F104" t="s">
        <v>12</v>
      </c>
      <c r="G104" s="33">
        <v>112110</v>
      </c>
      <c r="H104" t="s">
        <v>206</v>
      </c>
      <c r="I104" s="8">
        <f ca="1">(TODAY()-staff_data[[#This Row],[Date Joined]])/365</f>
        <v>2.7671232876712328</v>
      </c>
      <c r="J104" s="31">
        <f ca="1">ROUNDUP(IF(staff_data[[#This Row],[Tenure]]&gt;2.5,3%,2%)*staff_data[[#This Row],[Salary]],0)</f>
        <v>3364</v>
      </c>
      <c r="K104" s="32">
        <f>_xlfn.XLOOKUP(staff_data[[#This Row],[Rating]],'Salary vs Rating'!$B$12:$B$16,'Salary vs Rating'!$C$12:$C$16)</f>
        <v>2</v>
      </c>
      <c r="X104" t="b">
        <v>1</v>
      </c>
    </row>
    <row r="105" spans="1:24" x14ac:dyDescent="0.3">
      <c r="A105" t="s">
        <v>76</v>
      </c>
      <c r="B105" t="s">
        <v>15</v>
      </c>
      <c r="C105">
        <v>25</v>
      </c>
      <c r="D105" t="s">
        <v>16</v>
      </c>
      <c r="E105" s="6">
        <v>44383</v>
      </c>
      <c r="F105" t="s">
        <v>19</v>
      </c>
      <c r="G105" s="33">
        <v>65700</v>
      </c>
      <c r="H105" t="s">
        <v>206</v>
      </c>
      <c r="I105" s="8">
        <f ca="1">(TODAY()-staff_data[[#This Row],[Date Joined]])/365</f>
        <v>2.2109589041095892</v>
      </c>
      <c r="J105" s="31">
        <f ca="1">ROUNDUP(IF(staff_data[[#This Row],[Tenure]]&gt;2.5,3%,2%)*staff_data[[#This Row],[Salary]],0)</f>
        <v>1314</v>
      </c>
      <c r="K105" s="32">
        <f>_xlfn.XLOOKUP(staff_data[[#This Row],[Rating]],'Salary vs Rating'!$B$12:$B$16,'Salary vs Rating'!$C$12:$C$16)</f>
        <v>3</v>
      </c>
      <c r="X105" t="b">
        <v>1</v>
      </c>
    </row>
    <row r="106" spans="1:24" x14ac:dyDescent="0.3">
      <c r="A106" t="s">
        <v>97</v>
      </c>
      <c r="B106" t="s">
        <v>15</v>
      </c>
      <c r="C106">
        <v>37</v>
      </c>
      <c r="D106" t="s">
        <v>16</v>
      </c>
      <c r="E106" s="6">
        <v>44701</v>
      </c>
      <c r="F106" t="s">
        <v>12</v>
      </c>
      <c r="G106" s="33">
        <v>69070</v>
      </c>
      <c r="H106" t="s">
        <v>206</v>
      </c>
      <c r="I106" s="8">
        <f ca="1">(TODAY()-staff_data[[#This Row],[Date Joined]])/365</f>
        <v>1.3397260273972602</v>
      </c>
      <c r="J106" s="31">
        <f ca="1">ROUNDUP(IF(staff_data[[#This Row],[Tenure]]&gt;2.5,3%,2%)*staff_data[[#This Row],[Salary]],0)</f>
        <v>1382</v>
      </c>
      <c r="K106" s="32">
        <f>_xlfn.XLOOKUP(staff_data[[#This Row],[Rating]],'Salary vs Rating'!$B$12:$B$16,'Salary vs Rating'!$C$12:$C$16)</f>
        <v>3</v>
      </c>
      <c r="X106" t="b">
        <v>0</v>
      </c>
    </row>
    <row r="107" spans="1:24" x14ac:dyDescent="0.3">
      <c r="A107" t="s">
        <v>22</v>
      </c>
      <c r="B107" t="s">
        <v>15</v>
      </c>
      <c r="C107">
        <v>20</v>
      </c>
      <c r="D107" t="s">
        <v>16</v>
      </c>
      <c r="E107" s="6">
        <v>44459</v>
      </c>
      <c r="F107" t="s">
        <v>12</v>
      </c>
      <c r="G107" s="33">
        <v>107700</v>
      </c>
      <c r="H107" t="s">
        <v>206</v>
      </c>
      <c r="I107" s="8">
        <f ca="1">(TODAY()-staff_data[[#This Row],[Date Joined]])/365</f>
        <v>2.0027397260273974</v>
      </c>
      <c r="J107" s="31">
        <f ca="1">ROUNDUP(IF(staff_data[[#This Row],[Tenure]]&gt;2.5,3%,2%)*staff_data[[#This Row],[Salary]],0)</f>
        <v>2154</v>
      </c>
      <c r="K107" s="32">
        <f>_xlfn.XLOOKUP(staff_data[[#This Row],[Rating]],'Salary vs Rating'!$B$12:$B$16,'Salary vs Rating'!$C$12:$C$16)</f>
        <v>3</v>
      </c>
      <c r="X107" t="b">
        <v>0</v>
      </c>
    </row>
    <row r="108" spans="1:24" x14ac:dyDescent="0.3">
      <c r="A108" t="s">
        <v>84</v>
      </c>
      <c r="B108" t="s">
        <v>8</v>
      </c>
      <c r="C108">
        <v>32</v>
      </c>
      <c r="D108" t="s">
        <v>13</v>
      </c>
      <c r="E108" s="6">
        <v>44354</v>
      </c>
      <c r="F108" t="s">
        <v>12</v>
      </c>
      <c r="G108" s="33">
        <v>43840</v>
      </c>
      <c r="H108" t="s">
        <v>206</v>
      </c>
      <c r="I108" s="8">
        <f ca="1">(TODAY()-staff_data[[#This Row],[Date Joined]])/365</f>
        <v>2.2904109589041095</v>
      </c>
      <c r="J108" s="31">
        <f ca="1">ROUNDUP(IF(staff_data[[#This Row],[Tenure]]&gt;2.5,3%,2%)*staff_data[[#This Row],[Salary]],0)</f>
        <v>877</v>
      </c>
      <c r="K108" s="32">
        <f>_xlfn.XLOOKUP(staff_data[[#This Row],[Rating]],'Salary vs Rating'!$B$12:$B$16,'Salary vs Rating'!$C$12:$C$16)</f>
        <v>4</v>
      </c>
      <c r="X108" t="b">
        <v>1</v>
      </c>
    </row>
    <row r="109" spans="1:24" x14ac:dyDescent="0.3">
      <c r="A109" t="s">
        <v>105</v>
      </c>
      <c r="B109" t="s">
        <v>15</v>
      </c>
      <c r="C109">
        <v>40</v>
      </c>
      <c r="D109" t="s">
        <v>16</v>
      </c>
      <c r="E109" s="6">
        <v>44263</v>
      </c>
      <c r="F109" t="s">
        <v>9</v>
      </c>
      <c r="G109" s="33">
        <v>99750</v>
      </c>
      <c r="H109" t="s">
        <v>206</v>
      </c>
      <c r="I109" s="8">
        <f ca="1">(TODAY()-staff_data[[#This Row],[Date Joined]])/365</f>
        <v>2.5397260273972604</v>
      </c>
      <c r="J109" s="31">
        <f ca="1">ROUNDUP(IF(staff_data[[#This Row],[Tenure]]&gt;2.5,3%,2%)*staff_data[[#This Row],[Salary]],0)</f>
        <v>2993</v>
      </c>
      <c r="K109" s="32">
        <f>_xlfn.XLOOKUP(staff_data[[#This Row],[Rating]],'Salary vs Rating'!$B$12:$B$16,'Salary vs Rating'!$C$12:$C$16)</f>
        <v>3</v>
      </c>
      <c r="X109" t="b">
        <v>0</v>
      </c>
    </row>
    <row r="110" spans="1:24" x14ac:dyDescent="0.3">
      <c r="A110" t="s">
        <v>47</v>
      </c>
      <c r="B110" t="s">
        <v>15</v>
      </c>
      <c r="C110">
        <v>21</v>
      </c>
      <c r="D110" t="s">
        <v>16</v>
      </c>
      <c r="E110" s="6">
        <v>44104</v>
      </c>
      <c r="F110" t="s">
        <v>9</v>
      </c>
      <c r="G110" s="33">
        <v>37920</v>
      </c>
      <c r="H110" t="s">
        <v>206</v>
      </c>
      <c r="I110" s="8">
        <f ca="1">(TODAY()-staff_data[[#This Row],[Date Joined]])/365</f>
        <v>2.9753424657534246</v>
      </c>
      <c r="J110" s="31">
        <f ca="1">ROUNDUP(IF(staff_data[[#This Row],[Tenure]]&gt;2.5,3%,2%)*staff_data[[#This Row],[Salary]],0)</f>
        <v>1138</v>
      </c>
      <c r="K110" s="32">
        <f>_xlfn.XLOOKUP(staff_data[[#This Row],[Rating]],'Salary vs Rating'!$B$12:$B$16,'Salary vs Rating'!$C$12:$C$16)</f>
        <v>3</v>
      </c>
      <c r="X110" t="b">
        <v>1</v>
      </c>
    </row>
    <row r="111" spans="1:24" x14ac:dyDescent="0.3">
      <c r="A111" t="s">
        <v>31</v>
      </c>
      <c r="B111" t="s">
        <v>15</v>
      </c>
      <c r="C111">
        <v>21</v>
      </c>
      <c r="D111" t="s">
        <v>16</v>
      </c>
      <c r="E111" s="6">
        <v>44762</v>
      </c>
      <c r="F111" t="s">
        <v>9</v>
      </c>
      <c r="G111" s="33">
        <v>57090</v>
      </c>
      <c r="H111" t="s">
        <v>206</v>
      </c>
      <c r="I111" s="8">
        <f ca="1">(TODAY()-staff_data[[#This Row],[Date Joined]])/365</f>
        <v>1.1726027397260275</v>
      </c>
      <c r="J111" s="31">
        <f ca="1">ROUNDUP(IF(staff_data[[#This Row],[Tenure]]&gt;2.5,3%,2%)*staff_data[[#This Row],[Salary]],0)</f>
        <v>1142</v>
      </c>
      <c r="K111" s="32">
        <f>_xlfn.XLOOKUP(staff_data[[#This Row],[Rating]],'Salary vs Rating'!$B$12:$B$16,'Salary vs Rating'!$C$12:$C$16)</f>
        <v>3</v>
      </c>
      <c r="X111" t="b">
        <v>0</v>
      </c>
    </row>
    <row r="112" spans="1:24" x14ac:dyDescent="0.3">
      <c r="A112" t="s">
        <v>30</v>
      </c>
      <c r="B112" t="s">
        <v>8</v>
      </c>
      <c r="C112">
        <v>31</v>
      </c>
      <c r="D112" t="s">
        <v>16</v>
      </c>
      <c r="E112" s="6">
        <v>44145</v>
      </c>
      <c r="F112" t="s">
        <v>12</v>
      </c>
      <c r="G112" s="33">
        <v>41980</v>
      </c>
      <c r="H112" t="s">
        <v>206</v>
      </c>
      <c r="I112" s="8">
        <f ca="1">(TODAY()-staff_data[[#This Row],[Date Joined]])/365</f>
        <v>2.8630136986301369</v>
      </c>
      <c r="J112" s="31">
        <f ca="1">ROUNDUP(IF(staff_data[[#This Row],[Tenure]]&gt;2.5,3%,2%)*staff_data[[#This Row],[Salary]],0)</f>
        <v>1260</v>
      </c>
      <c r="K112" s="32">
        <f>_xlfn.XLOOKUP(staff_data[[#This Row],[Rating]],'Salary vs Rating'!$B$12:$B$16,'Salary vs Rating'!$C$12:$C$16)</f>
        <v>3</v>
      </c>
      <c r="X112" t="b">
        <v>0</v>
      </c>
    </row>
    <row r="113" spans="1:24" x14ac:dyDescent="0.3">
      <c r="A113" t="s">
        <v>78</v>
      </c>
      <c r="B113" t="s">
        <v>15</v>
      </c>
      <c r="C113">
        <v>21</v>
      </c>
      <c r="D113" t="s">
        <v>16</v>
      </c>
      <c r="E113" s="6">
        <v>44242</v>
      </c>
      <c r="F113" t="s">
        <v>56</v>
      </c>
      <c r="G113" s="33">
        <v>75880</v>
      </c>
      <c r="H113" t="s">
        <v>206</v>
      </c>
      <c r="I113" s="8">
        <f ca="1">(TODAY()-staff_data[[#This Row],[Date Joined]])/365</f>
        <v>2.5972602739726027</v>
      </c>
      <c r="J113" s="31">
        <f ca="1">ROUNDUP(IF(staff_data[[#This Row],[Tenure]]&gt;2.5,3%,2%)*staff_data[[#This Row],[Salary]],0)</f>
        <v>2277</v>
      </c>
      <c r="K113" s="32">
        <f>_xlfn.XLOOKUP(staff_data[[#This Row],[Rating]],'Salary vs Rating'!$B$12:$B$16,'Salary vs Rating'!$C$12:$C$16)</f>
        <v>3</v>
      </c>
      <c r="X113" t="b">
        <v>0</v>
      </c>
    </row>
    <row r="114" spans="1:24" x14ac:dyDescent="0.3">
      <c r="A114" t="s">
        <v>36</v>
      </c>
      <c r="B114" t="s">
        <v>8</v>
      </c>
      <c r="C114">
        <v>34</v>
      </c>
      <c r="D114" t="s">
        <v>16</v>
      </c>
      <c r="E114" s="6">
        <v>44653</v>
      </c>
      <c r="F114" t="s">
        <v>21</v>
      </c>
      <c r="G114" s="33">
        <v>58940</v>
      </c>
      <c r="H114" t="s">
        <v>206</v>
      </c>
      <c r="I114" s="8">
        <f ca="1">(TODAY()-staff_data[[#This Row],[Date Joined]])/365</f>
        <v>1.4712328767123288</v>
      </c>
      <c r="J114" s="31">
        <f ca="1">ROUNDUP(IF(staff_data[[#This Row],[Tenure]]&gt;2.5,3%,2%)*staff_data[[#This Row],[Salary]],0)</f>
        <v>1179</v>
      </c>
      <c r="K114" s="32">
        <f>_xlfn.XLOOKUP(staff_data[[#This Row],[Rating]],'Salary vs Rating'!$B$12:$B$16,'Salary vs Rating'!$C$12:$C$16)</f>
        <v>3</v>
      </c>
      <c r="X114" t="b">
        <v>0</v>
      </c>
    </row>
    <row r="115" spans="1:24" x14ac:dyDescent="0.3">
      <c r="A115" t="s">
        <v>27</v>
      </c>
      <c r="B115" t="s">
        <v>8</v>
      </c>
      <c r="C115">
        <v>30</v>
      </c>
      <c r="D115" t="s">
        <v>24</v>
      </c>
      <c r="E115" s="6">
        <v>44389</v>
      </c>
      <c r="F115" t="s">
        <v>21</v>
      </c>
      <c r="G115" s="33">
        <v>67910</v>
      </c>
      <c r="H115" t="s">
        <v>206</v>
      </c>
      <c r="I115" s="8">
        <f ca="1">(TODAY()-staff_data[[#This Row],[Date Joined]])/365</f>
        <v>2.1945205479452055</v>
      </c>
      <c r="J115" s="31">
        <f ca="1">ROUNDUP(IF(staff_data[[#This Row],[Tenure]]&gt;2.5,3%,2%)*staff_data[[#This Row],[Salary]],0)</f>
        <v>1359</v>
      </c>
      <c r="K115" s="32">
        <f>_xlfn.XLOOKUP(staff_data[[#This Row],[Rating]],'Salary vs Rating'!$B$12:$B$16,'Salary vs Rating'!$C$12:$C$16)</f>
        <v>2</v>
      </c>
      <c r="X115" t="b">
        <v>0</v>
      </c>
    </row>
    <row r="116" spans="1:24" x14ac:dyDescent="0.3">
      <c r="A116" t="s">
        <v>26</v>
      </c>
      <c r="B116" t="s">
        <v>8</v>
      </c>
      <c r="C116">
        <v>31</v>
      </c>
      <c r="D116" t="s">
        <v>16</v>
      </c>
      <c r="E116" s="6">
        <v>44663</v>
      </c>
      <c r="F116" t="s">
        <v>12</v>
      </c>
      <c r="G116" s="33">
        <v>58100</v>
      </c>
      <c r="H116" t="s">
        <v>206</v>
      </c>
      <c r="I116" s="8">
        <f ca="1">(TODAY()-staff_data[[#This Row],[Date Joined]])/365</f>
        <v>1.4438356164383561</v>
      </c>
      <c r="J116" s="31">
        <f ca="1">ROUNDUP(IF(staff_data[[#This Row],[Tenure]]&gt;2.5,3%,2%)*staff_data[[#This Row],[Salary]],0)</f>
        <v>1162</v>
      </c>
      <c r="K116" s="32">
        <f>_xlfn.XLOOKUP(staff_data[[#This Row],[Rating]],'Salary vs Rating'!$B$12:$B$16,'Salary vs Rating'!$C$12:$C$16)</f>
        <v>3</v>
      </c>
      <c r="X116" t="b">
        <v>0</v>
      </c>
    </row>
    <row r="117" spans="1:24" x14ac:dyDescent="0.3">
      <c r="A117" t="s">
        <v>53</v>
      </c>
      <c r="B117" t="s">
        <v>15</v>
      </c>
      <c r="C117">
        <v>27</v>
      </c>
      <c r="D117" t="s">
        <v>16</v>
      </c>
      <c r="E117" s="6">
        <v>44567</v>
      </c>
      <c r="F117" t="s">
        <v>21</v>
      </c>
      <c r="G117" s="33">
        <v>48980</v>
      </c>
      <c r="H117" t="s">
        <v>206</v>
      </c>
      <c r="I117" s="8">
        <f ca="1">(TODAY()-staff_data[[#This Row],[Date Joined]])/365</f>
        <v>1.7068493150684931</v>
      </c>
      <c r="J117" s="31">
        <f ca="1">ROUNDUP(IF(staff_data[[#This Row],[Tenure]]&gt;2.5,3%,2%)*staff_data[[#This Row],[Salary]],0)</f>
        <v>980</v>
      </c>
      <c r="K117" s="32">
        <f>_xlfn.XLOOKUP(staff_data[[#This Row],[Rating]],'Salary vs Rating'!$B$12:$B$16,'Salary vs Rating'!$C$12:$C$16)</f>
        <v>3</v>
      </c>
      <c r="X117" t="b">
        <v>0</v>
      </c>
    </row>
    <row r="118" spans="1:24" x14ac:dyDescent="0.3">
      <c r="A118" t="s">
        <v>20</v>
      </c>
      <c r="B118" t="s">
        <v>205</v>
      </c>
      <c r="C118">
        <v>30</v>
      </c>
      <c r="D118" t="s">
        <v>16</v>
      </c>
      <c r="E118" s="6">
        <v>44597</v>
      </c>
      <c r="F118" t="s">
        <v>21</v>
      </c>
      <c r="G118" s="33">
        <v>64000</v>
      </c>
      <c r="H118" t="s">
        <v>206</v>
      </c>
      <c r="I118" s="8">
        <f ca="1">(TODAY()-staff_data[[#This Row],[Date Joined]])/365</f>
        <v>1.6246575342465754</v>
      </c>
      <c r="J118" s="31">
        <f ca="1">ROUNDUP(IF(staff_data[[#This Row],[Tenure]]&gt;2.5,3%,2%)*staff_data[[#This Row],[Salary]],0)</f>
        <v>1280</v>
      </c>
      <c r="K118" s="32">
        <f>_xlfn.XLOOKUP(staff_data[[#This Row],[Rating]],'Salary vs Rating'!$B$12:$B$16,'Salary vs Rating'!$C$12:$C$16)</f>
        <v>3</v>
      </c>
      <c r="X118" t="b">
        <v>0</v>
      </c>
    </row>
    <row r="119" spans="1:24" x14ac:dyDescent="0.3">
      <c r="A119" t="s">
        <v>7</v>
      </c>
      <c r="B119" t="s">
        <v>8</v>
      </c>
      <c r="C119">
        <v>42</v>
      </c>
      <c r="D119" t="s">
        <v>10</v>
      </c>
      <c r="E119" s="6">
        <v>44779</v>
      </c>
      <c r="F119" t="s">
        <v>9</v>
      </c>
      <c r="G119" s="33">
        <v>75000</v>
      </c>
      <c r="H119" t="s">
        <v>206</v>
      </c>
      <c r="I119" s="8">
        <f ca="1">(TODAY()-staff_data[[#This Row],[Date Joined]])/365</f>
        <v>1.1260273972602739</v>
      </c>
      <c r="J119" s="31">
        <f ca="1">ROUNDUP(IF(staff_data[[#This Row],[Tenure]]&gt;2.5,3%,2%)*staff_data[[#This Row],[Salary]],0)</f>
        <v>1500</v>
      </c>
      <c r="K119" s="32">
        <f>_xlfn.XLOOKUP(staff_data[[#This Row],[Rating]],'Salary vs Rating'!$B$12:$B$16,'Salary vs Rating'!$C$12:$C$16)</f>
        <v>5</v>
      </c>
      <c r="X119" t="b">
        <v>0</v>
      </c>
    </row>
    <row r="120" spans="1:24" x14ac:dyDescent="0.3">
      <c r="A120" t="s">
        <v>74</v>
      </c>
      <c r="B120" t="s">
        <v>8</v>
      </c>
      <c r="C120">
        <v>40</v>
      </c>
      <c r="D120" t="s">
        <v>16</v>
      </c>
      <c r="E120" s="6">
        <v>44337</v>
      </c>
      <c r="F120" t="s">
        <v>12</v>
      </c>
      <c r="G120" s="33">
        <v>87620</v>
      </c>
      <c r="H120" t="s">
        <v>206</v>
      </c>
      <c r="I120" s="8">
        <f ca="1">(TODAY()-staff_data[[#This Row],[Date Joined]])/365</f>
        <v>2.3369863013698629</v>
      </c>
      <c r="J120" s="31">
        <f ca="1">ROUNDUP(IF(staff_data[[#This Row],[Tenure]]&gt;2.5,3%,2%)*staff_data[[#This Row],[Salary]],0)</f>
        <v>1753</v>
      </c>
      <c r="K120" s="32">
        <f>_xlfn.XLOOKUP(staff_data[[#This Row],[Rating]],'Salary vs Rating'!$B$12:$B$16,'Salary vs Rating'!$C$12:$C$16)</f>
        <v>3</v>
      </c>
      <c r="X120" t="b">
        <v>0</v>
      </c>
    </row>
    <row r="121" spans="1:24" x14ac:dyDescent="0.3">
      <c r="A121" t="s">
        <v>44</v>
      </c>
      <c r="B121" t="s">
        <v>8</v>
      </c>
      <c r="C121">
        <v>29</v>
      </c>
      <c r="D121" t="s">
        <v>16</v>
      </c>
      <c r="E121" s="6">
        <v>44023</v>
      </c>
      <c r="F121" t="s">
        <v>12</v>
      </c>
      <c r="G121" s="33">
        <v>34980</v>
      </c>
      <c r="H121" t="s">
        <v>206</v>
      </c>
      <c r="I121" s="8">
        <f ca="1">(TODAY()-staff_data[[#This Row],[Date Joined]])/365</f>
        <v>3.1972602739726028</v>
      </c>
      <c r="J121" s="31">
        <f ca="1">ROUNDUP(IF(staff_data[[#This Row],[Tenure]]&gt;2.5,3%,2%)*staff_data[[#This Row],[Salary]],0)</f>
        <v>1050</v>
      </c>
      <c r="K121" s="32">
        <f>_xlfn.XLOOKUP(staff_data[[#This Row],[Rating]],'Salary vs Rating'!$B$12:$B$16,'Salary vs Rating'!$C$12:$C$16)</f>
        <v>3</v>
      </c>
      <c r="X121" t="b">
        <v>0</v>
      </c>
    </row>
    <row r="122" spans="1:24" x14ac:dyDescent="0.3">
      <c r="A122" t="s">
        <v>35</v>
      </c>
      <c r="B122" t="s">
        <v>8</v>
      </c>
      <c r="C122">
        <v>28</v>
      </c>
      <c r="D122" t="s">
        <v>16</v>
      </c>
      <c r="E122" s="6">
        <v>44185</v>
      </c>
      <c r="F122" t="s">
        <v>21</v>
      </c>
      <c r="G122" s="33">
        <v>75970</v>
      </c>
      <c r="H122" t="s">
        <v>206</v>
      </c>
      <c r="I122" s="8">
        <f ca="1">(TODAY()-staff_data[[#This Row],[Date Joined]])/365</f>
        <v>2.7534246575342465</v>
      </c>
      <c r="J122" s="31">
        <f ca="1">ROUNDUP(IF(staff_data[[#This Row],[Tenure]]&gt;2.5,3%,2%)*staff_data[[#This Row],[Salary]],0)</f>
        <v>2280</v>
      </c>
      <c r="K122" s="32">
        <f>_xlfn.XLOOKUP(staff_data[[#This Row],[Rating]],'Salary vs Rating'!$B$12:$B$16,'Salary vs Rating'!$C$12:$C$16)</f>
        <v>3</v>
      </c>
      <c r="X122" t="b">
        <v>0</v>
      </c>
    </row>
    <row r="123" spans="1:24" x14ac:dyDescent="0.3">
      <c r="A123" t="s">
        <v>38</v>
      </c>
      <c r="B123" t="s">
        <v>8</v>
      </c>
      <c r="C123">
        <v>34</v>
      </c>
      <c r="D123" t="s">
        <v>16</v>
      </c>
      <c r="E123" s="6">
        <v>44612</v>
      </c>
      <c r="F123" t="s">
        <v>21</v>
      </c>
      <c r="G123" s="33">
        <v>60130</v>
      </c>
      <c r="H123" t="s">
        <v>206</v>
      </c>
      <c r="I123" s="8">
        <f ca="1">(TODAY()-staff_data[[#This Row],[Date Joined]])/365</f>
        <v>1.5835616438356164</v>
      </c>
      <c r="J123" s="31">
        <f ca="1">ROUNDUP(IF(staff_data[[#This Row],[Tenure]]&gt;2.5,3%,2%)*staff_data[[#This Row],[Salary]],0)</f>
        <v>1203</v>
      </c>
      <c r="K123" s="32">
        <f>_xlfn.XLOOKUP(staff_data[[#This Row],[Rating]],'Salary vs Rating'!$B$12:$B$16,'Salary vs Rating'!$C$12:$C$16)</f>
        <v>3</v>
      </c>
      <c r="X123" t="b">
        <v>0</v>
      </c>
    </row>
    <row r="124" spans="1:24" x14ac:dyDescent="0.3">
      <c r="A124" t="s">
        <v>41</v>
      </c>
      <c r="B124" t="s">
        <v>8</v>
      </c>
      <c r="C124">
        <v>33</v>
      </c>
      <c r="D124" t="s">
        <v>42</v>
      </c>
      <c r="E124" s="6">
        <v>44374</v>
      </c>
      <c r="F124" t="s">
        <v>12</v>
      </c>
      <c r="G124" s="33">
        <v>75480</v>
      </c>
      <c r="H124" t="s">
        <v>206</v>
      </c>
      <c r="I124" s="8">
        <f ca="1">(TODAY()-staff_data[[#This Row],[Date Joined]])/365</f>
        <v>2.2356164383561645</v>
      </c>
      <c r="J124" s="31">
        <f ca="1">ROUNDUP(IF(staff_data[[#This Row],[Tenure]]&gt;2.5,3%,2%)*staff_data[[#This Row],[Salary]],0)</f>
        <v>1510</v>
      </c>
      <c r="K124" s="32">
        <f>_xlfn.XLOOKUP(staff_data[[#This Row],[Rating]],'Salary vs Rating'!$B$12:$B$16,'Salary vs Rating'!$C$12:$C$16)</f>
        <v>1</v>
      </c>
      <c r="X124" t="b">
        <v>0</v>
      </c>
    </row>
    <row r="125" spans="1:24" x14ac:dyDescent="0.3">
      <c r="A125" t="s">
        <v>49</v>
      </c>
      <c r="B125" t="s">
        <v>205</v>
      </c>
      <c r="C125">
        <v>37</v>
      </c>
      <c r="D125" t="s">
        <v>24</v>
      </c>
      <c r="E125" s="6">
        <v>44146</v>
      </c>
      <c r="F125" t="s">
        <v>21</v>
      </c>
      <c r="G125" s="33">
        <v>115440</v>
      </c>
      <c r="H125" t="s">
        <v>206</v>
      </c>
      <c r="I125" s="8">
        <f ca="1">(TODAY()-staff_data[[#This Row],[Date Joined]])/365</f>
        <v>2.8602739726027395</v>
      </c>
      <c r="J125" s="31">
        <f ca="1">ROUNDUP(IF(staff_data[[#This Row],[Tenure]]&gt;2.5,3%,2%)*staff_data[[#This Row],[Salary]],0)</f>
        <v>3464</v>
      </c>
      <c r="K125" s="32">
        <f>_xlfn.XLOOKUP(staff_data[[#This Row],[Rating]],'Salary vs Rating'!$B$12:$B$16,'Salary vs Rating'!$C$12:$C$16)</f>
        <v>2</v>
      </c>
      <c r="X125" t="b">
        <v>0</v>
      </c>
    </row>
    <row r="126" spans="1:24" x14ac:dyDescent="0.3">
      <c r="A126" t="s">
        <v>48</v>
      </c>
      <c r="B126" t="s">
        <v>8</v>
      </c>
      <c r="C126">
        <v>36</v>
      </c>
      <c r="D126" t="s">
        <v>16</v>
      </c>
      <c r="E126" s="6">
        <v>44494</v>
      </c>
      <c r="F126" t="s">
        <v>19</v>
      </c>
      <c r="G126" s="33">
        <v>78540</v>
      </c>
      <c r="H126" t="s">
        <v>206</v>
      </c>
      <c r="I126" s="8">
        <f ca="1">(TODAY()-staff_data[[#This Row],[Date Joined]])/365</f>
        <v>1.9068493150684931</v>
      </c>
      <c r="J126" s="31">
        <f ca="1">ROUNDUP(IF(staff_data[[#This Row],[Tenure]]&gt;2.5,3%,2%)*staff_data[[#This Row],[Salary]],0)</f>
        <v>1571</v>
      </c>
      <c r="K126" s="32">
        <f>_xlfn.XLOOKUP(staff_data[[#This Row],[Rating]],'Salary vs Rating'!$B$12:$B$16,'Salary vs Rating'!$C$12:$C$16)</f>
        <v>3</v>
      </c>
      <c r="X126" t="b">
        <v>1</v>
      </c>
    </row>
    <row r="127" spans="1:24" x14ac:dyDescent="0.3">
      <c r="A127" t="s">
        <v>34</v>
      </c>
      <c r="B127" t="s">
        <v>15</v>
      </c>
      <c r="C127">
        <v>25</v>
      </c>
      <c r="D127" t="s">
        <v>13</v>
      </c>
      <c r="E127" s="6">
        <v>44726</v>
      </c>
      <c r="F127" t="s">
        <v>9</v>
      </c>
      <c r="G127" s="33">
        <v>109190</v>
      </c>
      <c r="H127" t="s">
        <v>206</v>
      </c>
      <c r="I127" s="8">
        <f ca="1">(TODAY()-staff_data[[#This Row],[Date Joined]])/365</f>
        <v>1.2712328767123289</v>
      </c>
      <c r="J127" s="31">
        <f ca="1">ROUNDUP(IF(staff_data[[#This Row],[Tenure]]&gt;2.5,3%,2%)*staff_data[[#This Row],[Salary]],0)</f>
        <v>2184</v>
      </c>
      <c r="K127" s="32">
        <f>_xlfn.XLOOKUP(staff_data[[#This Row],[Rating]],'Salary vs Rating'!$B$12:$B$16,'Salary vs Rating'!$C$12:$C$16)</f>
        <v>4</v>
      </c>
      <c r="X127" t="b">
        <v>0</v>
      </c>
    </row>
    <row r="128" spans="1:24" x14ac:dyDescent="0.3">
      <c r="A128" t="s">
        <v>73</v>
      </c>
      <c r="B128" t="s">
        <v>8</v>
      </c>
      <c r="C128">
        <v>34</v>
      </c>
      <c r="D128" t="s">
        <v>24</v>
      </c>
      <c r="E128" s="6">
        <v>44721</v>
      </c>
      <c r="F128" t="s">
        <v>19</v>
      </c>
      <c r="G128" s="33">
        <v>49630</v>
      </c>
      <c r="H128" t="s">
        <v>206</v>
      </c>
      <c r="I128" s="8">
        <f ca="1">(TODAY()-staff_data[[#This Row],[Date Joined]])/365</f>
        <v>1.284931506849315</v>
      </c>
      <c r="J128" s="31">
        <f ca="1">ROUNDUP(IF(staff_data[[#This Row],[Tenure]]&gt;2.5,3%,2%)*staff_data[[#This Row],[Salary]],0)</f>
        <v>993</v>
      </c>
      <c r="K128" s="32">
        <f>_xlfn.XLOOKUP(staff_data[[#This Row],[Rating]],'Salary vs Rating'!$B$12:$B$16,'Salary vs Rating'!$C$12:$C$16)</f>
        <v>2</v>
      </c>
      <c r="X128" t="b">
        <v>1</v>
      </c>
    </row>
    <row r="129" spans="1:24" x14ac:dyDescent="0.3">
      <c r="A129" t="s">
        <v>107</v>
      </c>
      <c r="B129" t="s">
        <v>8</v>
      </c>
      <c r="C129">
        <v>28</v>
      </c>
      <c r="D129" t="s">
        <v>16</v>
      </c>
      <c r="E129" s="6">
        <v>44630</v>
      </c>
      <c r="F129" t="s">
        <v>9</v>
      </c>
      <c r="G129" s="33">
        <v>99970</v>
      </c>
      <c r="H129" t="s">
        <v>206</v>
      </c>
      <c r="I129" s="8">
        <f ca="1">(TODAY()-staff_data[[#This Row],[Date Joined]])/365</f>
        <v>1.5342465753424657</v>
      </c>
      <c r="J129" s="31">
        <f ca="1">ROUNDUP(IF(staff_data[[#This Row],[Tenure]]&gt;2.5,3%,2%)*staff_data[[#This Row],[Salary]],0)</f>
        <v>2000</v>
      </c>
      <c r="K129" s="32">
        <f>_xlfn.XLOOKUP(staff_data[[#This Row],[Rating]],'Salary vs Rating'!$B$12:$B$16,'Salary vs Rating'!$C$12:$C$16)</f>
        <v>3</v>
      </c>
      <c r="X129" t="b">
        <v>0</v>
      </c>
    </row>
    <row r="130" spans="1:24" x14ac:dyDescent="0.3">
      <c r="A130" t="s">
        <v>71</v>
      </c>
      <c r="B130" t="s">
        <v>8</v>
      </c>
      <c r="C130">
        <v>33</v>
      </c>
      <c r="D130" t="s">
        <v>16</v>
      </c>
      <c r="E130" s="6">
        <v>44190</v>
      </c>
      <c r="F130" t="s">
        <v>12</v>
      </c>
      <c r="G130" s="33">
        <v>96140</v>
      </c>
      <c r="H130" t="s">
        <v>206</v>
      </c>
      <c r="I130" s="8">
        <f ca="1">(TODAY()-staff_data[[#This Row],[Date Joined]])/365</f>
        <v>2.7397260273972601</v>
      </c>
      <c r="J130" s="31">
        <f ca="1">ROUNDUP(IF(staff_data[[#This Row],[Tenure]]&gt;2.5,3%,2%)*staff_data[[#This Row],[Salary]],0)</f>
        <v>2885</v>
      </c>
      <c r="K130" s="32">
        <f>_xlfn.XLOOKUP(staff_data[[#This Row],[Rating]],'Salary vs Rating'!$B$12:$B$16,'Salary vs Rating'!$C$12:$C$16)</f>
        <v>3</v>
      </c>
      <c r="X130" t="b">
        <v>1</v>
      </c>
    </row>
    <row r="131" spans="1:24" x14ac:dyDescent="0.3">
      <c r="A131" t="s">
        <v>50</v>
      </c>
      <c r="B131" t="s">
        <v>15</v>
      </c>
      <c r="C131">
        <v>31</v>
      </c>
      <c r="D131" t="s">
        <v>16</v>
      </c>
      <c r="E131" s="6">
        <v>44724</v>
      </c>
      <c r="F131" t="s">
        <v>9</v>
      </c>
      <c r="G131" s="33">
        <v>103550</v>
      </c>
      <c r="H131" t="s">
        <v>206</v>
      </c>
      <c r="I131" s="8">
        <f ca="1">(TODAY()-staff_data[[#This Row],[Date Joined]])/365</f>
        <v>1.2767123287671234</v>
      </c>
      <c r="J131" s="31">
        <f ca="1">ROUNDUP(IF(staff_data[[#This Row],[Tenure]]&gt;2.5,3%,2%)*staff_data[[#This Row],[Salary]],0)</f>
        <v>2071</v>
      </c>
      <c r="K131" s="32">
        <f>_xlfn.XLOOKUP(staff_data[[#This Row],[Rating]],'Salary vs Rating'!$B$12:$B$16,'Salary vs Rating'!$C$12:$C$16)</f>
        <v>3</v>
      </c>
      <c r="X131" t="b">
        <v>1</v>
      </c>
    </row>
    <row r="132" spans="1:24" x14ac:dyDescent="0.3">
      <c r="A132" t="s">
        <v>14</v>
      </c>
      <c r="B132" t="s">
        <v>15</v>
      </c>
      <c r="C132">
        <v>31</v>
      </c>
      <c r="D132" t="s">
        <v>16</v>
      </c>
      <c r="E132" s="6">
        <v>44511</v>
      </c>
      <c r="F132" t="s">
        <v>12</v>
      </c>
      <c r="G132" s="33">
        <v>48950</v>
      </c>
      <c r="H132" t="s">
        <v>206</v>
      </c>
      <c r="I132" s="8">
        <f ca="1">(TODAY()-staff_data[[#This Row],[Date Joined]])/365</f>
        <v>1.8602739726027397</v>
      </c>
      <c r="J132" s="31">
        <f ca="1">ROUNDUP(IF(staff_data[[#This Row],[Tenure]]&gt;2.5,3%,2%)*staff_data[[#This Row],[Salary]],0)</f>
        <v>979</v>
      </c>
      <c r="K132" s="32">
        <f>_xlfn.XLOOKUP(staff_data[[#This Row],[Rating]],'Salary vs Rating'!$B$12:$B$16,'Salary vs Rating'!$C$12:$C$16)</f>
        <v>3</v>
      </c>
      <c r="X132" t="b">
        <v>1</v>
      </c>
    </row>
    <row r="133" spans="1:24" x14ac:dyDescent="0.3">
      <c r="A133" t="s">
        <v>63</v>
      </c>
      <c r="B133" t="s">
        <v>15</v>
      </c>
      <c r="C133">
        <v>24</v>
      </c>
      <c r="D133" t="s">
        <v>24</v>
      </c>
      <c r="E133" s="6">
        <v>44436</v>
      </c>
      <c r="F133" t="s">
        <v>21</v>
      </c>
      <c r="G133" s="33">
        <v>52610</v>
      </c>
      <c r="H133" t="s">
        <v>206</v>
      </c>
      <c r="I133" s="8">
        <f ca="1">(TODAY()-staff_data[[#This Row],[Date Joined]])/365</f>
        <v>2.0657534246575344</v>
      </c>
      <c r="J133" s="31">
        <f ca="1">ROUNDUP(IF(staff_data[[#This Row],[Tenure]]&gt;2.5,3%,2%)*staff_data[[#This Row],[Salary]],0)</f>
        <v>1053</v>
      </c>
      <c r="K133" s="32">
        <f>_xlfn.XLOOKUP(staff_data[[#This Row],[Rating]],'Salary vs Rating'!$B$12:$B$16,'Salary vs Rating'!$C$12:$C$16)</f>
        <v>2</v>
      </c>
      <c r="X133" t="b">
        <v>0</v>
      </c>
    </row>
    <row r="134" spans="1:24" x14ac:dyDescent="0.3">
      <c r="A134" t="s">
        <v>72</v>
      </c>
      <c r="B134" t="s">
        <v>8</v>
      </c>
      <c r="C134">
        <v>36</v>
      </c>
      <c r="D134" t="s">
        <v>16</v>
      </c>
      <c r="E134" s="6">
        <v>44529</v>
      </c>
      <c r="F134" t="s">
        <v>9</v>
      </c>
      <c r="G134" s="33">
        <v>78390</v>
      </c>
      <c r="H134" t="s">
        <v>206</v>
      </c>
      <c r="I134" s="8">
        <f ca="1">(TODAY()-staff_data[[#This Row],[Date Joined]])/365</f>
        <v>1.810958904109589</v>
      </c>
      <c r="J134" s="31">
        <f ca="1">ROUNDUP(IF(staff_data[[#This Row],[Tenure]]&gt;2.5,3%,2%)*staff_data[[#This Row],[Salary]],0)</f>
        <v>1568</v>
      </c>
      <c r="K134" s="32">
        <f>_xlfn.XLOOKUP(staff_data[[#This Row],[Rating]],'Salary vs Rating'!$B$12:$B$16,'Salary vs Rating'!$C$12:$C$16)</f>
        <v>3</v>
      </c>
      <c r="X134" t="b">
        <v>0</v>
      </c>
    </row>
    <row r="135" spans="1:24" x14ac:dyDescent="0.3">
      <c r="A135" t="s">
        <v>88</v>
      </c>
      <c r="B135" t="s">
        <v>8</v>
      </c>
      <c r="C135">
        <v>33</v>
      </c>
      <c r="D135" t="s">
        <v>16</v>
      </c>
      <c r="E135" s="6">
        <v>44809</v>
      </c>
      <c r="F135" t="s">
        <v>21</v>
      </c>
      <c r="G135" s="33">
        <v>86570</v>
      </c>
      <c r="H135" t="s">
        <v>206</v>
      </c>
      <c r="I135" s="8">
        <f ca="1">(TODAY()-staff_data[[#This Row],[Date Joined]])/365</f>
        <v>1.0438356164383562</v>
      </c>
      <c r="J135" s="31">
        <f ca="1">ROUNDUP(IF(staff_data[[#This Row],[Tenure]]&gt;2.5,3%,2%)*staff_data[[#This Row],[Salary]],0)</f>
        <v>1732</v>
      </c>
      <c r="K135" s="32">
        <f>_xlfn.XLOOKUP(staff_data[[#This Row],[Rating]],'Salary vs Rating'!$B$12:$B$16,'Salary vs Rating'!$C$12:$C$16)</f>
        <v>3</v>
      </c>
      <c r="X135" t="b">
        <v>0</v>
      </c>
    </row>
    <row r="136" spans="1:24" x14ac:dyDescent="0.3">
      <c r="A136" t="s">
        <v>92</v>
      </c>
      <c r="B136" t="s">
        <v>8</v>
      </c>
      <c r="C136">
        <v>27</v>
      </c>
      <c r="D136" t="s">
        <v>16</v>
      </c>
      <c r="E136" s="6">
        <v>44686</v>
      </c>
      <c r="F136" t="s">
        <v>12</v>
      </c>
      <c r="G136" s="33">
        <v>83750</v>
      </c>
      <c r="H136" t="s">
        <v>206</v>
      </c>
      <c r="I136" s="8">
        <f ca="1">(TODAY()-staff_data[[#This Row],[Date Joined]])/365</f>
        <v>1.3808219178082193</v>
      </c>
      <c r="J136" s="31">
        <f ca="1">ROUNDUP(IF(staff_data[[#This Row],[Tenure]]&gt;2.5,3%,2%)*staff_data[[#This Row],[Salary]],0)</f>
        <v>1675</v>
      </c>
      <c r="K136" s="32">
        <f>_xlfn.XLOOKUP(staff_data[[#This Row],[Rating]],'Salary vs Rating'!$B$12:$B$16,'Salary vs Rating'!$C$12:$C$16)</f>
        <v>3</v>
      </c>
      <c r="X136" t="b">
        <v>0</v>
      </c>
    </row>
    <row r="137" spans="1:24" x14ac:dyDescent="0.3">
      <c r="A137" t="s">
        <v>102</v>
      </c>
      <c r="B137" t="s">
        <v>8</v>
      </c>
      <c r="C137">
        <v>34</v>
      </c>
      <c r="D137" t="s">
        <v>16</v>
      </c>
      <c r="E137" s="6">
        <v>44445</v>
      </c>
      <c r="F137" t="s">
        <v>21</v>
      </c>
      <c r="G137" s="33">
        <v>92450</v>
      </c>
      <c r="H137" t="s">
        <v>206</v>
      </c>
      <c r="I137" s="8">
        <f ca="1">(TODAY()-staff_data[[#This Row],[Date Joined]])/365</f>
        <v>2.0410958904109591</v>
      </c>
      <c r="J137" s="31">
        <f ca="1">ROUNDUP(IF(staff_data[[#This Row],[Tenure]]&gt;2.5,3%,2%)*staff_data[[#This Row],[Salary]],0)</f>
        <v>1849</v>
      </c>
      <c r="K137" s="32">
        <f>_xlfn.XLOOKUP(staff_data[[#This Row],[Rating]],'Salary vs Rating'!$B$12:$B$16,'Salary vs Rating'!$C$12:$C$16)</f>
        <v>3</v>
      </c>
      <c r="X137" t="b">
        <v>0</v>
      </c>
    </row>
    <row r="138" spans="1:24" x14ac:dyDescent="0.3">
      <c r="A138" t="s">
        <v>64</v>
      </c>
      <c r="B138" t="s">
        <v>15</v>
      </c>
      <c r="C138">
        <v>20</v>
      </c>
      <c r="D138" t="s">
        <v>16</v>
      </c>
      <c r="E138" s="6">
        <v>44183</v>
      </c>
      <c r="F138" t="s">
        <v>12</v>
      </c>
      <c r="G138" s="33">
        <v>112650</v>
      </c>
      <c r="H138" t="s">
        <v>206</v>
      </c>
      <c r="I138" s="8">
        <f ca="1">(TODAY()-staff_data[[#This Row],[Date Joined]])/365</f>
        <v>2.7589041095890412</v>
      </c>
      <c r="J138" s="31">
        <f ca="1">ROUNDUP(IF(staff_data[[#This Row],[Tenure]]&gt;2.5,3%,2%)*staff_data[[#This Row],[Salary]],0)</f>
        <v>3380</v>
      </c>
      <c r="K138" s="32">
        <f>_xlfn.XLOOKUP(staff_data[[#This Row],[Rating]],'Salary vs Rating'!$B$12:$B$16,'Salary vs Rating'!$C$12:$C$16)</f>
        <v>3</v>
      </c>
      <c r="X138" t="b">
        <v>1</v>
      </c>
    </row>
    <row r="139" spans="1:24" x14ac:dyDescent="0.3">
      <c r="A139" t="s">
        <v>104</v>
      </c>
      <c r="B139" t="s">
        <v>15</v>
      </c>
      <c r="C139">
        <v>20</v>
      </c>
      <c r="D139" t="s">
        <v>16</v>
      </c>
      <c r="E139" s="6">
        <v>44744</v>
      </c>
      <c r="F139" t="s">
        <v>9</v>
      </c>
      <c r="G139" s="33">
        <v>79570</v>
      </c>
      <c r="H139" t="s">
        <v>206</v>
      </c>
      <c r="I139" s="8">
        <f ca="1">(TODAY()-staff_data[[#This Row],[Date Joined]])/365</f>
        <v>1.2219178082191782</v>
      </c>
      <c r="J139" s="31">
        <f ca="1">ROUNDUP(IF(staff_data[[#This Row],[Tenure]]&gt;2.5,3%,2%)*staff_data[[#This Row],[Salary]],0)</f>
        <v>1592</v>
      </c>
      <c r="K139" s="32">
        <f>_xlfn.XLOOKUP(staff_data[[#This Row],[Rating]],'Salary vs Rating'!$B$12:$B$16,'Salary vs Rating'!$C$12:$C$16)</f>
        <v>3</v>
      </c>
      <c r="X139" t="b">
        <v>1</v>
      </c>
    </row>
    <row r="140" spans="1:24" x14ac:dyDescent="0.3">
      <c r="A140" t="s">
        <v>91</v>
      </c>
      <c r="B140" t="s">
        <v>8</v>
      </c>
      <c r="C140">
        <v>20</v>
      </c>
      <c r="D140" t="s">
        <v>24</v>
      </c>
      <c r="E140" s="6">
        <v>44537</v>
      </c>
      <c r="F140" t="s">
        <v>19</v>
      </c>
      <c r="G140" s="33">
        <v>68900</v>
      </c>
      <c r="H140" t="s">
        <v>206</v>
      </c>
      <c r="I140" s="8">
        <f ca="1">(TODAY()-staff_data[[#This Row],[Date Joined]])/365</f>
        <v>1.789041095890411</v>
      </c>
      <c r="J140" s="31">
        <f ca="1">ROUNDUP(IF(staff_data[[#This Row],[Tenure]]&gt;2.5,3%,2%)*staff_data[[#This Row],[Salary]],0)</f>
        <v>1378</v>
      </c>
      <c r="K140" s="32">
        <f>_xlfn.XLOOKUP(staff_data[[#This Row],[Rating]],'Salary vs Rating'!$B$12:$B$16,'Salary vs Rating'!$C$12:$C$16)</f>
        <v>2</v>
      </c>
      <c r="X140" t="b">
        <v>0</v>
      </c>
    </row>
    <row r="141" spans="1:24" x14ac:dyDescent="0.3">
      <c r="A141" t="s">
        <v>39</v>
      </c>
      <c r="B141" t="s">
        <v>8</v>
      </c>
      <c r="C141">
        <v>25</v>
      </c>
      <c r="D141" t="s">
        <v>13</v>
      </c>
      <c r="E141" s="6">
        <v>44694</v>
      </c>
      <c r="F141" t="s">
        <v>12</v>
      </c>
      <c r="G141" s="33">
        <v>80700</v>
      </c>
      <c r="H141" t="s">
        <v>206</v>
      </c>
      <c r="I141" s="8">
        <f ca="1">(TODAY()-staff_data[[#This Row],[Date Joined]])/365</f>
        <v>1.3589041095890411</v>
      </c>
      <c r="J141" s="31">
        <f ca="1">ROUNDUP(IF(staff_data[[#This Row],[Tenure]]&gt;2.5,3%,2%)*staff_data[[#This Row],[Salary]],0)</f>
        <v>1614</v>
      </c>
      <c r="K141" s="32">
        <f>_xlfn.XLOOKUP(staff_data[[#This Row],[Rating]],'Salary vs Rating'!$B$12:$B$16,'Salary vs Rating'!$C$12:$C$16)</f>
        <v>4</v>
      </c>
      <c r="X141" t="b">
        <v>0</v>
      </c>
    </row>
    <row r="142" spans="1:24" x14ac:dyDescent="0.3">
      <c r="A142" t="s">
        <v>100</v>
      </c>
      <c r="B142" t="s">
        <v>15</v>
      </c>
      <c r="C142">
        <v>19</v>
      </c>
      <c r="D142" t="s">
        <v>16</v>
      </c>
      <c r="E142" s="6">
        <v>44277</v>
      </c>
      <c r="F142" t="s">
        <v>9</v>
      </c>
      <c r="G142" s="33">
        <v>58960</v>
      </c>
      <c r="H142" t="s">
        <v>206</v>
      </c>
      <c r="I142" s="8">
        <f ca="1">(TODAY()-staff_data[[#This Row],[Date Joined]])/365</f>
        <v>2.5013698630136987</v>
      </c>
      <c r="J142" s="31">
        <f ca="1">ROUNDUP(IF(staff_data[[#This Row],[Tenure]]&gt;2.5,3%,2%)*staff_data[[#This Row],[Salary]],0)</f>
        <v>1769</v>
      </c>
      <c r="K142" s="32">
        <f>_xlfn.XLOOKUP(staff_data[[#This Row],[Rating]],'Salary vs Rating'!$B$12:$B$16,'Salary vs Rating'!$C$12:$C$16)</f>
        <v>3</v>
      </c>
      <c r="X142" t="b">
        <v>0</v>
      </c>
    </row>
    <row r="143" spans="1:24" x14ac:dyDescent="0.3">
      <c r="A143" t="s">
        <v>174</v>
      </c>
      <c r="B143" t="s">
        <v>8</v>
      </c>
      <c r="C143">
        <v>36</v>
      </c>
      <c r="D143" t="s">
        <v>16</v>
      </c>
      <c r="E143" s="6">
        <v>44023</v>
      </c>
      <c r="F143" t="s">
        <v>9</v>
      </c>
      <c r="G143" s="33">
        <v>114890</v>
      </c>
      <c r="H143" t="s">
        <v>204</v>
      </c>
      <c r="I143" s="8">
        <f ca="1">(TODAY()-staff_data[[#This Row],[Date Joined]])/365</f>
        <v>3.1972602739726028</v>
      </c>
      <c r="J143" s="31">
        <f ca="1">ROUNDUP(IF(staff_data[[#This Row],[Tenure]]&gt;2.5,3%,2%)*staff_data[[#This Row],[Salary]],0)</f>
        <v>3447</v>
      </c>
      <c r="K143" s="32">
        <f>_xlfn.XLOOKUP(staff_data[[#This Row],[Rating]],'Salary vs Rating'!$B$12:$B$16,'Salary vs Rating'!$C$12:$C$16)</f>
        <v>3</v>
      </c>
      <c r="X143" t="b">
        <v>0</v>
      </c>
    </row>
    <row r="144" spans="1:24" x14ac:dyDescent="0.3">
      <c r="A144" t="s">
        <v>29</v>
      </c>
      <c r="B144" t="s">
        <v>15</v>
      </c>
      <c r="C144">
        <v>28</v>
      </c>
      <c r="D144" t="s">
        <v>13</v>
      </c>
      <c r="E144" s="6">
        <v>44041</v>
      </c>
      <c r="F144" t="s">
        <v>21</v>
      </c>
      <c r="G144" s="33">
        <v>48170</v>
      </c>
      <c r="H144" t="s">
        <v>206</v>
      </c>
      <c r="I144" s="8">
        <f ca="1">(TODAY()-staff_data[[#This Row],[Date Joined]])/365</f>
        <v>3.1479452054794521</v>
      </c>
      <c r="J144" s="31">
        <f ca="1">ROUNDUP(IF(staff_data[[#This Row],[Tenure]]&gt;2.5,3%,2%)*staff_data[[#This Row],[Salary]],0)</f>
        <v>1446</v>
      </c>
      <c r="K144" s="32">
        <f>_xlfn.XLOOKUP(staff_data[[#This Row],[Rating]],'Salary vs Rating'!$B$12:$B$16,'Salary vs Rating'!$C$12:$C$16)</f>
        <v>4</v>
      </c>
      <c r="X144" t="b">
        <v>1</v>
      </c>
    </row>
    <row r="145" spans="1:24" x14ac:dyDescent="0.3">
      <c r="A145" t="s">
        <v>108</v>
      </c>
      <c r="B145" t="s">
        <v>8</v>
      </c>
      <c r="C145">
        <v>32</v>
      </c>
      <c r="D145" t="s">
        <v>16</v>
      </c>
      <c r="E145" s="6">
        <v>44400</v>
      </c>
      <c r="F145" t="s">
        <v>56</v>
      </c>
      <c r="G145" s="33">
        <v>45510</v>
      </c>
      <c r="H145" t="s">
        <v>206</v>
      </c>
      <c r="I145" s="8">
        <f ca="1">(TODAY()-staff_data[[#This Row],[Date Joined]])/365</f>
        <v>2.1643835616438358</v>
      </c>
      <c r="J145" s="31">
        <f ca="1">ROUNDUP(IF(staff_data[[#This Row],[Tenure]]&gt;2.5,3%,2%)*staff_data[[#This Row],[Salary]],0)</f>
        <v>911</v>
      </c>
      <c r="K145" s="32">
        <f>_xlfn.XLOOKUP(staff_data[[#This Row],[Rating]],'Salary vs Rating'!$B$12:$B$16,'Salary vs Rating'!$C$12:$C$16)</f>
        <v>3</v>
      </c>
      <c r="X145" t="b">
        <v>0</v>
      </c>
    </row>
    <row r="146" spans="1:24" x14ac:dyDescent="0.3">
      <c r="A146" t="s">
        <v>83</v>
      </c>
      <c r="B146" t="s">
        <v>8</v>
      </c>
      <c r="C146">
        <v>36</v>
      </c>
      <c r="D146" t="s">
        <v>16</v>
      </c>
      <c r="E146" s="6">
        <v>44085</v>
      </c>
      <c r="F146" t="s">
        <v>9</v>
      </c>
      <c r="G146" s="33">
        <v>114890</v>
      </c>
      <c r="H146" t="s">
        <v>206</v>
      </c>
      <c r="I146" s="8">
        <f ca="1">(TODAY()-staff_data[[#This Row],[Date Joined]])/365</f>
        <v>3.0273972602739727</v>
      </c>
      <c r="J146" s="31">
        <f ca="1">ROUNDUP(IF(staff_data[[#This Row],[Tenure]]&gt;2.5,3%,2%)*staff_data[[#This Row],[Salary]],0)</f>
        <v>3447</v>
      </c>
      <c r="K146" s="32">
        <f>_xlfn.XLOOKUP(staff_data[[#This Row],[Rating]],'Salary vs Rating'!$B$12:$B$16,'Salary vs Rating'!$C$12:$C$16)</f>
        <v>3</v>
      </c>
      <c r="X146" t="b">
        <v>0</v>
      </c>
    </row>
    <row r="147" spans="1:24" x14ac:dyDescent="0.3">
      <c r="A147" t="s">
        <v>67</v>
      </c>
      <c r="B147" t="s">
        <v>15</v>
      </c>
      <c r="C147">
        <v>30</v>
      </c>
      <c r="D147" t="s">
        <v>16</v>
      </c>
      <c r="E147" s="6">
        <v>44850</v>
      </c>
      <c r="F147" t="s">
        <v>12</v>
      </c>
      <c r="G147" s="33">
        <v>69710</v>
      </c>
      <c r="H147" t="s">
        <v>206</v>
      </c>
      <c r="I147" s="8">
        <f ca="1">(TODAY()-staff_data[[#This Row],[Date Joined]])/365</f>
        <v>0.93150684931506844</v>
      </c>
      <c r="J147" s="31">
        <f ca="1">ROUNDUP(IF(staff_data[[#This Row],[Tenure]]&gt;2.5,3%,2%)*staff_data[[#This Row],[Salary]],0)</f>
        <v>1395</v>
      </c>
      <c r="K147" s="32">
        <f>_xlfn.XLOOKUP(staff_data[[#This Row],[Rating]],'Salary vs Rating'!$B$12:$B$16,'Salary vs Rating'!$C$12:$C$16)</f>
        <v>3</v>
      </c>
      <c r="X147" t="b">
        <v>1</v>
      </c>
    </row>
    <row r="148" spans="1:24" x14ac:dyDescent="0.3">
      <c r="A148" t="s">
        <v>94</v>
      </c>
      <c r="B148" t="s">
        <v>15</v>
      </c>
      <c r="C148">
        <v>36</v>
      </c>
      <c r="D148" t="s">
        <v>16</v>
      </c>
      <c r="E148" s="6">
        <v>44333</v>
      </c>
      <c r="F148" t="s">
        <v>21</v>
      </c>
      <c r="G148" s="33">
        <v>71380</v>
      </c>
      <c r="H148" t="s">
        <v>206</v>
      </c>
      <c r="I148" s="8">
        <f ca="1">(TODAY()-staff_data[[#This Row],[Date Joined]])/365</f>
        <v>2.3479452054794518</v>
      </c>
      <c r="J148" s="31">
        <f ca="1">ROUNDUP(IF(staff_data[[#This Row],[Tenure]]&gt;2.5,3%,2%)*staff_data[[#This Row],[Salary]],0)</f>
        <v>1428</v>
      </c>
      <c r="K148" s="32">
        <f>_xlfn.XLOOKUP(staff_data[[#This Row],[Rating]],'Salary vs Rating'!$B$12:$B$16,'Salary vs Rating'!$C$12:$C$16)</f>
        <v>3</v>
      </c>
      <c r="X148" t="b">
        <v>0</v>
      </c>
    </row>
    <row r="149" spans="1:24" x14ac:dyDescent="0.3">
      <c r="A149" t="s">
        <v>33</v>
      </c>
      <c r="B149" t="s">
        <v>8</v>
      </c>
      <c r="C149">
        <v>38</v>
      </c>
      <c r="D149" t="s">
        <v>10</v>
      </c>
      <c r="E149" s="6">
        <v>44377</v>
      </c>
      <c r="F149" t="s">
        <v>19</v>
      </c>
      <c r="G149" s="33">
        <v>109160</v>
      </c>
      <c r="H149" t="s">
        <v>206</v>
      </c>
      <c r="I149" s="8">
        <f ca="1">(TODAY()-staff_data[[#This Row],[Date Joined]])/365</f>
        <v>2.2273972602739724</v>
      </c>
      <c r="J149" s="31">
        <f ca="1">ROUNDUP(IF(staff_data[[#This Row],[Tenure]]&gt;2.5,3%,2%)*staff_data[[#This Row],[Salary]],0)</f>
        <v>2184</v>
      </c>
      <c r="K149" s="32">
        <f>_xlfn.XLOOKUP(staff_data[[#This Row],[Rating]],'Salary vs Rating'!$B$12:$B$16,'Salary vs Rating'!$C$12:$C$16)</f>
        <v>5</v>
      </c>
      <c r="X149" t="b">
        <v>0</v>
      </c>
    </row>
    <row r="150" spans="1:24" x14ac:dyDescent="0.3">
      <c r="A150" t="s">
        <v>98</v>
      </c>
      <c r="B150" t="s">
        <v>15</v>
      </c>
      <c r="C150">
        <v>27</v>
      </c>
      <c r="D150" t="s">
        <v>42</v>
      </c>
      <c r="E150" s="6">
        <v>44609</v>
      </c>
      <c r="F150" t="s">
        <v>9</v>
      </c>
      <c r="G150" s="33">
        <v>113280</v>
      </c>
      <c r="H150" t="s">
        <v>206</v>
      </c>
      <c r="I150" s="8">
        <f ca="1">(TODAY()-staff_data[[#This Row],[Date Joined]])/365</f>
        <v>1.5917808219178082</v>
      </c>
      <c r="J150" s="31">
        <f ca="1">ROUNDUP(IF(staff_data[[#This Row],[Tenure]]&gt;2.5,3%,2%)*staff_data[[#This Row],[Salary]],0)</f>
        <v>2266</v>
      </c>
      <c r="K150" s="32">
        <f>_xlfn.XLOOKUP(staff_data[[#This Row],[Rating]],'Salary vs Rating'!$B$12:$B$16,'Salary vs Rating'!$C$12:$C$16)</f>
        <v>1</v>
      </c>
      <c r="X150" t="b">
        <v>1</v>
      </c>
    </row>
    <row r="151" spans="1:24" x14ac:dyDescent="0.3">
      <c r="A151" t="s">
        <v>25</v>
      </c>
      <c r="B151" t="s">
        <v>15</v>
      </c>
      <c r="C151">
        <v>30</v>
      </c>
      <c r="D151" t="s">
        <v>16</v>
      </c>
      <c r="E151" s="6">
        <v>44273</v>
      </c>
      <c r="F151" t="s">
        <v>12</v>
      </c>
      <c r="G151" s="33">
        <v>69120</v>
      </c>
      <c r="H151" t="s">
        <v>206</v>
      </c>
      <c r="I151" s="8">
        <f ca="1">(TODAY()-staff_data[[#This Row],[Date Joined]])/365</f>
        <v>2.5123287671232877</v>
      </c>
      <c r="J151" s="31">
        <f ca="1">ROUNDUP(IF(staff_data[[#This Row],[Tenure]]&gt;2.5,3%,2%)*staff_data[[#This Row],[Salary]],0)</f>
        <v>2074</v>
      </c>
      <c r="K151" s="32">
        <f>_xlfn.XLOOKUP(staff_data[[#This Row],[Rating]],'Salary vs Rating'!$B$12:$B$16,'Salary vs Rating'!$C$12:$C$16)</f>
        <v>3</v>
      </c>
      <c r="X151" t="b">
        <v>1</v>
      </c>
    </row>
    <row r="152" spans="1:24" x14ac:dyDescent="0.3">
      <c r="A152" t="s">
        <v>55</v>
      </c>
      <c r="B152" t="s">
        <v>8</v>
      </c>
      <c r="C152">
        <v>37</v>
      </c>
      <c r="D152" t="s">
        <v>16</v>
      </c>
      <c r="E152" s="6">
        <v>44451</v>
      </c>
      <c r="F152" t="s">
        <v>56</v>
      </c>
      <c r="G152" s="33">
        <v>118100</v>
      </c>
      <c r="H152" t="s">
        <v>206</v>
      </c>
      <c r="I152" s="8">
        <f ca="1">(TODAY()-staff_data[[#This Row],[Date Joined]])/365</f>
        <v>2.0246575342465754</v>
      </c>
      <c r="J152" s="31">
        <f ca="1">ROUNDUP(IF(staff_data[[#This Row],[Tenure]]&gt;2.5,3%,2%)*staff_data[[#This Row],[Salary]],0)</f>
        <v>2362</v>
      </c>
      <c r="K152" s="32">
        <f>_xlfn.XLOOKUP(staff_data[[#This Row],[Rating]],'Salary vs Rating'!$B$12:$B$16,'Salary vs Rating'!$C$12:$C$16)</f>
        <v>3</v>
      </c>
      <c r="X152" t="b">
        <v>0</v>
      </c>
    </row>
    <row r="153" spans="1:24" x14ac:dyDescent="0.3">
      <c r="A153" t="s">
        <v>62</v>
      </c>
      <c r="B153" t="s">
        <v>8</v>
      </c>
      <c r="C153">
        <v>22</v>
      </c>
      <c r="D153" t="s">
        <v>13</v>
      </c>
      <c r="E153" s="6">
        <v>44450</v>
      </c>
      <c r="F153" t="s">
        <v>9</v>
      </c>
      <c r="G153" s="33">
        <v>76900</v>
      </c>
      <c r="H153" t="s">
        <v>206</v>
      </c>
      <c r="I153" s="8">
        <f ca="1">(TODAY()-staff_data[[#This Row],[Date Joined]])/365</f>
        <v>2.0273972602739727</v>
      </c>
      <c r="J153" s="31">
        <f ca="1">ROUNDUP(IF(staff_data[[#This Row],[Tenure]]&gt;2.5,3%,2%)*staff_data[[#This Row],[Salary]],0)</f>
        <v>1538</v>
      </c>
      <c r="K153" s="32">
        <f>_xlfn.XLOOKUP(staff_data[[#This Row],[Rating]],'Salary vs Rating'!$B$12:$B$16,'Salary vs Rating'!$C$12:$C$16)</f>
        <v>4</v>
      </c>
      <c r="X153" t="b">
        <v>1</v>
      </c>
    </row>
    <row r="154" spans="1:24" x14ac:dyDescent="0.3">
      <c r="A154" t="s">
        <v>17</v>
      </c>
      <c r="B154" t="s">
        <v>8</v>
      </c>
      <c r="C154">
        <v>43</v>
      </c>
      <c r="D154" t="s">
        <v>16</v>
      </c>
      <c r="E154" s="6">
        <v>45045</v>
      </c>
      <c r="F154" t="s">
        <v>12</v>
      </c>
      <c r="G154" s="33">
        <v>114870</v>
      </c>
      <c r="H154" t="s">
        <v>206</v>
      </c>
      <c r="I154" s="8">
        <f ca="1">(TODAY()-staff_data[[#This Row],[Date Joined]])/365</f>
        <v>0.39726027397260272</v>
      </c>
      <c r="J154" s="31">
        <f ca="1">ROUNDUP(IF(staff_data[[#This Row],[Tenure]]&gt;2.5,3%,2%)*staff_data[[#This Row],[Salary]],0)</f>
        <v>2298</v>
      </c>
      <c r="K154" s="32">
        <f>_xlfn.XLOOKUP(staff_data[[#This Row],[Rating]],'Salary vs Rating'!$B$12:$B$16,'Salary vs Rating'!$C$12:$C$16)</f>
        <v>3</v>
      </c>
      <c r="X154" t="b">
        <v>0</v>
      </c>
    </row>
    <row r="155" spans="1:24" x14ac:dyDescent="0.3">
      <c r="A155" t="s">
        <v>52</v>
      </c>
      <c r="B155" t="s">
        <v>205</v>
      </c>
      <c r="C155">
        <v>32</v>
      </c>
      <c r="D155" t="s">
        <v>16</v>
      </c>
      <c r="E155" s="6">
        <v>44774</v>
      </c>
      <c r="F155" t="s">
        <v>12</v>
      </c>
      <c r="G155" s="33">
        <v>91310</v>
      </c>
      <c r="H155" t="s">
        <v>206</v>
      </c>
      <c r="I155" s="8">
        <f ca="1">(TODAY()-staff_data[[#This Row],[Date Joined]])/365</f>
        <v>1.1397260273972603</v>
      </c>
      <c r="J155" s="31">
        <f ca="1">ROUNDUP(IF(staff_data[[#This Row],[Tenure]]&gt;2.5,3%,2%)*staff_data[[#This Row],[Salary]],0)</f>
        <v>1827</v>
      </c>
      <c r="K155" s="32">
        <f>_xlfn.XLOOKUP(staff_data[[#This Row],[Rating]],'Salary vs Rating'!$B$12:$B$16,'Salary vs Rating'!$C$12:$C$16)</f>
        <v>3</v>
      </c>
      <c r="X155" t="b">
        <v>1</v>
      </c>
    </row>
    <row r="156" spans="1:24" x14ac:dyDescent="0.3">
      <c r="A156" t="s">
        <v>43</v>
      </c>
      <c r="B156" t="s">
        <v>8</v>
      </c>
      <c r="C156">
        <v>28</v>
      </c>
      <c r="D156" t="s">
        <v>16</v>
      </c>
      <c r="E156" s="6">
        <v>44486</v>
      </c>
      <c r="F156" t="s">
        <v>9</v>
      </c>
      <c r="G156" s="33">
        <v>104770</v>
      </c>
      <c r="H156" t="s">
        <v>206</v>
      </c>
      <c r="I156" s="8">
        <f ca="1">(TODAY()-staff_data[[#This Row],[Date Joined]])/365</f>
        <v>1.9287671232876713</v>
      </c>
      <c r="J156" s="31">
        <f ca="1">ROUNDUP(IF(staff_data[[#This Row],[Tenure]]&gt;2.5,3%,2%)*staff_data[[#This Row],[Salary]],0)</f>
        <v>2096</v>
      </c>
      <c r="K156" s="32">
        <f>_xlfn.XLOOKUP(staff_data[[#This Row],[Rating]],'Salary vs Rating'!$B$12:$B$16,'Salary vs Rating'!$C$12:$C$16)</f>
        <v>3</v>
      </c>
      <c r="X156" t="b">
        <v>1</v>
      </c>
    </row>
    <row r="157" spans="1:24" x14ac:dyDescent="0.3">
      <c r="A157" t="s">
        <v>89</v>
      </c>
      <c r="B157" t="s">
        <v>15</v>
      </c>
      <c r="C157">
        <v>27</v>
      </c>
      <c r="D157" t="s">
        <v>16</v>
      </c>
      <c r="E157" s="6">
        <v>44134</v>
      </c>
      <c r="F157" t="s">
        <v>19</v>
      </c>
      <c r="G157" s="33">
        <v>54970</v>
      </c>
      <c r="H157" t="s">
        <v>206</v>
      </c>
      <c r="I157" s="8">
        <f ca="1">(TODAY()-staff_data[[#This Row],[Date Joined]])/365</f>
        <v>2.893150684931507</v>
      </c>
      <c r="J157" s="31">
        <f ca="1">ROUNDUP(IF(staff_data[[#This Row],[Tenure]]&gt;2.5,3%,2%)*staff_data[[#This Row],[Salary]],0)</f>
        <v>1650</v>
      </c>
      <c r="K157" s="32">
        <f>_xlfn.XLOOKUP(staff_data[[#This Row],[Rating]],'Salary vs Rating'!$B$12:$B$16,'Salary vs Rating'!$C$12:$C$16)</f>
        <v>3</v>
      </c>
      <c r="X157" t="b">
        <v>1</v>
      </c>
    </row>
    <row r="158" spans="1:24" x14ac:dyDescent="0.3">
      <c r="A158" t="s">
        <v>11</v>
      </c>
      <c r="B158" t="s">
        <v>205</v>
      </c>
      <c r="C158">
        <v>26</v>
      </c>
      <c r="D158" t="s">
        <v>13</v>
      </c>
      <c r="E158" s="6">
        <v>44271</v>
      </c>
      <c r="F158" t="s">
        <v>12</v>
      </c>
      <c r="G158" s="33">
        <v>90700</v>
      </c>
      <c r="H158" t="s">
        <v>206</v>
      </c>
      <c r="I158" s="8">
        <f ca="1">(TODAY()-staff_data[[#This Row],[Date Joined]])/365</f>
        <v>2.5178082191780824</v>
      </c>
      <c r="J158" s="31">
        <f ca="1">ROUNDUP(IF(staff_data[[#This Row],[Tenure]]&gt;2.5,3%,2%)*staff_data[[#This Row],[Salary]],0)</f>
        <v>2721</v>
      </c>
      <c r="K158" s="32">
        <f>_xlfn.XLOOKUP(staff_data[[#This Row],[Rating]],'Salary vs Rating'!$B$12:$B$16,'Salary vs Rating'!$C$12:$C$16)</f>
        <v>4</v>
      </c>
      <c r="X158" t="b">
        <v>0</v>
      </c>
    </row>
    <row r="159" spans="1:24" x14ac:dyDescent="0.3">
      <c r="A159" t="s">
        <v>109</v>
      </c>
      <c r="B159" t="s">
        <v>8</v>
      </c>
      <c r="C159">
        <v>38</v>
      </c>
      <c r="D159" t="s">
        <v>13</v>
      </c>
      <c r="E159" s="6">
        <v>44329</v>
      </c>
      <c r="F159" t="s">
        <v>19</v>
      </c>
      <c r="G159" s="33">
        <v>56870</v>
      </c>
      <c r="H159" t="s">
        <v>206</v>
      </c>
      <c r="I159" s="8">
        <f ca="1">(TODAY()-staff_data[[#This Row],[Date Joined]])/365</f>
        <v>2.3589041095890413</v>
      </c>
      <c r="J159" s="31">
        <f ca="1">ROUNDUP(IF(staff_data[[#This Row],[Tenure]]&gt;2.5,3%,2%)*staff_data[[#This Row],[Salary]],0)</f>
        <v>1138</v>
      </c>
      <c r="K159" s="32">
        <f>_xlfn.XLOOKUP(staff_data[[#This Row],[Rating]],'Salary vs Rating'!$B$12:$B$16,'Salary vs Rating'!$C$12:$C$16)</f>
        <v>4</v>
      </c>
      <c r="X159" t="b">
        <v>1</v>
      </c>
    </row>
    <row r="160" spans="1:24" x14ac:dyDescent="0.3">
      <c r="A160" t="s">
        <v>77</v>
      </c>
      <c r="B160" t="s">
        <v>8</v>
      </c>
      <c r="C160">
        <v>25</v>
      </c>
      <c r="D160" t="s">
        <v>16</v>
      </c>
      <c r="E160" s="6">
        <v>44205</v>
      </c>
      <c r="F160" t="s">
        <v>19</v>
      </c>
      <c r="G160" s="33">
        <v>92700</v>
      </c>
      <c r="H160" t="s">
        <v>206</v>
      </c>
      <c r="I160" s="8">
        <f ca="1">(TODAY()-staff_data[[#This Row],[Date Joined]])/365</f>
        <v>2.6986301369863015</v>
      </c>
      <c r="J160" s="31">
        <f ca="1">ROUNDUP(IF(staff_data[[#This Row],[Tenure]]&gt;2.5,3%,2%)*staff_data[[#This Row],[Salary]],0)</f>
        <v>2781</v>
      </c>
      <c r="K160" s="32">
        <f>_xlfn.XLOOKUP(staff_data[[#This Row],[Rating]],'Salary vs Rating'!$B$12:$B$16,'Salary vs Rating'!$C$12:$C$16)</f>
        <v>3</v>
      </c>
      <c r="X160" t="b">
        <v>0</v>
      </c>
    </row>
    <row r="161" spans="1:24" x14ac:dyDescent="0.3">
      <c r="A161" t="s">
        <v>32</v>
      </c>
      <c r="B161" t="s">
        <v>8</v>
      </c>
      <c r="C161">
        <v>21</v>
      </c>
      <c r="D161" t="s">
        <v>16</v>
      </c>
      <c r="E161" s="6">
        <v>44317</v>
      </c>
      <c r="F161" t="s">
        <v>21</v>
      </c>
      <c r="G161" s="33">
        <v>65920</v>
      </c>
      <c r="H161" t="s">
        <v>206</v>
      </c>
      <c r="I161" s="8">
        <f ca="1">(TODAY()-staff_data[[#This Row],[Date Joined]])/365</f>
        <v>2.3917808219178083</v>
      </c>
      <c r="J161" s="31">
        <f ca="1">ROUNDUP(IF(staff_data[[#This Row],[Tenure]]&gt;2.5,3%,2%)*staff_data[[#This Row],[Salary]],0)</f>
        <v>1319</v>
      </c>
      <c r="K161" s="32">
        <f>_xlfn.XLOOKUP(staff_data[[#This Row],[Rating]],'Salary vs Rating'!$B$12:$B$16,'Salary vs Rating'!$C$12:$C$16)</f>
        <v>3</v>
      </c>
      <c r="X161" t="b">
        <v>1</v>
      </c>
    </row>
    <row r="162" spans="1:24" x14ac:dyDescent="0.3">
      <c r="A162" t="s">
        <v>59</v>
      </c>
      <c r="B162" t="s">
        <v>15</v>
      </c>
      <c r="C162">
        <v>26</v>
      </c>
      <c r="D162" t="s">
        <v>16</v>
      </c>
      <c r="E162" s="6">
        <v>44225</v>
      </c>
      <c r="F162" t="s">
        <v>9</v>
      </c>
      <c r="G162" s="33">
        <v>47360</v>
      </c>
      <c r="H162" t="s">
        <v>206</v>
      </c>
      <c r="I162" s="8">
        <f ca="1">(TODAY()-staff_data[[#This Row],[Date Joined]])/365</f>
        <v>2.6438356164383561</v>
      </c>
      <c r="J162" s="31">
        <f ca="1">ROUNDUP(IF(staff_data[[#This Row],[Tenure]]&gt;2.5,3%,2%)*staff_data[[#This Row],[Salary]],0)</f>
        <v>1421</v>
      </c>
      <c r="K162" s="32">
        <f>_xlfn.XLOOKUP(staff_data[[#This Row],[Rating]],'Salary vs Rating'!$B$12:$B$16,'Salary vs Rating'!$C$12:$C$16)</f>
        <v>3</v>
      </c>
      <c r="X162" t="b">
        <v>0</v>
      </c>
    </row>
    <row r="163" spans="1:24" x14ac:dyDescent="0.3">
      <c r="A163" t="s">
        <v>37</v>
      </c>
      <c r="B163" t="s">
        <v>15</v>
      </c>
      <c r="C163">
        <v>30</v>
      </c>
      <c r="D163" t="s">
        <v>16</v>
      </c>
      <c r="E163" s="6">
        <v>44666</v>
      </c>
      <c r="F163" t="s">
        <v>9</v>
      </c>
      <c r="G163" s="33">
        <v>60570</v>
      </c>
      <c r="H163" t="s">
        <v>206</v>
      </c>
      <c r="I163" s="8">
        <f ca="1">(TODAY()-staff_data[[#This Row],[Date Joined]])/365</f>
        <v>1.4356164383561645</v>
      </c>
      <c r="J163" s="31">
        <f ca="1">ROUNDUP(IF(staff_data[[#This Row],[Tenure]]&gt;2.5,3%,2%)*staff_data[[#This Row],[Salary]],0)</f>
        <v>1212</v>
      </c>
      <c r="K163" s="32">
        <f>_xlfn.XLOOKUP(staff_data[[#This Row],[Rating]],'Salary vs Rating'!$B$12:$B$16,'Salary vs Rating'!$C$12:$C$16)</f>
        <v>3</v>
      </c>
      <c r="X163" t="b">
        <v>0</v>
      </c>
    </row>
    <row r="164" spans="1:24" x14ac:dyDescent="0.3">
      <c r="A164" t="s">
        <v>96</v>
      </c>
      <c r="B164" t="s">
        <v>8</v>
      </c>
      <c r="C164">
        <v>28</v>
      </c>
      <c r="D164" t="s">
        <v>16</v>
      </c>
      <c r="E164" s="6">
        <v>44649</v>
      </c>
      <c r="F164" t="s">
        <v>9</v>
      </c>
      <c r="G164" s="33">
        <v>104120</v>
      </c>
      <c r="H164" t="s">
        <v>206</v>
      </c>
      <c r="I164" s="8">
        <f ca="1">(TODAY()-staff_data[[#This Row],[Date Joined]])/365</f>
        <v>1.4821917808219178</v>
      </c>
      <c r="J164" s="31">
        <f ca="1">ROUNDUP(IF(staff_data[[#This Row],[Tenure]]&gt;2.5,3%,2%)*staff_data[[#This Row],[Salary]],0)</f>
        <v>2083</v>
      </c>
      <c r="K164" s="32">
        <f>_xlfn.XLOOKUP(staff_data[[#This Row],[Rating]],'Salary vs Rating'!$B$12:$B$16,'Salary vs Rating'!$C$12:$C$16)</f>
        <v>3</v>
      </c>
      <c r="X164" t="b">
        <v>0</v>
      </c>
    </row>
    <row r="165" spans="1:24" x14ac:dyDescent="0.3">
      <c r="A165" t="s">
        <v>23</v>
      </c>
      <c r="B165" t="s">
        <v>15</v>
      </c>
      <c r="C165">
        <v>37</v>
      </c>
      <c r="D165" t="s">
        <v>24</v>
      </c>
      <c r="E165" s="6">
        <v>44338</v>
      </c>
      <c r="F165" t="s">
        <v>12</v>
      </c>
      <c r="G165" s="33">
        <v>88050</v>
      </c>
      <c r="H165" t="s">
        <v>206</v>
      </c>
      <c r="I165" s="8">
        <f ca="1">(TODAY()-staff_data[[#This Row],[Date Joined]])/365</f>
        <v>2.3342465753424659</v>
      </c>
      <c r="J165" s="31">
        <f ca="1">ROUNDUP(IF(staff_data[[#This Row],[Tenure]]&gt;2.5,3%,2%)*staff_data[[#This Row],[Salary]],0)</f>
        <v>1761</v>
      </c>
      <c r="K165" s="32">
        <f>_xlfn.XLOOKUP(staff_data[[#This Row],[Rating]],'Salary vs Rating'!$B$12:$B$16,'Salary vs Rating'!$C$12:$C$16)</f>
        <v>2</v>
      </c>
      <c r="X165" t="b">
        <v>1</v>
      </c>
    </row>
    <row r="166" spans="1:24" x14ac:dyDescent="0.3">
      <c r="A166" t="s">
        <v>103</v>
      </c>
      <c r="B166" t="s">
        <v>15</v>
      </c>
      <c r="C166">
        <v>24</v>
      </c>
      <c r="D166" t="s">
        <v>16</v>
      </c>
      <c r="E166" s="6">
        <v>44686</v>
      </c>
      <c r="F166" t="s">
        <v>12</v>
      </c>
      <c r="G166" s="33">
        <v>100420</v>
      </c>
      <c r="H166" t="s">
        <v>206</v>
      </c>
      <c r="I166" s="8">
        <f ca="1">(TODAY()-staff_data[[#This Row],[Date Joined]])/365</f>
        <v>1.3808219178082193</v>
      </c>
      <c r="J166" s="31">
        <f ca="1">ROUNDUP(IF(staff_data[[#This Row],[Tenure]]&gt;2.5,3%,2%)*staff_data[[#This Row],[Salary]],0)</f>
        <v>2009</v>
      </c>
      <c r="K166" s="32">
        <f>_xlfn.XLOOKUP(staff_data[[#This Row],[Rating]],'Salary vs Rating'!$B$12:$B$16,'Salary vs Rating'!$C$12:$C$16)</f>
        <v>3</v>
      </c>
      <c r="X166" t="b">
        <v>0</v>
      </c>
    </row>
    <row r="167" spans="1:24" x14ac:dyDescent="0.3">
      <c r="A167" t="s">
        <v>54</v>
      </c>
      <c r="B167" t="s">
        <v>8</v>
      </c>
      <c r="C167">
        <v>30</v>
      </c>
      <c r="D167" t="s">
        <v>16</v>
      </c>
      <c r="E167" s="6">
        <v>44850</v>
      </c>
      <c r="F167" t="s">
        <v>9</v>
      </c>
      <c r="G167" s="33">
        <v>114180</v>
      </c>
      <c r="H167" t="s">
        <v>206</v>
      </c>
      <c r="I167" s="8">
        <f ca="1">(TODAY()-staff_data[[#This Row],[Date Joined]])/365</f>
        <v>0.93150684931506844</v>
      </c>
      <c r="J167" s="31">
        <f ca="1">ROUNDUP(IF(staff_data[[#This Row],[Tenure]]&gt;2.5,3%,2%)*staff_data[[#This Row],[Salary]],0)</f>
        <v>2284</v>
      </c>
      <c r="K167" s="32">
        <f>_xlfn.XLOOKUP(staff_data[[#This Row],[Rating]],'Salary vs Rating'!$B$12:$B$16,'Salary vs Rating'!$C$12:$C$16)</f>
        <v>3</v>
      </c>
      <c r="X167" t="b">
        <v>1</v>
      </c>
    </row>
    <row r="168" spans="1:24" x14ac:dyDescent="0.3">
      <c r="A168" t="s">
        <v>86</v>
      </c>
      <c r="B168" t="s">
        <v>8</v>
      </c>
      <c r="C168">
        <v>21</v>
      </c>
      <c r="D168" t="s">
        <v>16</v>
      </c>
      <c r="E168" s="6">
        <v>44678</v>
      </c>
      <c r="F168" t="s">
        <v>12</v>
      </c>
      <c r="G168" s="33">
        <v>33920</v>
      </c>
      <c r="H168" t="s">
        <v>206</v>
      </c>
      <c r="I168" s="8">
        <f ca="1">(TODAY()-staff_data[[#This Row],[Date Joined]])/365</f>
        <v>1.4027397260273973</v>
      </c>
      <c r="J168" s="31">
        <f ca="1">ROUNDUP(IF(staff_data[[#This Row],[Tenure]]&gt;2.5,3%,2%)*staff_data[[#This Row],[Salary]],0)</f>
        <v>679</v>
      </c>
      <c r="K168" s="32">
        <f>_xlfn.XLOOKUP(staff_data[[#This Row],[Rating]],'Salary vs Rating'!$B$12:$B$16,'Salary vs Rating'!$C$12:$C$16)</f>
        <v>3</v>
      </c>
      <c r="X168" t="b">
        <v>1</v>
      </c>
    </row>
    <row r="169" spans="1:24" x14ac:dyDescent="0.3">
      <c r="A169" t="s">
        <v>69</v>
      </c>
      <c r="B169" t="s">
        <v>15</v>
      </c>
      <c r="C169">
        <v>23</v>
      </c>
      <c r="D169" t="s">
        <v>16</v>
      </c>
      <c r="E169" s="6">
        <v>44440</v>
      </c>
      <c r="F169" t="s">
        <v>9</v>
      </c>
      <c r="G169" s="33">
        <v>106460</v>
      </c>
      <c r="H169" t="s">
        <v>206</v>
      </c>
      <c r="I169" s="8">
        <f ca="1">(TODAY()-staff_data[[#This Row],[Date Joined]])/365</f>
        <v>2.0547945205479454</v>
      </c>
      <c r="J169" s="31">
        <f ca="1">ROUNDUP(IF(staff_data[[#This Row],[Tenure]]&gt;2.5,3%,2%)*staff_data[[#This Row],[Salary]],0)</f>
        <v>2130</v>
      </c>
      <c r="K169" s="32">
        <f>_xlfn.XLOOKUP(staff_data[[#This Row],[Rating]],'Salary vs Rating'!$B$12:$B$16,'Salary vs Rating'!$C$12:$C$16)</f>
        <v>3</v>
      </c>
      <c r="X169" t="b">
        <v>0</v>
      </c>
    </row>
    <row r="170" spans="1:24" x14ac:dyDescent="0.3">
      <c r="A170" t="s">
        <v>57</v>
      </c>
      <c r="B170" t="s">
        <v>15</v>
      </c>
      <c r="C170">
        <v>35</v>
      </c>
      <c r="D170" t="s">
        <v>16</v>
      </c>
      <c r="E170" s="6">
        <v>44727</v>
      </c>
      <c r="F170" t="s">
        <v>9</v>
      </c>
      <c r="G170" s="33">
        <v>40400</v>
      </c>
      <c r="H170" t="s">
        <v>206</v>
      </c>
      <c r="I170" s="8">
        <f ca="1">(TODAY()-staff_data[[#This Row],[Date Joined]])/365</f>
        <v>1.2684931506849315</v>
      </c>
      <c r="J170" s="31">
        <f ca="1">ROUNDUP(IF(staff_data[[#This Row],[Tenure]]&gt;2.5,3%,2%)*staff_data[[#This Row],[Salary]],0)</f>
        <v>808</v>
      </c>
      <c r="K170" s="32">
        <f>_xlfn.XLOOKUP(staff_data[[#This Row],[Rating]],'Salary vs Rating'!$B$12:$B$16,'Salary vs Rating'!$C$12:$C$16)</f>
        <v>3</v>
      </c>
      <c r="X170" t="b">
        <v>1</v>
      </c>
    </row>
    <row r="171" spans="1:24" x14ac:dyDescent="0.3">
      <c r="A171" t="s">
        <v>68</v>
      </c>
      <c r="B171" t="s">
        <v>15</v>
      </c>
      <c r="C171">
        <v>27</v>
      </c>
      <c r="D171" t="s">
        <v>13</v>
      </c>
      <c r="E171" s="6">
        <v>44236</v>
      </c>
      <c r="F171" t="s">
        <v>21</v>
      </c>
      <c r="G171" s="33">
        <v>91650</v>
      </c>
      <c r="H171" t="s">
        <v>206</v>
      </c>
      <c r="I171" s="8">
        <f ca="1">(TODAY()-staff_data[[#This Row],[Date Joined]])/365</f>
        <v>2.6136986301369864</v>
      </c>
      <c r="J171" s="31">
        <f ca="1">ROUNDUP(IF(staff_data[[#This Row],[Tenure]]&gt;2.5,3%,2%)*staff_data[[#This Row],[Salary]],0)</f>
        <v>2750</v>
      </c>
      <c r="K171" s="32">
        <f>_xlfn.XLOOKUP(staff_data[[#This Row],[Rating]],'Salary vs Rating'!$B$12:$B$16,'Salary vs Rating'!$C$12:$C$16)</f>
        <v>4</v>
      </c>
      <c r="X171" t="b">
        <v>0</v>
      </c>
    </row>
    <row r="172" spans="1:24" x14ac:dyDescent="0.3">
      <c r="A172" t="s">
        <v>99</v>
      </c>
      <c r="B172" t="s">
        <v>15</v>
      </c>
      <c r="C172">
        <v>43</v>
      </c>
      <c r="D172" t="s">
        <v>16</v>
      </c>
      <c r="E172" s="6">
        <v>44620</v>
      </c>
      <c r="F172" t="s">
        <v>19</v>
      </c>
      <c r="G172" s="33">
        <v>36040</v>
      </c>
      <c r="H172" t="s">
        <v>206</v>
      </c>
      <c r="I172" s="8">
        <f ca="1">(TODAY()-staff_data[[#This Row],[Date Joined]])/365</f>
        <v>1.5616438356164384</v>
      </c>
      <c r="J172" s="31">
        <f ca="1">ROUNDUP(IF(staff_data[[#This Row],[Tenure]]&gt;2.5,3%,2%)*staff_data[[#This Row],[Salary]],0)</f>
        <v>721</v>
      </c>
      <c r="K172" s="32">
        <f>_xlfn.XLOOKUP(staff_data[[#This Row],[Rating]],'Salary vs Rating'!$B$12:$B$16,'Salary vs Rating'!$C$12:$C$16)</f>
        <v>3</v>
      </c>
      <c r="X172" t="b">
        <v>1</v>
      </c>
    </row>
    <row r="173" spans="1:24" x14ac:dyDescent="0.3">
      <c r="A173" t="s">
        <v>101</v>
      </c>
      <c r="B173" t="s">
        <v>8</v>
      </c>
      <c r="C173">
        <v>40</v>
      </c>
      <c r="D173" t="s">
        <v>16</v>
      </c>
      <c r="E173" s="6">
        <v>44381</v>
      </c>
      <c r="F173" t="s">
        <v>12</v>
      </c>
      <c r="G173" s="33">
        <v>104410</v>
      </c>
      <c r="H173" t="s">
        <v>206</v>
      </c>
      <c r="I173" s="8">
        <f ca="1">(TODAY()-staff_data[[#This Row],[Date Joined]])/365</f>
        <v>2.2164383561643834</v>
      </c>
      <c r="J173" s="31">
        <f ca="1">ROUNDUP(IF(staff_data[[#This Row],[Tenure]]&gt;2.5,3%,2%)*staff_data[[#This Row],[Salary]],0)</f>
        <v>2089</v>
      </c>
      <c r="K173" s="32">
        <f>_xlfn.XLOOKUP(staff_data[[#This Row],[Rating]],'Salary vs Rating'!$B$12:$B$16,'Salary vs Rating'!$C$12:$C$16)</f>
        <v>3</v>
      </c>
      <c r="X173" t="b">
        <v>0</v>
      </c>
    </row>
    <row r="174" spans="1:24" x14ac:dyDescent="0.3">
      <c r="A174" t="s">
        <v>85</v>
      </c>
      <c r="B174" t="s">
        <v>15</v>
      </c>
      <c r="C174">
        <v>30</v>
      </c>
      <c r="D174" t="s">
        <v>16</v>
      </c>
      <c r="E174" s="6">
        <v>44606</v>
      </c>
      <c r="F174" t="s">
        <v>21</v>
      </c>
      <c r="G174" s="33">
        <v>96800</v>
      </c>
      <c r="H174" t="s">
        <v>206</v>
      </c>
      <c r="I174" s="8">
        <f ca="1">(TODAY()-staff_data[[#This Row],[Date Joined]])/365</f>
        <v>1.6</v>
      </c>
      <c r="J174" s="31">
        <f ca="1">ROUNDUP(IF(staff_data[[#This Row],[Tenure]]&gt;2.5,3%,2%)*staff_data[[#This Row],[Salary]],0)</f>
        <v>1936</v>
      </c>
      <c r="K174" s="32">
        <f>_xlfn.XLOOKUP(staff_data[[#This Row],[Rating]],'Salary vs Rating'!$B$12:$B$16,'Salary vs Rating'!$C$12:$C$16)</f>
        <v>3</v>
      </c>
      <c r="X174" t="b">
        <v>1</v>
      </c>
    </row>
    <row r="175" spans="1:24" x14ac:dyDescent="0.3">
      <c r="A175" t="s">
        <v>28</v>
      </c>
      <c r="B175" t="s">
        <v>8</v>
      </c>
      <c r="C175">
        <v>34</v>
      </c>
      <c r="D175" t="s">
        <v>16</v>
      </c>
      <c r="E175" s="6">
        <v>44459</v>
      </c>
      <c r="F175" t="s">
        <v>21</v>
      </c>
      <c r="G175" s="33">
        <v>85000</v>
      </c>
      <c r="H175" t="s">
        <v>206</v>
      </c>
      <c r="I175" s="8">
        <f ca="1">(TODAY()-staff_data[[#This Row],[Date Joined]])/365</f>
        <v>2.0027397260273974</v>
      </c>
      <c r="J175" s="31">
        <f ca="1">ROUNDUP(IF(staff_data[[#This Row],[Tenure]]&gt;2.5,3%,2%)*staff_data[[#This Row],[Salary]],0)</f>
        <v>1700</v>
      </c>
      <c r="K175" s="32">
        <f>_xlfn.XLOOKUP(staff_data[[#This Row],[Rating]],'Salary vs Rating'!$B$12:$B$16,'Salary vs Rating'!$C$12:$C$16)</f>
        <v>3</v>
      </c>
      <c r="X175" t="b">
        <v>1</v>
      </c>
    </row>
    <row r="176" spans="1:24" x14ac:dyDescent="0.3">
      <c r="A176" t="s">
        <v>80</v>
      </c>
      <c r="B176" t="s">
        <v>15</v>
      </c>
      <c r="C176">
        <v>28</v>
      </c>
      <c r="D176" t="s">
        <v>42</v>
      </c>
      <c r="E176" s="6">
        <v>44820</v>
      </c>
      <c r="F176" t="s">
        <v>19</v>
      </c>
      <c r="G176" s="33">
        <v>43510</v>
      </c>
      <c r="H176" t="s">
        <v>206</v>
      </c>
      <c r="I176" s="8">
        <f ca="1">(TODAY()-staff_data[[#This Row],[Date Joined]])/365</f>
        <v>1.0136986301369864</v>
      </c>
      <c r="J176" s="31">
        <f ca="1">ROUNDUP(IF(staff_data[[#This Row],[Tenure]]&gt;2.5,3%,2%)*staff_data[[#This Row],[Salary]],0)</f>
        <v>871</v>
      </c>
      <c r="K176" s="32">
        <f>_xlfn.XLOOKUP(staff_data[[#This Row],[Rating]],'Salary vs Rating'!$B$12:$B$16,'Salary vs Rating'!$C$12:$C$16)</f>
        <v>1</v>
      </c>
      <c r="X176" t="b">
        <v>0</v>
      </c>
    </row>
    <row r="177" spans="1:24" x14ac:dyDescent="0.3">
      <c r="A177" t="s">
        <v>79</v>
      </c>
      <c r="B177" t="s">
        <v>15</v>
      </c>
      <c r="C177">
        <v>33</v>
      </c>
      <c r="D177" t="s">
        <v>16</v>
      </c>
      <c r="E177" s="6">
        <v>44243</v>
      </c>
      <c r="F177" t="s">
        <v>21</v>
      </c>
      <c r="G177" s="33">
        <v>59430</v>
      </c>
      <c r="H177" t="s">
        <v>206</v>
      </c>
      <c r="I177" s="8">
        <f ca="1">(TODAY()-staff_data[[#This Row],[Date Joined]])/365</f>
        <v>2.5945205479452054</v>
      </c>
      <c r="J177" s="31">
        <f ca="1">ROUNDUP(IF(staff_data[[#This Row],[Tenure]]&gt;2.5,3%,2%)*staff_data[[#This Row],[Salary]],0)</f>
        <v>1783</v>
      </c>
      <c r="K177" s="32">
        <f>_xlfn.XLOOKUP(staff_data[[#This Row],[Rating]],'Salary vs Rating'!$B$12:$B$16,'Salary vs Rating'!$C$12:$C$16)</f>
        <v>3</v>
      </c>
      <c r="X177" t="b">
        <v>0</v>
      </c>
    </row>
    <row r="178" spans="1:24" x14ac:dyDescent="0.3">
      <c r="A178" t="s">
        <v>93</v>
      </c>
      <c r="B178" t="s">
        <v>8</v>
      </c>
      <c r="C178">
        <v>33</v>
      </c>
      <c r="D178" t="s">
        <v>16</v>
      </c>
      <c r="E178" s="6">
        <v>44067</v>
      </c>
      <c r="F178" t="s">
        <v>21</v>
      </c>
      <c r="G178" s="33">
        <v>65360</v>
      </c>
      <c r="H178" t="s">
        <v>206</v>
      </c>
      <c r="I178" s="8">
        <f ca="1">(TODAY()-staff_data[[#This Row],[Date Joined]])/365</f>
        <v>3.0767123287671234</v>
      </c>
      <c r="J178" s="31">
        <f ca="1">ROUNDUP(IF(staff_data[[#This Row],[Tenure]]&gt;2.5,3%,2%)*staff_data[[#This Row],[Salary]],0)</f>
        <v>1961</v>
      </c>
      <c r="K178" s="32">
        <f>_xlfn.XLOOKUP(staff_data[[#This Row],[Rating]],'Salary vs Rating'!$B$12:$B$16,'Salary vs Rating'!$C$12:$C$16)</f>
        <v>3</v>
      </c>
      <c r="X178" t="b">
        <v>0</v>
      </c>
    </row>
    <row r="179" spans="1:24" x14ac:dyDescent="0.3">
      <c r="A179" t="s">
        <v>66</v>
      </c>
      <c r="B179" t="s">
        <v>8</v>
      </c>
      <c r="C179">
        <v>32</v>
      </c>
      <c r="D179" t="s">
        <v>16</v>
      </c>
      <c r="E179" s="6">
        <v>44611</v>
      </c>
      <c r="F179" t="s">
        <v>9</v>
      </c>
      <c r="G179" s="33">
        <v>41570</v>
      </c>
      <c r="H179" t="s">
        <v>206</v>
      </c>
      <c r="I179" s="8">
        <f ca="1">(TODAY()-staff_data[[#This Row],[Date Joined]])/365</f>
        <v>1.5863013698630137</v>
      </c>
      <c r="J179" s="31">
        <f ca="1">ROUNDUP(IF(staff_data[[#This Row],[Tenure]]&gt;2.5,3%,2%)*staff_data[[#This Row],[Salary]],0)</f>
        <v>832</v>
      </c>
      <c r="K179" s="32">
        <f>_xlfn.XLOOKUP(staff_data[[#This Row],[Rating]],'Salary vs Rating'!$B$12:$B$16,'Salary vs Rating'!$C$12:$C$16)</f>
        <v>3</v>
      </c>
      <c r="X179" t="b">
        <v>0</v>
      </c>
    </row>
    <row r="180" spans="1:24" x14ac:dyDescent="0.3">
      <c r="A180" t="s">
        <v>95</v>
      </c>
      <c r="B180" t="s">
        <v>8</v>
      </c>
      <c r="C180">
        <v>33</v>
      </c>
      <c r="D180" t="s">
        <v>16</v>
      </c>
      <c r="E180" s="6">
        <v>44312</v>
      </c>
      <c r="F180" t="s">
        <v>12</v>
      </c>
      <c r="G180" s="33">
        <v>75280</v>
      </c>
      <c r="H180" t="s">
        <v>206</v>
      </c>
      <c r="I180" s="8">
        <f ca="1">(TODAY()-staff_data[[#This Row],[Date Joined]])/365</f>
        <v>2.4054794520547946</v>
      </c>
      <c r="J180" s="31">
        <f ca="1">ROUNDUP(IF(staff_data[[#This Row],[Tenure]]&gt;2.5,3%,2%)*staff_data[[#This Row],[Salary]],0)</f>
        <v>1506</v>
      </c>
      <c r="K180" s="32">
        <f>_xlfn.XLOOKUP(staff_data[[#This Row],[Rating]],'Salary vs Rating'!$B$12:$B$16,'Salary vs Rating'!$C$12:$C$16)</f>
        <v>3</v>
      </c>
      <c r="X180" t="b">
        <v>0</v>
      </c>
    </row>
    <row r="181" spans="1:24" x14ac:dyDescent="0.3">
      <c r="A181" t="s">
        <v>18</v>
      </c>
      <c r="B181" t="s">
        <v>15</v>
      </c>
      <c r="C181">
        <v>33</v>
      </c>
      <c r="D181" t="s">
        <v>16</v>
      </c>
      <c r="E181" s="6">
        <v>44385</v>
      </c>
      <c r="F181" t="s">
        <v>19</v>
      </c>
      <c r="G181" s="33">
        <v>74550</v>
      </c>
      <c r="H181" t="s">
        <v>206</v>
      </c>
      <c r="I181" s="8">
        <f ca="1">(TODAY()-staff_data[[#This Row],[Date Joined]])/365</f>
        <v>2.2054794520547945</v>
      </c>
      <c r="J181" s="31">
        <f ca="1">ROUNDUP(IF(staff_data[[#This Row],[Tenure]]&gt;2.5,3%,2%)*staff_data[[#This Row],[Salary]],0)</f>
        <v>1491</v>
      </c>
      <c r="K181" s="32">
        <f>_xlfn.XLOOKUP(staff_data[[#This Row],[Rating]],'Salary vs Rating'!$B$12:$B$16,'Salary vs Rating'!$C$12:$C$16)</f>
        <v>3</v>
      </c>
      <c r="X181" t="b">
        <v>0</v>
      </c>
    </row>
    <row r="182" spans="1:24" x14ac:dyDescent="0.3">
      <c r="A182" t="s">
        <v>45</v>
      </c>
      <c r="B182" t="s">
        <v>15</v>
      </c>
      <c r="C182">
        <v>30</v>
      </c>
      <c r="D182" t="s">
        <v>16</v>
      </c>
      <c r="E182" s="6">
        <v>44701</v>
      </c>
      <c r="F182" t="s">
        <v>9</v>
      </c>
      <c r="G182" s="33">
        <v>67950</v>
      </c>
      <c r="H182" t="s">
        <v>206</v>
      </c>
      <c r="I182" s="8">
        <f ca="1">(TODAY()-staff_data[[#This Row],[Date Joined]])/365</f>
        <v>1.3397260273972602</v>
      </c>
      <c r="J182" s="31">
        <f ca="1">ROUNDUP(IF(staff_data[[#This Row],[Tenure]]&gt;2.5,3%,2%)*staff_data[[#This Row],[Salary]],0)</f>
        <v>1359</v>
      </c>
      <c r="K182" s="32">
        <f>_xlfn.XLOOKUP(staff_data[[#This Row],[Rating]],'Salary vs Rating'!$B$12:$B$16,'Salary vs Rating'!$C$12:$C$16)</f>
        <v>3</v>
      </c>
      <c r="X182" t="b">
        <v>0</v>
      </c>
    </row>
    <row r="183" spans="1:24" x14ac:dyDescent="0.3">
      <c r="A183" t="s">
        <v>90</v>
      </c>
      <c r="B183" t="s">
        <v>15</v>
      </c>
      <c r="C183">
        <v>42</v>
      </c>
      <c r="D183" t="s">
        <v>24</v>
      </c>
      <c r="E183" s="6">
        <v>44731</v>
      </c>
      <c r="F183" t="s">
        <v>21</v>
      </c>
      <c r="G183" s="33">
        <v>70270</v>
      </c>
      <c r="H183" t="s">
        <v>206</v>
      </c>
      <c r="I183" s="8">
        <f ca="1">(TODAY()-staff_data[[#This Row],[Date Joined]])/365</f>
        <v>1.2575342465753425</v>
      </c>
      <c r="J183" s="31">
        <f ca="1">ROUNDUP(IF(staff_data[[#This Row],[Tenure]]&gt;2.5,3%,2%)*staff_data[[#This Row],[Salary]],0)</f>
        <v>1406</v>
      </c>
      <c r="K183" s="32">
        <f>_xlfn.XLOOKUP(staff_data[[#This Row],[Rating]],'Salary vs Rating'!$B$12:$B$16,'Salary vs Rating'!$C$12:$C$16)</f>
        <v>2</v>
      </c>
      <c r="X183" t="b">
        <v>0</v>
      </c>
    </row>
    <row r="184" spans="1:24" x14ac:dyDescent="0.3">
      <c r="A184" t="s">
        <v>46</v>
      </c>
      <c r="B184" t="s">
        <v>15</v>
      </c>
      <c r="C184">
        <v>26</v>
      </c>
      <c r="D184" t="s">
        <v>16</v>
      </c>
      <c r="E184" s="6">
        <v>44411</v>
      </c>
      <c r="F184" t="s">
        <v>9</v>
      </c>
      <c r="G184" s="33">
        <v>53540</v>
      </c>
      <c r="H184" t="s">
        <v>206</v>
      </c>
      <c r="I184" s="8">
        <f ca="1">(TODAY()-staff_data[[#This Row],[Date Joined]])/365</f>
        <v>2.1342465753424658</v>
      </c>
      <c r="J184" s="31">
        <f ca="1">ROUNDUP(IF(staff_data[[#This Row],[Tenure]]&gt;2.5,3%,2%)*staff_data[[#This Row],[Salary]],0)</f>
        <v>1071</v>
      </c>
      <c r="K184" s="32">
        <f>_xlfn.XLOOKUP(staff_data[[#This Row],[Rating]],'Salary vs Rating'!$B$12:$B$16,'Salary vs Rating'!$C$12:$C$16)</f>
        <v>3</v>
      </c>
      <c r="X184" t="b">
        <v>0</v>
      </c>
    </row>
    <row r="185" spans="1:24" x14ac:dyDescent="0.3">
      <c r="X185" t="b">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71FAF-88E3-4DA4-8BFA-93D124BD05C8}">
  <dimension ref="B2:V185"/>
  <sheetViews>
    <sheetView workbookViewId="0">
      <selection activeCell="G7" sqref="G7:H8"/>
    </sheetView>
  </sheetViews>
  <sheetFormatPr defaultRowHeight="14.4" x14ac:dyDescent="0.3"/>
  <cols>
    <col min="2" max="2" width="27.21875" bestFit="1" customWidth="1"/>
    <col min="3" max="3" width="13.5546875" customWidth="1"/>
    <col min="4" max="4" width="16.109375" customWidth="1"/>
    <col min="12" max="12" width="27.21875" bestFit="1" customWidth="1"/>
    <col min="13" max="13" width="11.44140625" customWidth="1"/>
    <col min="14" max="14" width="15" customWidth="1"/>
    <col min="18" max="18" width="6" customWidth="1"/>
    <col min="19" max="19" width="8.88671875" hidden="1" customWidth="1"/>
    <col min="20" max="20" width="27.21875" bestFit="1" customWidth="1"/>
    <col min="22" max="22" width="13" customWidth="1"/>
  </cols>
  <sheetData>
    <row r="2" spans="2:22" ht="18" x14ac:dyDescent="0.35">
      <c r="B2" s="11">
        <v>3</v>
      </c>
      <c r="C2" s="48" t="s">
        <v>255</v>
      </c>
      <c r="T2" t="s">
        <v>0</v>
      </c>
      <c r="U2" t="s">
        <v>5</v>
      </c>
      <c r="V2" t="s">
        <v>6</v>
      </c>
    </row>
    <row r="3" spans="2:22" x14ac:dyDescent="0.3">
      <c r="T3" s="17" t="s">
        <v>155</v>
      </c>
      <c r="U3" s="18">
        <v>112650</v>
      </c>
      <c r="V3" s="18" t="s">
        <v>16</v>
      </c>
    </row>
    <row r="4" spans="2:22" x14ac:dyDescent="0.3">
      <c r="B4" t="s">
        <v>218</v>
      </c>
      <c r="C4" t="s">
        <v>220</v>
      </c>
      <c r="T4" s="19" t="s">
        <v>175</v>
      </c>
      <c r="U4" s="20">
        <v>43840</v>
      </c>
      <c r="V4" s="20" t="s">
        <v>13</v>
      </c>
    </row>
    <row r="5" spans="2:22" x14ac:dyDescent="0.3">
      <c r="B5" t="s">
        <v>219</v>
      </c>
      <c r="C5">
        <f>COUNTIFS(staff_data[Department],C4)</f>
        <v>28</v>
      </c>
      <c r="T5" s="17" t="s">
        <v>142</v>
      </c>
      <c r="U5" s="18">
        <v>103550</v>
      </c>
      <c r="V5" s="18" t="s">
        <v>16</v>
      </c>
    </row>
    <row r="6" spans="2:22" x14ac:dyDescent="0.3">
      <c r="T6" s="19" t="s">
        <v>200</v>
      </c>
      <c r="U6" s="20">
        <v>45510</v>
      </c>
      <c r="V6" s="20" t="s">
        <v>16</v>
      </c>
    </row>
    <row r="7" spans="2:22" x14ac:dyDescent="0.3">
      <c r="T7" s="17" t="s">
        <v>141</v>
      </c>
      <c r="U7" s="18">
        <v>115440</v>
      </c>
      <c r="V7" s="18" t="s">
        <v>24</v>
      </c>
    </row>
    <row r="8" spans="2:22" x14ac:dyDescent="0.3">
      <c r="B8" s="23" t="str" cm="1">
        <f t="array" ref="B8:D35">_xlfn._xlws.SORT(_xlfn._xlws.FILTER(dept[],staff_data[Department]=C4),2,-1)</f>
        <v>Krishnakanta Vellanki</v>
      </c>
      <c r="C8" s="23">
        <v>112780</v>
      </c>
      <c r="D8" s="23" t="str">
        <v>Above average</v>
      </c>
      <c r="E8" s="51"/>
      <c r="F8" s="51"/>
      <c r="G8" s="51"/>
      <c r="H8" s="51"/>
      <c r="I8" s="51"/>
      <c r="J8" s="51"/>
      <c r="L8" s="51"/>
      <c r="M8" s="51"/>
      <c r="N8" s="51"/>
      <c r="T8" s="19" t="s">
        <v>201</v>
      </c>
      <c r="U8" s="20">
        <v>56870</v>
      </c>
      <c r="V8" s="20" t="s">
        <v>13</v>
      </c>
    </row>
    <row r="9" spans="2:22" x14ac:dyDescent="0.3">
      <c r="B9" s="24" t="str">
        <v>Lindy Guillet</v>
      </c>
      <c r="C9" s="24">
        <v>112780</v>
      </c>
      <c r="D9" s="24" t="str">
        <v>Above average</v>
      </c>
      <c r="E9" s="51"/>
      <c r="F9" s="51"/>
      <c r="G9" s="51"/>
      <c r="H9" s="51"/>
      <c r="I9" s="51"/>
      <c r="J9" s="51"/>
      <c r="L9" s="51"/>
      <c r="M9" s="51"/>
      <c r="N9" s="51"/>
      <c r="T9" s="17" t="s">
        <v>168</v>
      </c>
      <c r="U9" s="18">
        <v>92700</v>
      </c>
      <c r="V9" s="18" t="s">
        <v>16</v>
      </c>
    </row>
    <row r="10" spans="2:22" x14ac:dyDescent="0.3">
      <c r="B10" s="24" t="str">
        <v>Sawini Chandan</v>
      </c>
      <c r="C10" s="24">
        <v>109160</v>
      </c>
      <c r="D10" s="24" t="str">
        <v>Exceptional</v>
      </c>
      <c r="E10" s="51"/>
      <c r="F10" s="51"/>
      <c r="G10" s="51"/>
      <c r="H10" s="51"/>
      <c r="I10" s="51"/>
      <c r="J10" s="51"/>
      <c r="L10" s="51"/>
      <c r="M10" s="51"/>
      <c r="N10" s="51"/>
      <c r="T10" s="19" t="s">
        <v>144</v>
      </c>
      <c r="U10" s="20">
        <v>91310</v>
      </c>
      <c r="V10" s="20" t="s">
        <v>16</v>
      </c>
    </row>
    <row r="11" spans="2:22" x14ac:dyDescent="0.3">
      <c r="B11" s="24" t="str">
        <v>Rafaelita Blaksland</v>
      </c>
      <c r="C11" s="24">
        <v>109160</v>
      </c>
      <c r="D11" s="24" t="str">
        <v>Exceptional</v>
      </c>
      <c r="E11" s="51"/>
      <c r="F11" s="51"/>
      <c r="G11" s="51"/>
      <c r="H11" s="51"/>
      <c r="I11" s="51"/>
      <c r="J11" s="51"/>
      <c r="L11" s="51"/>
      <c r="M11" s="51"/>
      <c r="N11" s="51"/>
      <c r="T11" s="17" t="s">
        <v>114</v>
      </c>
      <c r="U11" s="18">
        <v>74550</v>
      </c>
      <c r="V11" s="18" t="s">
        <v>16</v>
      </c>
    </row>
    <row r="12" spans="2:22" x14ac:dyDescent="0.3">
      <c r="B12" s="24" t="str">
        <v>Purnendu Vijayarangan</v>
      </c>
      <c r="C12" s="24">
        <v>92700</v>
      </c>
      <c r="D12" s="24" t="str">
        <v>Average</v>
      </c>
      <c r="E12" s="51"/>
      <c r="F12" s="51"/>
      <c r="G12" s="51"/>
      <c r="H12" s="51"/>
      <c r="I12" s="51"/>
      <c r="J12" s="51"/>
      <c r="L12" s="51"/>
      <c r="M12" s="51"/>
      <c r="N12" s="51"/>
      <c r="T12" s="19" t="s">
        <v>127</v>
      </c>
      <c r="U12" s="20">
        <v>109190</v>
      </c>
      <c r="V12" s="20" t="s">
        <v>13</v>
      </c>
    </row>
    <row r="13" spans="2:22" x14ac:dyDescent="0.3">
      <c r="B13" s="24" t="str">
        <v>Hinda Label</v>
      </c>
      <c r="C13" s="24">
        <v>92700</v>
      </c>
      <c r="D13" s="24" t="str">
        <v>Average</v>
      </c>
      <c r="E13" s="51"/>
      <c r="F13" s="51"/>
      <c r="G13" s="51"/>
      <c r="H13" s="51"/>
      <c r="I13" s="51"/>
      <c r="J13" s="51"/>
      <c r="L13" s="51"/>
      <c r="M13" s="51"/>
      <c r="N13" s="51"/>
      <c r="T13" s="17" t="s">
        <v>193</v>
      </c>
      <c r="U13" s="18">
        <v>104410</v>
      </c>
      <c r="V13" s="18" t="s">
        <v>16</v>
      </c>
    </row>
    <row r="14" spans="2:22" x14ac:dyDescent="0.3">
      <c r="B14" s="24" t="str">
        <v>Shulabh Qutub Sundaramoorthy</v>
      </c>
      <c r="C14" s="24">
        <v>78540</v>
      </c>
      <c r="D14" s="24" t="str">
        <v>Average</v>
      </c>
      <c r="E14" s="51"/>
      <c r="F14" s="51"/>
      <c r="G14" s="51"/>
      <c r="H14" s="51"/>
      <c r="I14" s="51"/>
      <c r="J14" s="51"/>
      <c r="L14" s="51"/>
      <c r="M14" s="51"/>
      <c r="N14" s="51"/>
      <c r="T14" s="19" t="s">
        <v>176</v>
      </c>
      <c r="U14" s="20">
        <v>96800</v>
      </c>
      <c r="V14" s="20" t="s">
        <v>16</v>
      </c>
    </row>
    <row r="15" spans="2:22" x14ac:dyDescent="0.3">
      <c r="B15" s="24" t="str">
        <v>Gray Seamon</v>
      </c>
      <c r="C15" s="24">
        <v>78540</v>
      </c>
      <c r="D15" s="24" t="str">
        <v>Average</v>
      </c>
      <c r="E15" s="51"/>
      <c r="F15" s="51"/>
      <c r="G15" s="51"/>
      <c r="H15" s="51"/>
      <c r="I15" s="51"/>
      <c r="J15" s="51"/>
      <c r="L15" s="51"/>
      <c r="M15" s="51"/>
      <c r="N15" s="51"/>
      <c r="T15" s="17" t="s">
        <v>122</v>
      </c>
      <c r="U15" s="18">
        <v>48170</v>
      </c>
      <c r="V15" s="18" t="s">
        <v>13</v>
      </c>
    </row>
    <row r="16" spans="2:22" x14ac:dyDescent="0.3">
      <c r="B16" s="24" t="str">
        <v>Yauvani Tarpa</v>
      </c>
      <c r="C16" s="24">
        <v>74550</v>
      </c>
      <c r="D16" s="24" t="str">
        <v>Average</v>
      </c>
      <c r="E16" s="51"/>
      <c r="F16" s="51"/>
      <c r="G16" s="51"/>
      <c r="H16" s="51"/>
      <c r="I16" s="51"/>
      <c r="J16" s="51"/>
      <c r="L16" s="51"/>
      <c r="M16" s="51"/>
      <c r="N16" s="51"/>
      <c r="T16" s="19" t="s">
        <v>139</v>
      </c>
      <c r="U16" s="20">
        <v>37920</v>
      </c>
      <c r="V16" s="20" t="s">
        <v>16</v>
      </c>
    </row>
    <row r="17" spans="2:22" x14ac:dyDescent="0.3">
      <c r="B17" s="24" t="str">
        <v>Gigi Bohling</v>
      </c>
      <c r="C17" s="24">
        <v>74550</v>
      </c>
      <c r="D17" s="24" t="str">
        <v>Average</v>
      </c>
      <c r="E17" s="51"/>
      <c r="F17" s="51"/>
      <c r="G17" s="51"/>
      <c r="H17" s="51"/>
      <c r="I17" s="51"/>
      <c r="J17" s="51"/>
      <c r="L17" s="51"/>
      <c r="M17" s="51"/>
      <c r="N17" s="51"/>
      <c r="T17" s="17" t="s">
        <v>177</v>
      </c>
      <c r="U17" s="18">
        <v>112650</v>
      </c>
      <c r="V17" s="18" t="s">
        <v>16</v>
      </c>
    </row>
    <row r="18" spans="2:22" x14ac:dyDescent="0.3">
      <c r="B18" s="24" t="str">
        <v>Devasree Fullara Saurin</v>
      </c>
      <c r="C18" s="24">
        <v>68900</v>
      </c>
      <c r="D18" s="24" t="str">
        <v>Poor</v>
      </c>
      <c r="E18" s="51"/>
      <c r="F18" s="51"/>
      <c r="G18" s="51"/>
      <c r="H18" s="51"/>
      <c r="I18" s="51"/>
      <c r="J18" s="51"/>
      <c r="L18" s="51"/>
      <c r="M18" s="51"/>
      <c r="N18" s="51"/>
      <c r="T18" s="19" t="s">
        <v>164</v>
      </c>
      <c r="U18" s="20">
        <v>49630</v>
      </c>
      <c r="V18" s="20" t="s">
        <v>24</v>
      </c>
    </row>
    <row r="19" spans="2:22" x14ac:dyDescent="0.3">
      <c r="B19" s="24" t="str">
        <v>Hyacinthie Braybrooke</v>
      </c>
      <c r="C19" s="24">
        <v>68900</v>
      </c>
      <c r="D19" s="24" t="str">
        <v>Poor</v>
      </c>
      <c r="E19" s="51"/>
      <c r="F19" s="51"/>
      <c r="G19" s="51"/>
      <c r="H19" s="51"/>
      <c r="I19" s="51"/>
      <c r="J19" s="51"/>
      <c r="L19" s="51"/>
      <c r="M19" s="51"/>
      <c r="N19" s="51"/>
      <c r="T19" s="17" t="s">
        <v>198</v>
      </c>
      <c r="U19" s="18">
        <v>118840</v>
      </c>
      <c r="V19" s="18" t="s">
        <v>16</v>
      </c>
    </row>
    <row r="20" spans="2:22" x14ac:dyDescent="0.3">
      <c r="B20" s="24" t="str">
        <v>Abhaya Priyavardhan</v>
      </c>
      <c r="C20" s="24">
        <v>65700</v>
      </c>
      <c r="D20" s="24" t="str">
        <v>Average</v>
      </c>
      <c r="E20" s="51"/>
      <c r="F20" s="51"/>
      <c r="G20" s="51"/>
      <c r="H20" s="51"/>
      <c r="I20" s="51"/>
      <c r="J20" s="51"/>
      <c r="L20" s="51"/>
      <c r="M20" s="51"/>
      <c r="N20" s="51"/>
      <c r="T20" s="19" t="s">
        <v>158</v>
      </c>
      <c r="U20" s="20">
        <v>69710</v>
      </c>
      <c r="V20" s="20" t="s">
        <v>16</v>
      </c>
    </row>
    <row r="21" spans="2:22" x14ac:dyDescent="0.3">
      <c r="B21" s="24" t="str">
        <v>Kath Bletsoe</v>
      </c>
      <c r="C21" s="24">
        <v>65700</v>
      </c>
      <c r="D21" s="24" t="str">
        <v>Average</v>
      </c>
      <c r="E21" s="51"/>
      <c r="F21" s="51"/>
      <c r="G21" s="51"/>
      <c r="H21" s="51"/>
      <c r="I21" s="51"/>
      <c r="J21" s="51"/>
      <c r="L21" s="51"/>
      <c r="M21" s="51"/>
      <c r="N21" s="51"/>
      <c r="T21" s="17" t="s">
        <v>196</v>
      </c>
      <c r="U21" s="18">
        <v>79570</v>
      </c>
      <c r="V21" s="18" t="s">
        <v>16</v>
      </c>
    </row>
    <row r="22" spans="2:22" x14ac:dyDescent="0.3">
      <c r="B22" s="24" t="str">
        <v>Mirium Seemantini Shivakumar</v>
      </c>
      <c r="C22" s="24">
        <v>56870</v>
      </c>
      <c r="D22" s="24" t="str">
        <v>Above average</v>
      </c>
      <c r="E22" s="51"/>
      <c r="F22" s="51"/>
      <c r="G22" s="51"/>
      <c r="H22" s="51"/>
      <c r="I22" s="51"/>
      <c r="J22" s="51"/>
      <c r="L22" s="51"/>
      <c r="M22" s="51"/>
      <c r="N22" s="51"/>
      <c r="T22" s="19" t="s">
        <v>153</v>
      </c>
      <c r="U22" s="20">
        <v>76900</v>
      </c>
      <c r="V22" s="20" t="s">
        <v>13</v>
      </c>
    </row>
    <row r="23" spans="2:22" x14ac:dyDescent="0.3">
      <c r="B23" s="24" t="str">
        <v>Oran Buxcy</v>
      </c>
      <c r="C23" s="24">
        <v>56870</v>
      </c>
      <c r="D23" s="24" t="str">
        <v>Above average</v>
      </c>
      <c r="E23" s="51"/>
      <c r="F23" s="51"/>
      <c r="G23" s="51"/>
      <c r="H23" s="51"/>
      <c r="I23" s="51"/>
      <c r="J23" s="51"/>
      <c r="L23" s="51"/>
      <c r="M23" s="51"/>
      <c r="N23" s="51"/>
      <c r="T23" s="17" t="s">
        <v>181</v>
      </c>
      <c r="U23" s="18">
        <v>54970</v>
      </c>
      <c r="V23" s="18" t="s">
        <v>16</v>
      </c>
    </row>
    <row r="24" spans="2:22" x14ac:dyDescent="0.3">
      <c r="B24" s="24" t="str">
        <v>Sanchali Shirish</v>
      </c>
      <c r="C24" s="24">
        <v>54970</v>
      </c>
      <c r="D24" s="24" t="str">
        <v>Average</v>
      </c>
      <c r="E24" s="51"/>
      <c r="F24" s="51"/>
      <c r="G24" s="51"/>
      <c r="H24" s="51"/>
      <c r="I24" s="51"/>
      <c r="J24" s="51"/>
      <c r="L24" s="51"/>
      <c r="M24" s="51"/>
      <c r="N24" s="51"/>
      <c r="T24" s="19" t="s">
        <v>117</v>
      </c>
      <c r="U24" s="20">
        <v>88050</v>
      </c>
      <c r="V24" s="20" t="s">
        <v>24</v>
      </c>
    </row>
    <row r="25" spans="2:22" x14ac:dyDescent="0.3">
      <c r="B25" s="24" t="str">
        <v>Alta Kaszper</v>
      </c>
      <c r="C25" s="24">
        <v>54970</v>
      </c>
      <c r="D25" s="24" t="str">
        <v>Average</v>
      </c>
      <c r="E25" s="51"/>
      <c r="F25" s="51"/>
      <c r="G25" s="51"/>
      <c r="H25" s="51"/>
      <c r="I25" s="51"/>
      <c r="J25" s="51"/>
      <c r="L25" s="51"/>
      <c r="M25" s="51"/>
      <c r="N25" s="51"/>
      <c r="T25" s="17" t="s">
        <v>191</v>
      </c>
      <c r="U25" s="18">
        <v>36040</v>
      </c>
      <c r="V25" s="18" t="s">
        <v>16</v>
      </c>
    </row>
    <row r="26" spans="2:22" x14ac:dyDescent="0.3">
      <c r="B26" s="24" t="str">
        <v>Geena Raghavanpillai</v>
      </c>
      <c r="C26" s="24">
        <v>53540</v>
      </c>
      <c r="D26" s="24" t="str">
        <v>Average</v>
      </c>
      <c r="E26" s="51"/>
      <c r="F26" s="51"/>
      <c r="G26" s="51"/>
      <c r="H26" s="51"/>
      <c r="I26" s="51"/>
      <c r="J26" s="51"/>
      <c r="L26" s="51"/>
      <c r="M26" s="51"/>
      <c r="N26" s="51"/>
      <c r="T26" s="19" t="s">
        <v>110</v>
      </c>
      <c r="U26" s="20">
        <v>75000</v>
      </c>
      <c r="V26" s="20" t="s">
        <v>10</v>
      </c>
    </row>
    <row r="27" spans="2:22" x14ac:dyDescent="0.3">
      <c r="B27" s="24" t="str">
        <v>Hoyt D'Alesco</v>
      </c>
      <c r="C27" s="24">
        <v>53540</v>
      </c>
      <c r="D27" s="24" t="str">
        <v>Average</v>
      </c>
      <c r="E27" s="51"/>
      <c r="F27" s="51"/>
      <c r="G27" s="51"/>
      <c r="H27" s="51"/>
      <c r="I27" s="51"/>
      <c r="J27" s="51"/>
      <c r="L27" s="51"/>
      <c r="M27" s="51"/>
      <c r="N27" s="51"/>
      <c r="T27" s="17" t="s">
        <v>148</v>
      </c>
      <c r="U27" s="18">
        <v>40400</v>
      </c>
      <c r="V27" s="18" t="s">
        <v>16</v>
      </c>
    </row>
    <row r="28" spans="2:22" x14ac:dyDescent="0.3">
      <c r="B28" s="24" t="str">
        <v>Anumati Shyamari Meherhomji</v>
      </c>
      <c r="C28" s="24">
        <v>53240</v>
      </c>
      <c r="D28" s="24" t="str">
        <v>Average</v>
      </c>
      <c r="E28" s="51"/>
      <c r="F28" s="51"/>
      <c r="G28" s="51"/>
      <c r="H28" s="51"/>
      <c r="I28" s="51"/>
      <c r="J28" s="51"/>
      <c r="L28" s="51"/>
      <c r="M28" s="51"/>
      <c r="N28" s="51"/>
      <c r="T28" s="19" t="s">
        <v>195</v>
      </c>
      <c r="U28" s="20">
        <v>100420</v>
      </c>
      <c r="V28" s="20" t="s">
        <v>16</v>
      </c>
    </row>
    <row r="29" spans="2:22" x14ac:dyDescent="0.3">
      <c r="B29" s="24" t="str">
        <v>Tatum Hush</v>
      </c>
      <c r="C29" s="24">
        <v>53240</v>
      </c>
      <c r="D29" s="24" t="str">
        <v>Average</v>
      </c>
      <c r="E29" s="51"/>
      <c r="F29" s="51"/>
      <c r="G29" s="51"/>
      <c r="H29" s="51"/>
      <c r="I29" s="51"/>
      <c r="J29" s="51"/>
      <c r="L29" s="51"/>
      <c r="M29" s="51"/>
      <c r="N29" s="51"/>
      <c r="T29" s="17" t="s">
        <v>119</v>
      </c>
      <c r="U29" s="18">
        <v>58100</v>
      </c>
      <c r="V29" s="18" t="s">
        <v>16</v>
      </c>
    </row>
    <row r="30" spans="2:22" x14ac:dyDescent="0.3">
      <c r="B30" s="24" t="str">
        <v>Daruka Ghazali</v>
      </c>
      <c r="C30" s="24">
        <v>49630</v>
      </c>
      <c r="D30" s="24" t="str">
        <v>Poor</v>
      </c>
      <c r="E30" s="51"/>
      <c r="F30" s="51"/>
      <c r="G30" s="51"/>
      <c r="H30" s="51"/>
      <c r="I30" s="51"/>
      <c r="J30" s="51"/>
      <c r="L30" s="51"/>
      <c r="M30" s="51"/>
      <c r="N30" s="51"/>
      <c r="T30" s="19" t="s">
        <v>113</v>
      </c>
      <c r="U30" s="20">
        <v>114870</v>
      </c>
      <c r="V30" s="20" t="s">
        <v>16</v>
      </c>
    </row>
    <row r="31" spans="2:22" x14ac:dyDescent="0.3">
      <c r="B31" s="24" t="str">
        <v>Violante Courtonne</v>
      </c>
      <c r="C31" s="24">
        <v>49630</v>
      </c>
      <c r="D31" s="24" t="str">
        <v>Poor</v>
      </c>
      <c r="E31" s="51"/>
      <c r="F31" s="51"/>
      <c r="G31" s="51"/>
      <c r="H31" s="51"/>
      <c r="I31" s="51"/>
      <c r="J31" s="51"/>
      <c r="L31" s="51"/>
      <c r="M31" s="51"/>
      <c r="N31" s="51"/>
      <c r="T31" s="17" t="s">
        <v>157</v>
      </c>
      <c r="U31" s="18">
        <v>41570</v>
      </c>
      <c r="V31" s="18" t="s">
        <v>16</v>
      </c>
    </row>
    <row r="32" spans="2:22" x14ac:dyDescent="0.3">
      <c r="B32" s="24" t="str">
        <v>Rupak Mehra</v>
      </c>
      <c r="C32" s="24">
        <v>43510</v>
      </c>
      <c r="D32" s="24" t="str">
        <v>Very poor</v>
      </c>
      <c r="E32" s="51"/>
      <c r="F32" s="51"/>
      <c r="G32" s="51"/>
      <c r="H32" s="51"/>
      <c r="I32" s="51"/>
      <c r="J32" s="51"/>
      <c r="L32" s="51"/>
      <c r="M32" s="51"/>
      <c r="N32" s="51"/>
      <c r="T32" s="19" t="s">
        <v>172</v>
      </c>
      <c r="U32" s="20">
        <v>112570</v>
      </c>
      <c r="V32" s="20" t="s">
        <v>16</v>
      </c>
    </row>
    <row r="33" spans="2:22" x14ac:dyDescent="0.3">
      <c r="B33" s="24" t="str">
        <v>Drusy MacCombe</v>
      </c>
      <c r="C33" s="24">
        <v>43510</v>
      </c>
      <c r="D33" s="24" t="str">
        <v>Very poor</v>
      </c>
      <c r="E33" s="51"/>
      <c r="F33" s="51"/>
      <c r="G33" s="51"/>
      <c r="H33" s="51"/>
      <c r="I33" s="51"/>
      <c r="J33" s="51"/>
      <c r="L33" s="51"/>
      <c r="M33" s="51"/>
      <c r="N33" s="51"/>
      <c r="T33" s="17" t="s">
        <v>150</v>
      </c>
      <c r="U33" s="18">
        <v>47360</v>
      </c>
      <c r="V33" s="18" t="s">
        <v>16</v>
      </c>
    </row>
    <row r="34" spans="2:22" x14ac:dyDescent="0.3">
      <c r="B34" s="24" t="str">
        <v>Waheeda Vasuman</v>
      </c>
      <c r="C34" s="24">
        <v>36040</v>
      </c>
      <c r="D34" s="24" t="str">
        <v>Average</v>
      </c>
      <c r="E34" s="51"/>
      <c r="F34" s="51"/>
      <c r="G34" s="51"/>
      <c r="H34" s="51"/>
      <c r="I34" s="51"/>
      <c r="J34" s="51"/>
      <c r="L34" s="51"/>
      <c r="M34" s="51"/>
      <c r="N34" s="51"/>
      <c r="T34" s="19" t="s">
        <v>125</v>
      </c>
      <c r="U34" s="20">
        <v>65920</v>
      </c>
      <c r="V34" s="20" t="s">
        <v>16</v>
      </c>
    </row>
    <row r="35" spans="2:22" x14ac:dyDescent="0.3">
      <c r="B35" s="25" t="str">
        <v>Bili Sizey</v>
      </c>
      <c r="C35" s="25">
        <v>36040</v>
      </c>
      <c r="D35" s="25" t="str">
        <v>Average</v>
      </c>
      <c r="E35" s="51"/>
      <c r="F35" s="51"/>
      <c r="G35" s="51"/>
      <c r="H35" s="51"/>
      <c r="I35" s="51"/>
      <c r="J35" s="51"/>
      <c r="L35" s="51"/>
      <c r="M35" s="51"/>
      <c r="N35" s="51"/>
      <c r="T35" s="17" t="s">
        <v>199</v>
      </c>
      <c r="U35" s="18">
        <v>99970</v>
      </c>
      <c r="V35" s="18" t="s">
        <v>16</v>
      </c>
    </row>
    <row r="36" spans="2:22" x14ac:dyDescent="0.3">
      <c r="T36" s="19" t="s">
        <v>132</v>
      </c>
      <c r="U36" s="20">
        <v>80700</v>
      </c>
      <c r="V36" s="20" t="s">
        <v>13</v>
      </c>
    </row>
    <row r="37" spans="2:22" x14ac:dyDescent="0.3">
      <c r="T37" s="17" t="s">
        <v>154</v>
      </c>
      <c r="U37" s="18">
        <v>52610</v>
      </c>
      <c r="V37" s="18" t="s">
        <v>24</v>
      </c>
    </row>
    <row r="38" spans="2:22" x14ac:dyDescent="0.3">
      <c r="T38" s="19" t="s">
        <v>179</v>
      </c>
      <c r="U38" s="20">
        <v>112110</v>
      </c>
      <c r="V38" s="20" t="s">
        <v>24</v>
      </c>
    </row>
    <row r="39" spans="2:22" x14ac:dyDescent="0.3">
      <c r="T39" s="17" t="s">
        <v>151</v>
      </c>
      <c r="U39" s="18">
        <v>119110</v>
      </c>
      <c r="V39" s="18" t="s">
        <v>16</v>
      </c>
    </row>
    <row r="40" spans="2:22" x14ac:dyDescent="0.3">
      <c r="T40" s="19" t="s">
        <v>149</v>
      </c>
      <c r="U40" s="20">
        <v>112780</v>
      </c>
      <c r="V40" s="20" t="s">
        <v>13</v>
      </c>
    </row>
    <row r="41" spans="2:22" x14ac:dyDescent="0.3">
      <c r="T41" s="17" t="s">
        <v>174</v>
      </c>
      <c r="U41" s="18">
        <v>114890</v>
      </c>
      <c r="V41" s="18" t="s">
        <v>16</v>
      </c>
    </row>
    <row r="42" spans="2:22" x14ac:dyDescent="0.3">
      <c r="T42" s="19" t="s">
        <v>145</v>
      </c>
      <c r="U42" s="20">
        <v>48980</v>
      </c>
      <c r="V42" s="20" t="s">
        <v>16</v>
      </c>
    </row>
    <row r="43" spans="2:22" x14ac:dyDescent="0.3">
      <c r="T43" s="17" t="s">
        <v>169</v>
      </c>
      <c r="U43" s="18">
        <v>75880</v>
      </c>
      <c r="V43" s="18" t="s">
        <v>16</v>
      </c>
    </row>
    <row r="44" spans="2:22" x14ac:dyDescent="0.3">
      <c r="T44" s="19" t="s">
        <v>166</v>
      </c>
      <c r="U44" s="20">
        <v>53240</v>
      </c>
      <c r="V44" s="20" t="s">
        <v>16</v>
      </c>
    </row>
    <row r="45" spans="2:22" x14ac:dyDescent="0.3">
      <c r="T45" s="17" t="s">
        <v>121</v>
      </c>
      <c r="U45" s="18">
        <v>85000</v>
      </c>
      <c r="V45" s="18" t="s">
        <v>16</v>
      </c>
    </row>
    <row r="46" spans="2:22" x14ac:dyDescent="0.3">
      <c r="T46" s="19" t="s">
        <v>178</v>
      </c>
      <c r="U46" s="20">
        <v>33920</v>
      </c>
      <c r="V46" s="20" t="s">
        <v>16</v>
      </c>
    </row>
    <row r="47" spans="2:22" x14ac:dyDescent="0.3">
      <c r="T47" s="17" t="s">
        <v>187</v>
      </c>
      <c r="U47" s="18">
        <v>75280</v>
      </c>
      <c r="V47" s="18" t="s">
        <v>16</v>
      </c>
    </row>
    <row r="48" spans="2:22" x14ac:dyDescent="0.3">
      <c r="T48" s="19" t="s">
        <v>129</v>
      </c>
      <c r="U48" s="20">
        <v>58940</v>
      </c>
      <c r="V48" s="20" t="s">
        <v>16</v>
      </c>
    </row>
    <row r="49" spans="20:22" x14ac:dyDescent="0.3">
      <c r="T49" s="17" t="s">
        <v>135</v>
      </c>
      <c r="U49" s="18">
        <v>104770</v>
      </c>
      <c r="V49" s="18" t="s">
        <v>16</v>
      </c>
    </row>
    <row r="50" spans="20:22" x14ac:dyDescent="0.3">
      <c r="T50" s="19" t="s">
        <v>124</v>
      </c>
      <c r="U50" s="20">
        <v>57090</v>
      </c>
      <c r="V50" s="20" t="s">
        <v>16</v>
      </c>
    </row>
    <row r="51" spans="20:22" x14ac:dyDescent="0.3">
      <c r="T51" s="17" t="s">
        <v>159</v>
      </c>
      <c r="U51" s="18">
        <v>91650</v>
      </c>
      <c r="V51" s="18" t="s">
        <v>13</v>
      </c>
    </row>
    <row r="52" spans="20:22" x14ac:dyDescent="0.3">
      <c r="T52" s="19" t="s">
        <v>182</v>
      </c>
      <c r="U52" s="20">
        <v>70270</v>
      </c>
      <c r="V52" s="20" t="s">
        <v>24</v>
      </c>
    </row>
    <row r="53" spans="20:22" x14ac:dyDescent="0.3">
      <c r="T53" s="17" t="s">
        <v>128</v>
      </c>
      <c r="U53" s="18">
        <v>75970</v>
      </c>
      <c r="V53" s="18" t="s">
        <v>16</v>
      </c>
    </row>
    <row r="54" spans="20:22" x14ac:dyDescent="0.3">
      <c r="T54" s="19" t="s">
        <v>111</v>
      </c>
      <c r="U54" s="20">
        <v>90700</v>
      </c>
      <c r="V54" s="20" t="s">
        <v>13</v>
      </c>
    </row>
    <row r="55" spans="20:22" x14ac:dyDescent="0.3">
      <c r="T55" s="17" t="s">
        <v>130</v>
      </c>
      <c r="U55" s="18">
        <v>60570</v>
      </c>
      <c r="V55" s="18" t="s">
        <v>16</v>
      </c>
    </row>
    <row r="56" spans="20:22" x14ac:dyDescent="0.3">
      <c r="T56" s="19" t="s">
        <v>133</v>
      </c>
      <c r="U56" s="20">
        <v>115920</v>
      </c>
      <c r="V56" s="20" t="s">
        <v>16</v>
      </c>
    </row>
    <row r="57" spans="20:22" x14ac:dyDescent="0.3">
      <c r="T57" s="17" t="s">
        <v>185</v>
      </c>
      <c r="U57" s="18">
        <v>65360</v>
      </c>
      <c r="V57" s="18" t="s">
        <v>16</v>
      </c>
    </row>
    <row r="58" spans="20:22" x14ac:dyDescent="0.3">
      <c r="T58" s="19" t="s">
        <v>115</v>
      </c>
      <c r="U58" s="20">
        <v>64000</v>
      </c>
      <c r="V58" s="20" t="s">
        <v>16</v>
      </c>
    </row>
    <row r="59" spans="20:22" x14ac:dyDescent="0.3">
      <c r="T59" s="17" t="s">
        <v>194</v>
      </c>
      <c r="U59" s="18">
        <v>92450</v>
      </c>
      <c r="V59" s="18" t="s">
        <v>16</v>
      </c>
    </row>
    <row r="60" spans="20:22" x14ac:dyDescent="0.3">
      <c r="T60" s="19" t="s">
        <v>112</v>
      </c>
      <c r="U60" s="20">
        <v>48950</v>
      </c>
      <c r="V60" s="20" t="s">
        <v>16</v>
      </c>
    </row>
    <row r="61" spans="20:22" x14ac:dyDescent="0.3">
      <c r="T61" s="17" t="s">
        <v>184</v>
      </c>
      <c r="U61" s="18">
        <v>83750</v>
      </c>
      <c r="V61" s="18" t="s">
        <v>16</v>
      </c>
    </row>
    <row r="62" spans="20:22" x14ac:dyDescent="0.3">
      <c r="T62" s="19" t="s">
        <v>165</v>
      </c>
      <c r="U62" s="20">
        <v>87620</v>
      </c>
      <c r="V62" s="20" t="s">
        <v>16</v>
      </c>
    </row>
    <row r="63" spans="20:22" x14ac:dyDescent="0.3">
      <c r="T63" s="17" t="s">
        <v>183</v>
      </c>
      <c r="U63" s="18">
        <v>68900</v>
      </c>
      <c r="V63" s="18" t="s">
        <v>24</v>
      </c>
    </row>
    <row r="64" spans="20:22" x14ac:dyDescent="0.3">
      <c r="T64" s="19" t="s">
        <v>156</v>
      </c>
      <c r="U64" s="20">
        <v>53540</v>
      </c>
      <c r="V64" s="20" t="s">
        <v>16</v>
      </c>
    </row>
    <row r="65" spans="20:22" x14ac:dyDescent="0.3">
      <c r="T65" s="17" t="s">
        <v>171</v>
      </c>
      <c r="U65" s="18">
        <v>43510</v>
      </c>
      <c r="V65" s="18" t="s">
        <v>42</v>
      </c>
    </row>
    <row r="66" spans="20:22" x14ac:dyDescent="0.3">
      <c r="T66" s="19" t="s">
        <v>126</v>
      </c>
      <c r="U66" s="20">
        <v>109160</v>
      </c>
      <c r="V66" s="20" t="s">
        <v>10</v>
      </c>
    </row>
    <row r="67" spans="20:22" x14ac:dyDescent="0.3">
      <c r="T67" s="17" t="s">
        <v>197</v>
      </c>
      <c r="U67" s="18">
        <v>99750</v>
      </c>
      <c r="V67" s="18" t="s">
        <v>16</v>
      </c>
    </row>
    <row r="68" spans="20:22" x14ac:dyDescent="0.3">
      <c r="T68" s="19" t="s">
        <v>123</v>
      </c>
      <c r="U68" s="20">
        <v>41980</v>
      </c>
      <c r="V68" s="20" t="s">
        <v>16</v>
      </c>
    </row>
    <row r="69" spans="20:22" x14ac:dyDescent="0.3">
      <c r="T69" s="17" t="s">
        <v>186</v>
      </c>
      <c r="U69" s="18">
        <v>71380</v>
      </c>
      <c r="V69" s="18" t="s">
        <v>16</v>
      </c>
    </row>
    <row r="70" spans="20:22" x14ac:dyDescent="0.3">
      <c r="T70" s="19" t="s">
        <v>190</v>
      </c>
      <c r="U70" s="20">
        <v>113280</v>
      </c>
      <c r="V70" s="20" t="s">
        <v>42</v>
      </c>
    </row>
    <row r="71" spans="20:22" x14ac:dyDescent="0.3">
      <c r="T71" s="17" t="s">
        <v>180</v>
      </c>
      <c r="U71" s="18">
        <v>86570</v>
      </c>
      <c r="V71" s="18" t="s">
        <v>16</v>
      </c>
    </row>
    <row r="72" spans="20:22" x14ac:dyDescent="0.3">
      <c r="T72" s="19" t="s">
        <v>138</v>
      </c>
      <c r="U72" s="20">
        <v>53540</v>
      </c>
      <c r="V72" s="20" t="s">
        <v>16</v>
      </c>
    </row>
    <row r="73" spans="20:22" x14ac:dyDescent="0.3">
      <c r="T73" s="17" t="s">
        <v>189</v>
      </c>
      <c r="U73" s="18">
        <v>69070</v>
      </c>
      <c r="V73" s="18" t="s">
        <v>16</v>
      </c>
    </row>
    <row r="74" spans="20:22" x14ac:dyDescent="0.3">
      <c r="T74" s="19" t="s">
        <v>120</v>
      </c>
      <c r="U74" s="20">
        <v>67910</v>
      </c>
      <c r="V74" s="20" t="s">
        <v>24</v>
      </c>
    </row>
    <row r="75" spans="20:22" x14ac:dyDescent="0.3">
      <c r="T75" s="17" t="s">
        <v>118</v>
      </c>
      <c r="U75" s="18">
        <v>69120</v>
      </c>
      <c r="V75" s="18" t="s">
        <v>16</v>
      </c>
    </row>
    <row r="76" spans="20:22" x14ac:dyDescent="0.3">
      <c r="T76" s="19" t="s">
        <v>131</v>
      </c>
      <c r="U76" s="20">
        <v>60130</v>
      </c>
      <c r="V76" s="20" t="s">
        <v>16</v>
      </c>
    </row>
    <row r="77" spans="20:22" x14ac:dyDescent="0.3">
      <c r="T77" s="17" t="s">
        <v>160</v>
      </c>
      <c r="U77" s="18">
        <v>106460</v>
      </c>
      <c r="V77" s="18" t="s">
        <v>16</v>
      </c>
    </row>
    <row r="78" spans="20:22" x14ac:dyDescent="0.3">
      <c r="T78" s="19" t="s">
        <v>147</v>
      </c>
      <c r="U78" s="20">
        <v>118100</v>
      </c>
      <c r="V78" s="20" t="s">
        <v>16</v>
      </c>
    </row>
    <row r="79" spans="20:22" x14ac:dyDescent="0.3">
      <c r="T79" s="17" t="s">
        <v>163</v>
      </c>
      <c r="U79" s="18">
        <v>78390</v>
      </c>
      <c r="V79" s="18" t="s">
        <v>16</v>
      </c>
    </row>
    <row r="80" spans="20:22" x14ac:dyDescent="0.3">
      <c r="T80" s="19" t="s">
        <v>146</v>
      </c>
      <c r="U80" s="20">
        <v>114180</v>
      </c>
      <c r="V80" s="20" t="s">
        <v>16</v>
      </c>
    </row>
    <row r="81" spans="20:22" x14ac:dyDescent="0.3">
      <c r="T81" s="17" t="s">
        <v>188</v>
      </c>
      <c r="U81" s="18">
        <v>104120</v>
      </c>
      <c r="V81" s="18" t="s">
        <v>16</v>
      </c>
    </row>
    <row r="82" spans="20:22" x14ac:dyDescent="0.3">
      <c r="T82" s="19" t="s">
        <v>137</v>
      </c>
      <c r="U82" s="20">
        <v>67950</v>
      </c>
      <c r="V82" s="20" t="s">
        <v>16</v>
      </c>
    </row>
    <row r="83" spans="20:22" x14ac:dyDescent="0.3">
      <c r="T83" s="17" t="s">
        <v>136</v>
      </c>
      <c r="U83" s="18">
        <v>34980</v>
      </c>
      <c r="V83" s="18" t="s">
        <v>16</v>
      </c>
    </row>
    <row r="84" spans="20:22" x14ac:dyDescent="0.3">
      <c r="T84" s="19" t="s">
        <v>152</v>
      </c>
      <c r="U84" s="20">
        <v>62780</v>
      </c>
      <c r="V84" s="20" t="s">
        <v>16</v>
      </c>
    </row>
    <row r="85" spans="20:22" x14ac:dyDescent="0.3">
      <c r="T85" s="17" t="s">
        <v>116</v>
      </c>
      <c r="U85" s="18">
        <v>107700</v>
      </c>
      <c r="V85" s="18" t="s">
        <v>16</v>
      </c>
    </row>
    <row r="86" spans="20:22" x14ac:dyDescent="0.3">
      <c r="T86" s="19" t="s">
        <v>167</v>
      </c>
      <c r="U86" s="20">
        <v>65700</v>
      </c>
      <c r="V86" s="20" t="s">
        <v>16</v>
      </c>
    </row>
    <row r="87" spans="20:22" x14ac:dyDescent="0.3">
      <c r="T87" s="17" t="s">
        <v>134</v>
      </c>
      <c r="U87" s="18">
        <v>75480</v>
      </c>
      <c r="V87" s="18" t="s">
        <v>42</v>
      </c>
    </row>
    <row r="88" spans="20:22" x14ac:dyDescent="0.3">
      <c r="T88" s="19" t="s">
        <v>173</v>
      </c>
      <c r="U88" s="20">
        <v>53870</v>
      </c>
      <c r="V88" s="20" t="s">
        <v>16</v>
      </c>
    </row>
    <row r="89" spans="20:22" x14ac:dyDescent="0.3">
      <c r="T89" s="17" t="s">
        <v>140</v>
      </c>
      <c r="U89" s="18">
        <v>78540</v>
      </c>
      <c r="V89" s="18" t="s">
        <v>16</v>
      </c>
    </row>
    <row r="90" spans="20:22" x14ac:dyDescent="0.3">
      <c r="T90" s="19" t="s">
        <v>192</v>
      </c>
      <c r="U90" s="20">
        <v>58960</v>
      </c>
      <c r="V90" s="20" t="s">
        <v>16</v>
      </c>
    </row>
    <row r="91" spans="20:22" x14ac:dyDescent="0.3">
      <c r="T91" s="17" t="s">
        <v>161</v>
      </c>
      <c r="U91" s="18">
        <v>70610</v>
      </c>
      <c r="V91" s="18" t="s">
        <v>16</v>
      </c>
    </row>
    <row r="92" spans="20:22" x14ac:dyDescent="0.3">
      <c r="T92" s="19" t="s">
        <v>170</v>
      </c>
      <c r="U92" s="20">
        <v>59430</v>
      </c>
      <c r="V92" s="20" t="s">
        <v>16</v>
      </c>
    </row>
    <row r="93" spans="20:22" x14ac:dyDescent="0.3">
      <c r="T93" s="17" t="s">
        <v>143</v>
      </c>
      <c r="U93" s="18">
        <v>48530</v>
      </c>
      <c r="V93" s="18" t="s">
        <v>13</v>
      </c>
    </row>
    <row r="94" spans="20:22" x14ac:dyDescent="0.3">
      <c r="T94" s="19" t="s">
        <v>162</v>
      </c>
      <c r="U94" s="20">
        <v>96140</v>
      </c>
      <c r="V94" s="20" t="s">
        <v>16</v>
      </c>
    </row>
    <row r="95" spans="20:22" x14ac:dyDescent="0.3">
      <c r="T95" s="17" t="s">
        <v>58</v>
      </c>
      <c r="U95" s="18">
        <v>112780</v>
      </c>
      <c r="V95" s="18" t="s">
        <v>13</v>
      </c>
    </row>
    <row r="96" spans="20:22" x14ac:dyDescent="0.3">
      <c r="T96" s="19" t="s">
        <v>70</v>
      </c>
      <c r="U96" s="20">
        <v>70610</v>
      </c>
      <c r="V96" s="20" t="s">
        <v>16</v>
      </c>
    </row>
    <row r="97" spans="20:22" x14ac:dyDescent="0.3">
      <c r="T97" s="17" t="s">
        <v>75</v>
      </c>
      <c r="U97" s="18">
        <v>53240</v>
      </c>
      <c r="V97" s="18" t="s">
        <v>16</v>
      </c>
    </row>
    <row r="98" spans="20:22" x14ac:dyDescent="0.3">
      <c r="T98" s="19" t="s">
        <v>49</v>
      </c>
      <c r="U98" s="20">
        <v>115440</v>
      </c>
      <c r="V98" s="20" t="s">
        <v>24</v>
      </c>
    </row>
    <row r="99" spans="20:22" x14ac:dyDescent="0.3">
      <c r="T99" s="17" t="s">
        <v>65</v>
      </c>
      <c r="U99" s="18">
        <v>53540</v>
      </c>
      <c r="V99" s="18" t="s">
        <v>16</v>
      </c>
    </row>
    <row r="100" spans="20:22" x14ac:dyDescent="0.3">
      <c r="T100" s="19" t="s">
        <v>81</v>
      </c>
      <c r="U100" s="20">
        <v>112570</v>
      </c>
      <c r="V100" s="20" t="s">
        <v>16</v>
      </c>
    </row>
    <row r="101" spans="20:22" x14ac:dyDescent="0.3">
      <c r="T101" s="17" t="s">
        <v>51</v>
      </c>
      <c r="U101" s="18">
        <v>48530</v>
      </c>
      <c r="V101" s="18" t="s">
        <v>13</v>
      </c>
    </row>
    <row r="102" spans="20:22" x14ac:dyDescent="0.3">
      <c r="T102" s="19" t="s">
        <v>61</v>
      </c>
      <c r="U102" s="20">
        <v>62780</v>
      </c>
      <c r="V102" s="20" t="s">
        <v>16</v>
      </c>
    </row>
    <row r="103" spans="20:22" x14ac:dyDescent="0.3">
      <c r="T103" s="17" t="s">
        <v>82</v>
      </c>
      <c r="U103" s="18">
        <v>53870</v>
      </c>
      <c r="V103" s="18" t="s">
        <v>16</v>
      </c>
    </row>
    <row r="104" spans="20:22" x14ac:dyDescent="0.3">
      <c r="T104" s="19" t="s">
        <v>60</v>
      </c>
      <c r="U104" s="20">
        <v>119110</v>
      </c>
      <c r="V104" s="20" t="s">
        <v>16</v>
      </c>
    </row>
    <row r="105" spans="20:22" x14ac:dyDescent="0.3">
      <c r="T105" s="17" t="s">
        <v>87</v>
      </c>
      <c r="U105" s="18">
        <v>112110</v>
      </c>
      <c r="V105" s="18" t="s">
        <v>24</v>
      </c>
    </row>
    <row r="106" spans="20:22" x14ac:dyDescent="0.3">
      <c r="T106" s="19" t="s">
        <v>76</v>
      </c>
      <c r="U106" s="20">
        <v>65700</v>
      </c>
      <c r="V106" s="20" t="s">
        <v>16</v>
      </c>
    </row>
    <row r="107" spans="20:22" x14ac:dyDescent="0.3">
      <c r="T107" s="17" t="s">
        <v>97</v>
      </c>
      <c r="U107" s="18">
        <v>69070</v>
      </c>
      <c r="V107" s="18" t="s">
        <v>16</v>
      </c>
    </row>
    <row r="108" spans="20:22" x14ac:dyDescent="0.3">
      <c r="T108" s="19" t="s">
        <v>22</v>
      </c>
      <c r="U108" s="20">
        <v>107700</v>
      </c>
      <c r="V108" s="20" t="s">
        <v>16</v>
      </c>
    </row>
    <row r="109" spans="20:22" x14ac:dyDescent="0.3">
      <c r="T109" s="17" t="s">
        <v>84</v>
      </c>
      <c r="U109" s="18">
        <v>43840</v>
      </c>
      <c r="V109" s="18" t="s">
        <v>13</v>
      </c>
    </row>
    <row r="110" spans="20:22" x14ac:dyDescent="0.3">
      <c r="T110" s="19" t="s">
        <v>105</v>
      </c>
      <c r="U110" s="20">
        <v>99750</v>
      </c>
      <c r="V110" s="20" t="s">
        <v>16</v>
      </c>
    </row>
    <row r="111" spans="20:22" x14ac:dyDescent="0.3">
      <c r="T111" s="17" t="s">
        <v>47</v>
      </c>
      <c r="U111" s="18">
        <v>37920</v>
      </c>
      <c r="V111" s="18" t="s">
        <v>16</v>
      </c>
    </row>
    <row r="112" spans="20:22" x14ac:dyDescent="0.3">
      <c r="T112" s="19" t="s">
        <v>31</v>
      </c>
      <c r="U112" s="20">
        <v>57090</v>
      </c>
      <c r="V112" s="20" t="s">
        <v>16</v>
      </c>
    </row>
    <row r="113" spans="20:22" x14ac:dyDescent="0.3">
      <c r="T113" s="17" t="s">
        <v>30</v>
      </c>
      <c r="U113" s="18">
        <v>41980</v>
      </c>
      <c r="V113" s="18" t="s">
        <v>16</v>
      </c>
    </row>
    <row r="114" spans="20:22" x14ac:dyDescent="0.3">
      <c r="T114" s="19" t="s">
        <v>78</v>
      </c>
      <c r="U114" s="20">
        <v>75880</v>
      </c>
      <c r="V114" s="20" t="s">
        <v>16</v>
      </c>
    </row>
    <row r="115" spans="20:22" x14ac:dyDescent="0.3">
      <c r="T115" s="17" t="s">
        <v>36</v>
      </c>
      <c r="U115" s="18">
        <v>58940</v>
      </c>
      <c r="V115" s="18" t="s">
        <v>16</v>
      </c>
    </row>
    <row r="116" spans="20:22" x14ac:dyDescent="0.3">
      <c r="T116" s="19" t="s">
        <v>27</v>
      </c>
      <c r="U116" s="20">
        <v>67910</v>
      </c>
      <c r="V116" s="20" t="s">
        <v>24</v>
      </c>
    </row>
    <row r="117" spans="20:22" x14ac:dyDescent="0.3">
      <c r="T117" s="17" t="s">
        <v>26</v>
      </c>
      <c r="U117" s="18">
        <v>58100</v>
      </c>
      <c r="V117" s="18" t="s">
        <v>16</v>
      </c>
    </row>
    <row r="118" spans="20:22" x14ac:dyDescent="0.3">
      <c r="T118" s="19" t="s">
        <v>53</v>
      </c>
      <c r="U118" s="20">
        <v>48980</v>
      </c>
      <c r="V118" s="20" t="s">
        <v>16</v>
      </c>
    </row>
    <row r="119" spans="20:22" x14ac:dyDescent="0.3">
      <c r="T119" s="17" t="s">
        <v>20</v>
      </c>
      <c r="U119" s="18">
        <v>64000</v>
      </c>
      <c r="V119" s="18" t="s">
        <v>16</v>
      </c>
    </row>
    <row r="120" spans="20:22" x14ac:dyDescent="0.3">
      <c r="T120" s="19" t="s">
        <v>7</v>
      </c>
      <c r="U120" s="20">
        <v>75000</v>
      </c>
      <c r="V120" s="20" t="s">
        <v>10</v>
      </c>
    </row>
    <row r="121" spans="20:22" x14ac:dyDescent="0.3">
      <c r="T121" s="17" t="s">
        <v>74</v>
      </c>
      <c r="U121" s="18">
        <v>87620</v>
      </c>
      <c r="V121" s="18" t="s">
        <v>16</v>
      </c>
    </row>
    <row r="122" spans="20:22" x14ac:dyDescent="0.3">
      <c r="T122" s="19" t="s">
        <v>44</v>
      </c>
      <c r="U122" s="20">
        <v>34980</v>
      </c>
      <c r="V122" s="20" t="s">
        <v>16</v>
      </c>
    </row>
    <row r="123" spans="20:22" x14ac:dyDescent="0.3">
      <c r="T123" s="17" t="s">
        <v>35</v>
      </c>
      <c r="U123" s="18">
        <v>75970</v>
      </c>
      <c r="V123" s="18" t="s">
        <v>16</v>
      </c>
    </row>
    <row r="124" spans="20:22" x14ac:dyDescent="0.3">
      <c r="T124" s="19" t="s">
        <v>38</v>
      </c>
      <c r="U124" s="20">
        <v>60130</v>
      </c>
      <c r="V124" s="20" t="s">
        <v>16</v>
      </c>
    </row>
    <row r="125" spans="20:22" x14ac:dyDescent="0.3">
      <c r="T125" s="17" t="s">
        <v>41</v>
      </c>
      <c r="U125" s="18">
        <v>75480</v>
      </c>
      <c r="V125" s="18" t="s">
        <v>42</v>
      </c>
    </row>
    <row r="126" spans="20:22" x14ac:dyDescent="0.3">
      <c r="T126" s="19" t="s">
        <v>40</v>
      </c>
      <c r="U126" s="20">
        <v>115920</v>
      </c>
      <c r="V126" s="20" t="s">
        <v>16</v>
      </c>
    </row>
    <row r="127" spans="20:22" x14ac:dyDescent="0.3">
      <c r="T127" s="17" t="s">
        <v>48</v>
      </c>
      <c r="U127" s="18">
        <v>78540</v>
      </c>
      <c r="V127" s="18" t="s">
        <v>16</v>
      </c>
    </row>
    <row r="128" spans="20:22" x14ac:dyDescent="0.3">
      <c r="T128" s="19" t="s">
        <v>34</v>
      </c>
      <c r="U128" s="20">
        <v>109190</v>
      </c>
      <c r="V128" s="20" t="s">
        <v>13</v>
      </c>
    </row>
    <row r="129" spans="20:22" x14ac:dyDescent="0.3">
      <c r="T129" s="17" t="s">
        <v>73</v>
      </c>
      <c r="U129" s="18">
        <v>49630</v>
      </c>
      <c r="V129" s="18" t="s">
        <v>24</v>
      </c>
    </row>
    <row r="130" spans="20:22" x14ac:dyDescent="0.3">
      <c r="T130" s="19" t="s">
        <v>107</v>
      </c>
      <c r="U130" s="20">
        <v>99970</v>
      </c>
      <c r="V130" s="20" t="s">
        <v>16</v>
      </c>
    </row>
    <row r="131" spans="20:22" x14ac:dyDescent="0.3">
      <c r="T131" s="17" t="s">
        <v>71</v>
      </c>
      <c r="U131" s="18">
        <v>96140</v>
      </c>
      <c r="V131" s="18" t="s">
        <v>16</v>
      </c>
    </row>
    <row r="132" spans="20:22" x14ac:dyDescent="0.3">
      <c r="T132" s="19" t="s">
        <v>50</v>
      </c>
      <c r="U132" s="20">
        <v>103550</v>
      </c>
      <c r="V132" s="20" t="s">
        <v>16</v>
      </c>
    </row>
    <row r="133" spans="20:22" x14ac:dyDescent="0.3">
      <c r="T133" s="17" t="s">
        <v>14</v>
      </c>
      <c r="U133" s="18">
        <v>48950</v>
      </c>
      <c r="V133" s="18" t="s">
        <v>16</v>
      </c>
    </row>
    <row r="134" spans="20:22" x14ac:dyDescent="0.3">
      <c r="T134" s="19" t="s">
        <v>63</v>
      </c>
      <c r="U134" s="20">
        <v>52610</v>
      </c>
      <c r="V134" s="20" t="s">
        <v>24</v>
      </c>
    </row>
    <row r="135" spans="20:22" x14ac:dyDescent="0.3">
      <c r="T135" s="17" t="s">
        <v>72</v>
      </c>
      <c r="U135" s="18">
        <v>78390</v>
      </c>
      <c r="V135" s="18" t="s">
        <v>16</v>
      </c>
    </row>
    <row r="136" spans="20:22" x14ac:dyDescent="0.3">
      <c r="T136" s="19" t="s">
        <v>88</v>
      </c>
      <c r="U136" s="20">
        <v>86570</v>
      </c>
      <c r="V136" s="20" t="s">
        <v>16</v>
      </c>
    </row>
    <row r="137" spans="20:22" x14ac:dyDescent="0.3">
      <c r="T137" s="17" t="s">
        <v>92</v>
      </c>
      <c r="U137" s="18">
        <v>83750</v>
      </c>
      <c r="V137" s="18" t="s">
        <v>16</v>
      </c>
    </row>
    <row r="138" spans="20:22" x14ac:dyDescent="0.3">
      <c r="T138" s="19" t="s">
        <v>102</v>
      </c>
      <c r="U138" s="20">
        <v>92450</v>
      </c>
      <c r="V138" s="20" t="s">
        <v>16</v>
      </c>
    </row>
    <row r="139" spans="20:22" x14ac:dyDescent="0.3">
      <c r="T139" s="17" t="s">
        <v>64</v>
      </c>
      <c r="U139" s="18">
        <v>112650</v>
      </c>
      <c r="V139" s="18" t="s">
        <v>16</v>
      </c>
    </row>
    <row r="140" spans="20:22" x14ac:dyDescent="0.3">
      <c r="T140" s="19" t="s">
        <v>104</v>
      </c>
      <c r="U140" s="20">
        <v>79570</v>
      </c>
      <c r="V140" s="20" t="s">
        <v>16</v>
      </c>
    </row>
    <row r="141" spans="20:22" x14ac:dyDescent="0.3">
      <c r="T141" s="17" t="s">
        <v>91</v>
      </c>
      <c r="U141" s="18">
        <v>68900</v>
      </c>
      <c r="V141" s="18" t="s">
        <v>24</v>
      </c>
    </row>
    <row r="142" spans="20:22" x14ac:dyDescent="0.3">
      <c r="T142" s="19" t="s">
        <v>39</v>
      </c>
      <c r="U142" s="20">
        <v>80700</v>
      </c>
      <c r="V142" s="20" t="s">
        <v>13</v>
      </c>
    </row>
    <row r="143" spans="20:22" x14ac:dyDescent="0.3">
      <c r="T143" s="17" t="s">
        <v>100</v>
      </c>
      <c r="U143" s="18">
        <v>58960</v>
      </c>
      <c r="V143" s="18" t="s">
        <v>16</v>
      </c>
    </row>
    <row r="144" spans="20:22" x14ac:dyDescent="0.3">
      <c r="T144" s="19" t="s">
        <v>106</v>
      </c>
      <c r="U144" s="20">
        <v>118840</v>
      </c>
      <c r="V144" s="20" t="s">
        <v>16</v>
      </c>
    </row>
    <row r="145" spans="20:22" x14ac:dyDescent="0.3">
      <c r="T145" s="17" t="s">
        <v>29</v>
      </c>
      <c r="U145" s="18">
        <v>48170</v>
      </c>
      <c r="V145" s="18" t="s">
        <v>13</v>
      </c>
    </row>
    <row r="146" spans="20:22" x14ac:dyDescent="0.3">
      <c r="T146" s="19" t="s">
        <v>108</v>
      </c>
      <c r="U146" s="20">
        <v>45510</v>
      </c>
      <c r="V146" s="20" t="s">
        <v>16</v>
      </c>
    </row>
    <row r="147" spans="20:22" x14ac:dyDescent="0.3">
      <c r="T147" s="17" t="s">
        <v>83</v>
      </c>
      <c r="U147" s="18">
        <v>114890</v>
      </c>
      <c r="V147" s="18" t="s">
        <v>16</v>
      </c>
    </row>
    <row r="148" spans="20:22" x14ac:dyDescent="0.3">
      <c r="T148" s="19" t="s">
        <v>67</v>
      </c>
      <c r="U148" s="20">
        <v>69710</v>
      </c>
      <c r="V148" s="20" t="s">
        <v>16</v>
      </c>
    </row>
    <row r="149" spans="20:22" x14ac:dyDescent="0.3">
      <c r="T149" s="17" t="s">
        <v>94</v>
      </c>
      <c r="U149" s="18">
        <v>71380</v>
      </c>
      <c r="V149" s="18" t="s">
        <v>16</v>
      </c>
    </row>
    <row r="150" spans="20:22" x14ac:dyDescent="0.3">
      <c r="T150" s="19" t="s">
        <v>33</v>
      </c>
      <c r="U150" s="20">
        <v>109160</v>
      </c>
      <c r="V150" s="20" t="s">
        <v>10</v>
      </c>
    </row>
    <row r="151" spans="20:22" x14ac:dyDescent="0.3">
      <c r="T151" s="17" t="s">
        <v>98</v>
      </c>
      <c r="U151" s="18">
        <v>113280</v>
      </c>
      <c r="V151" s="18" t="s">
        <v>42</v>
      </c>
    </row>
    <row r="152" spans="20:22" x14ac:dyDescent="0.3">
      <c r="T152" s="19" t="s">
        <v>25</v>
      </c>
      <c r="U152" s="20">
        <v>69120</v>
      </c>
      <c r="V152" s="20" t="s">
        <v>16</v>
      </c>
    </row>
    <row r="153" spans="20:22" x14ac:dyDescent="0.3">
      <c r="T153" s="17" t="s">
        <v>55</v>
      </c>
      <c r="U153" s="18">
        <v>118100</v>
      </c>
      <c r="V153" s="18" t="s">
        <v>16</v>
      </c>
    </row>
    <row r="154" spans="20:22" x14ac:dyDescent="0.3">
      <c r="T154" s="19" t="s">
        <v>62</v>
      </c>
      <c r="U154" s="20">
        <v>76900</v>
      </c>
      <c r="V154" s="20" t="s">
        <v>13</v>
      </c>
    </row>
    <row r="155" spans="20:22" x14ac:dyDescent="0.3">
      <c r="T155" s="17" t="s">
        <v>17</v>
      </c>
      <c r="U155" s="18">
        <v>114870</v>
      </c>
      <c r="V155" s="18" t="s">
        <v>16</v>
      </c>
    </row>
    <row r="156" spans="20:22" x14ac:dyDescent="0.3">
      <c r="T156" s="19" t="s">
        <v>52</v>
      </c>
      <c r="U156" s="20">
        <v>91310</v>
      </c>
      <c r="V156" s="20" t="s">
        <v>16</v>
      </c>
    </row>
    <row r="157" spans="20:22" x14ac:dyDescent="0.3">
      <c r="T157" s="17" t="s">
        <v>43</v>
      </c>
      <c r="U157" s="18">
        <v>104770</v>
      </c>
      <c r="V157" s="18" t="s">
        <v>16</v>
      </c>
    </row>
    <row r="158" spans="20:22" x14ac:dyDescent="0.3">
      <c r="T158" s="19" t="s">
        <v>89</v>
      </c>
      <c r="U158" s="20">
        <v>54970</v>
      </c>
      <c r="V158" s="20" t="s">
        <v>16</v>
      </c>
    </row>
    <row r="159" spans="20:22" x14ac:dyDescent="0.3">
      <c r="T159" s="17" t="s">
        <v>11</v>
      </c>
      <c r="U159" s="18">
        <v>90700</v>
      </c>
      <c r="V159" s="18" t="s">
        <v>13</v>
      </c>
    </row>
    <row r="160" spans="20:22" x14ac:dyDescent="0.3">
      <c r="T160" s="19" t="s">
        <v>109</v>
      </c>
      <c r="U160" s="20">
        <v>56870</v>
      </c>
      <c r="V160" s="20" t="s">
        <v>13</v>
      </c>
    </row>
    <row r="161" spans="20:22" x14ac:dyDescent="0.3">
      <c r="T161" s="17" t="s">
        <v>77</v>
      </c>
      <c r="U161" s="18">
        <v>92700</v>
      </c>
      <c r="V161" s="18" t="s">
        <v>16</v>
      </c>
    </row>
    <row r="162" spans="20:22" x14ac:dyDescent="0.3">
      <c r="T162" s="19" t="s">
        <v>32</v>
      </c>
      <c r="U162" s="20">
        <v>65920</v>
      </c>
      <c r="V162" s="20" t="s">
        <v>16</v>
      </c>
    </row>
    <row r="163" spans="20:22" x14ac:dyDescent="0.3">
      <c r="T163" s="17" t="s">
        <v>59</v>
      </c>
      <c r="U163" s="18">
        <v>47360</v>
      </c>
      <c r="V163" s="18" t="s">
        <v>16</v>
      </c>
    </row>
    <row r="164" spans="20:22" x14ac:dyDescent="0.3">
      <c r="T164" s="19" t="s">
        <v>37</v>
      </c>
      <c r="U164" s="20">
        <v>60570</v>
      </c>
      <c r="V164" s="20" t="s">
        <v>16</v>
      </c>
    </row>
    <row r="165" spans="20:22" x14ac:dyDescent="0.3">
      <c r="T165" s="17" t="s">
        <v>96</v>
      </c>
      <c r="U165" s="18">
        <v>104120</v>
      </c>
      <c r="V165" s="18" t="s">
        <v>16</v>
      </c>
    </row>
    <row r="166" spans="20:22" x14ac:dyDescent="0.3">
      <c r="T166" s="19" t="s">
        <v>23</v>
      </c>
      <c r="U166" s="20">
        <v>88050</v>
      </c>
      <c r="V166" s="20" t="s">
        <v>24</v>
      </c>
    </row>
    <row r="167" spans="20:22" x14ac:dyDescent="0.3">
      <c r="T167" s="17" t="s">
        <v>103</v>
      </c>
      <c r="U167" s="18">
        <v>100420</v>
      </c>
      <c r="V167" s="18" t="s">
        <v>16</v>
      </c>
    </row>
    <row r="168" spans="20:22" x14ac:dyDescent="0.3">
      <c r="T168" s="19" t="s">
        <v>54</v>
      </c>
      <c r="U168" s="20">
        <v>114180</v>
      </c>
      <c r="V168" s="20" t="s">
        <v>16</v>
      </c>
    </row>
    <row r="169" spans="20:22" x14ac:dyDescent="0.3">
      <c r="T169" s="17" t="s">
        <v>86</v>
      </c>
      <c r="U169" s="18">
        <v>33920</v>
      </c>
      <c r="V169" s="18" t="s">
        <v>16</v>
      </c>
    </row>
    <row r="170" spans="20:22" x14ac:dyDescent="0.3">
      <c r="T170" s="19" t="s">
        <v>69</v>
      </c>
      <c r="U170" s="20">
        <v>106460</v>
      </c>
      <c r="V170" s="20" t="s">
        <v>16</v>
      </c>
    </row>
    <row r="171" spans="20:22" x14ac:dyDescent="0.3">
      <c r="T171" s="17" t="s">
        <v>57</v>
      </c>
      <c r="U171" s="18">
        <v>40400</v>
      </c>
      <c r="V171" s="18" t="s">
        <v>16</v>
      </c>
    </row>
    <row r="172" spans="20:22" x14ac:dyDescent="0.3">
      <c r="T172" s="19" t="s">
        <v>68</v>
      </c>
      <c r="U172" s="20">
        <v>91650</v>
      </c>
      <c r="V172" s="20" t="s">
        <v>13</v>
      </c>
    </row>
    <row r="173" spans="20:22" x14ac:dyDescent="0.3">
      <c r="T173" s="17" t="s">
        <v>99</v>
      </c>
      <c r="U173" s="18">
        <v>36040</v>
      </c>
      <c r="V173" s="18" t="s">
        <v>16</v>
      </c>
    </row>
    <row r="174" spans="20:22" x14ac:dyDescent="0.3">
      <c r="T174" s="19" t="s">
        <v>101</v>
      </c>
      <c r="U174" s="20">
        <v>104410</v>
      </c>
      <c r="V174" s="20" t="s">
        <v>16</v>
      </c>
    </row>
    <row r="175" spans="20:22" x14ac:dyDescent="0.3">
      <c r="T175" s="17" t="s">
        <v>85</v>
      </c>
      <c r="U175" s="18">
        <v>96800</v>
      </c>
      <c r="V175" s="18" t="s">
        <v>16</v>
      </c>
    </row>
    <row r="176" spans="20:22" x14ac:dyDescent="0.3">
      <c r="T176" s="19" t="s">
        <v>28</v>
      </c>
      <c r="U176" s="20">
        <v>85000</v>
      </c>
      <c r="V176" s="20" t="s">
        <v>16</v>
      </c>
    </row>
    <row r="177" spans="20:22" x14ac:dyDescent="0.3">
      <c r="T177" s="17" t="s">
        <v>80</v>
      </c>
      <c r="U177" s="18">
        <v>43510</v>
      </c>
      <c r="V177" s="18" t="s">
        <v>42</v>
      </c>
    </row>
    <row r="178" spans="20:22" x14ac:dyDescent="0.3">
      <c r="T178" s="19" t="s">
        <v>79</v>
      </c>
      <c r="U178" s="20">
        <v>59430</v>
      </c>
      <c r="V178" s="20" t="s">
        <v>16</v>
      </c>
    </row>
    <row r="179" spans="20:22" x14ac:dyDescent="0.3">
      <c r="T179" s="17" t="s">
        <v>93</v>
      </c>
      <c r="U179" s="18">
        <v>65360</v>
      </c>
      <c r="V179" s="18" t="s">
        <v>16</v>
      </c>
    </row>
    <row r="180" spans="20:22" x14ac:dyDescent="0.3">
      <c r="T180" s="19" t="s">
        <v>66</v>
      </c>
      <c r="U180" s="20">
        <v>41570</v>
      </c>
      <c r="V180" s="20" t="s">
        <v>16</v>
      </c>
    </row>
    <row r="181" spans="20:22" x14ac:dyDescent="0.3">
      <c r="T181" s="17" t="s">
        <v>95</v>
      </c>
      <c r="U181" s="18">
        <v>75280</v>
      </c>
      <c r="V181" s="18" t="s">
        <v>16</v>
      </c>
    </row>
    <row r="182" spans="20:22" x14ac:dyDescent="0.3">
      <c r="T182" s="19" t="s">
        <v>18</v>
      </c>
      <c r="U182" s="20">
        <v>74550</v>
      </c>
      <c r="V182" s="20" t="s">
        <v>16</v>
      </c>
    </row>
    <row r="183" spans="20:22" x14ac:dyDescent="0.3">
      <c r="T183" s="17" t="s">
        <v>45</v>
      </c>
      <c r="U183" s="18">
        <v>67950</v>
      </c>
      <c r="V183" s="18" t="s">
        <v>16</v>
      </c>
    </row>
    <row r="184" spans="20:22" x14ac:dyDescent="0.3">
      <c r="T184" s="19" t="s">
        <v>90</v>
      </c>
      <c r="U184" s="20">
        <v>70270</v>
      </c>
      <c r="V184" s="20" t="s">
        <v>24</v>
      </c>
    </row>
    <row r="185" spans="20:22" x14ac:dyDescent="0.3">
      <c r="T185" s="21" t="s">
        <v>46</v>
      </c>
      <c r="U185" s="22">
        <v>53540</v>
      </c>
      <c r="V185" s="22" t="s">
        <v>16</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B72F-48A5-48F4-AF05-1C4539B72B3F}">
  <dimension ref="B2:E12"/>
  <sheetViews>
    <sheetView workbookViewId="0">
      <selection activeCell="E4" sqref="E4"/>
    </sheetView>
  </sheetViews>
  <sheetFormatPr defaultRowHeight="14.4" x14ac:dyDescent="0.3"/>
  <cols>
    <col min="3" max="3" width="16" bestFit="1" customWidth="1"/>
    <col min="4" max="4" width="15.5546875" bestFit="1" customWidth="1"/>
    <col min="5" max="5" width="7.44140625" bestFit="1" customWidth="1"/>
    <col min="6" max="6" width="10.77734375" bestFit="1" customWidth="1"/>
    <col min="7" max="7" width="12" bestFit="1" customWidth="1"/>
    <col min="8" max="8" width="15.5546875" bestFit="1" customWidth="1"/>
    <col min="9" max="10" width="18.6640625" bestFit="1" customWidth="1"/>
    <col min="11" max="23" width="3" bestFit="1" customWidth="1"/>
    <col min="24" max="24" width="7.21875" bestFit="1" customWidth="1"/>
    <col min="25" max="46" width="3" bestFit="1" customWidth="1"/>
    <col min="47" max="47" width="7.77734375" bestFit="1" customWidth="1"/>
    <col min="48" max="51" width="3" bestFit="1" customWidth="1"/>
    <col min="52" max="52" width="10.77734375" bestFit="1" customWidth="1"/>
  </cols>
  <sheetData>
    <row r="2" spans="2:5" ht="18" x14ac:dyDescent="0.35">
      <c r="B2" s="11">
        <v>4</v>
      </c>
      <c r="C2" s="48" t="s">
        <v>221</v>
      </c>
    </row>
    <row r="7" spans="2:5" x14ac:dyDescent="0.3">
      <c r="D7" s="26" t="s">
        <v>222</v>
      </c>
    </row>
    <row r="8" spans="2:5" x14ac:dyDescent="0.3">
      <c r="C8" s="26" t="s">
        <v>225</v>
      </c>
      <c r="D8" t="s">
        <v>8</v>
      </c>
      <c r="E8" t="s">
        <v>15</v>
      </c>
    </row>
    <row r="9" spans="2:5" x14ac:dyDescent="0.3">
      <c r="C9" s="27" t="s">
        <v>223</v>
      </c>
      <c r="D9">
        <v>43</v>
      </c>
      <c r="E9">
        <v>45</v>
      </c>
    </row>
    <row r="10" spans="2:5" x14ac:dyDescent="0.3">
      <c r="C10" s="27" t="s">
        <v>224</v>
      </c>
      <c r="D10" s="28">
        <v>31.418604651162791</v>
      </c>
      <c r="E10" s="28">
        <v>29.444444444444443</v>
      </c>
    </row>
    <row r="11" spans="2:5" x14ac:dyDescent="0.3">
      <c r="C11" s="27" t="s">
        <v>226</v>
      </c>
      <c r="D11" s="29">
        <v>78284.186046511633</v>
      </c>
      <c r="E11" s="29">
        <v>75334.444444444438</v>
      </c>
    </row>
    <row r="12" spans="2:5" x14ac:dyDescent="0.3">
      <c r="C12" s="27" t="s">
        <v>227</v>
      </c>
      <c r="D12" s="28">
        <v>2.0009557183816504</v>
      </c>
      <c r="E12" s="28">
        <v>1.9839878234398773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10639-50CA-4A83-AACA-7C37832A6EB3}">
  <dimension ref="A1"/>
  <sheetViews>
    <sheetView workbookViewId="0">
      <selection activeCell="U9" sqref="U9"/>
    </sheetView>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5A783-2870-4A12-BBE9-9CAA72FF1412}">
  <dimension ref="B2:D16"/>
  <sheetViews>
    <sheetView zoomScale="130" zoomScaleNormal="130" workbookViewId="0">
      <selection activeCell="C3" sqref="C3"/>
    </sheetView>
  </sheetViews>
  <sheetFormatPr defaultRowHeight="14.4" x14ac:dyDescent="0.3"/>
  <cols>
    <col min="1" max="1" width="13.109375" bestFit="1" customWidth="1"/>
    <col min="2" max="2" width="13.33203125" bestFit="1" customWidth="1"/>
    <col min="3" max="3" width="13.88671875" bestFit="1" customWidth="1"/>
    <col min="4" max="4" width="15.77734375" bestFit="1" customWidth="1"/>
  </cols>
  <sheetData>
    <row r="2" spans="2:4" x14ac:dyDescent="0.3">
      <c r="B2" s="26" t="s">
        <v>229</v>
      </c>
      <c r="C2" t="s">
        <v>223</v>
      </c>
      <c r="D2" t="s">
        <v>226</v>
      </c>
    </row>
    <row r="3" spans="2:4" x14ac:dyDescent="0.3">
      <c r="B3" s="27" t="s">
        <v>10</v>
      </c>
      <c r="C3">
        <v>4</v>
      </c>
      <c r="D3" s="29">
        <v>92080</v>
      </c>
    </row>
    <row r="4" spans="2:4" x14ac:dyDescent="0.3">
      <c r="B4" s="27" t="s">
        <v>13</v>
      </c>
      <c r="C4">
        <v>20</v>
      </c>
      <c r="D4" s="29">
        <v>75933</v>
      </c>
    </row>
    <row r="5" spans="2:4" x14ac:dyDescent="0.3">
      <c r="B5" s="27" t="s">
        <v>16</v>
      </c>
      <c r="C5">
        <v>137</v>
      </c>
      <c r="D5" s="29">
        <v>76798.759124087592</v>
      </c>
    </row>
    <row r="6" spans="2:4" x14ac:dyDescent="0.3">
      <c r="B6" s="27" t="s">
        <v>24</v>
      </c>
      <c r="C6">
        <v>16</v>
      </c>
      <c r="D6" s="29">
        <v>78115</v>
      </c>
    </row>
    <row r="7" spans="2:4" x14ac:dyDescent="0.3">
      <c r="B7" s="27" t="s">
        <v>42</v>
      </c>
      <c r="C7">
        <v>6</v>
      </c>
      <c r="D7" s="29">
        <v>77423.333333333328</v>
      </c>
    </row>
    <row r="8" spans="2:4" x14ac:dyDescent="0.3">
      <c r="B8" s="27" t="s">
        <v>230</v>
      </c>
      <c r="C8">
        <v>183</v>
      </c>
      <c r="D8" s="29">
        <v>77173.715846994543</v>
      </c>
    </row>
    <row r="12" spans="2:4" x14ac:dyDescent="0.3">
      <c r="B12" s="14" t="s">
        <v>10</v>
      </c>
      <c r="C12" s="13">
        <v>5</v>
      </c>
    </row>
    <row r="13" spans="2:4" x14ac:dyDescent="0.3">
      <c r="B13" s="14" t="s">
        <v>13</v>
      </c>
      <c r="C13" s="13">
        <v>4</v>
      </c>
    </row>
    <row r="14" spans="2:4" x14ac:dyDescent="0.3">
      <c r="B14" s="14" t="s">
        <v>16</v>
      </c>
      <c r="C14" s="13">
        <v>3</v>
      </c>
    </row>
    <row r="15" spans="2:4" x14ac:dyDescent="0.3">
      <c r="B15" s="14" t="s">
        <v>24</v>
      </c>
      <c r="C15" s="13">
        <v>2</v>
      </c>
    </row>
    <row r="16" spans="2:4" x14ac:dyDescent="0.3">
      <c r="B16" s="14" t="s">
        <v>42</v>
      </c>
      <c r="C16" s="13">
        <v>1</v>
      </c>
    </row>
  </sheetData>
  <conditionalFormatting pivot="1" sqref="D3:D7">
    <cfRule type="dataBar" priority="1">
      <dataBar>
        <cfvo type="min"/>
        <cfvo type="max"/>
        <color rgb="FF638EC6"/>
      </dataBar>
      <extLst>
        <ext xmlns:x14="http://schemas.microsoft.com/office/spreadsheetml/2009/9/main" uri="{B025F937-C7B1-47D3-B67F-A62EFF666E3E}">
          <x14:id>{2055E50D-BD70-41F2-90D6-FD6B23CEA21D}</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2055E50D-BD70-41F2-90D6-FD6B23CEA21D}">
            <x14:dataBar minLength="0" maxLength="100" border="1" negativeBarBorderColorSameAsPositive="0">
              <x14:cfvo type="autoMin"/>
              <x14:cfvo type="autoMax"/>
              <x14:borderColor rgb="FF638EC6"/>
              <x14:negativeFillColor rgb="FFFF0000"/>
              <x14:negativeBorderColor rgb="FFFF0000"/>
              <x14:axisColor rgb="FF000000"/>
            </x14:dataBar>
          </x14:cfRule>
          <xm:sqref>D3:D7</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40F61-C898-4B23-BA7C-C052D05F3385}">
  <dimension ref="B3:S40"/>
  <sheetViews>
    <sheetView topLeftCell="C1" zoomScale="110" zoomScaleNormal="110" workbookViewId="0">
      <selection activeCell="O8" sqref="O8"/>
    </sheetView>
  </sheetViews>
  <sheetFormatPr defaultRowHeight="14.4" x14ac:dyDescent="0.3"/>
  <cols>
    <col min="2" max="2" width="12.5546875" bestFit="1" customWidth="1"/>
    <col min="3" max="3" width="13.88671875" bestFit="1" customWidth="1"/>
    <col min="4" max="4" width="18.77734375" bestFit="1" customWidth="1"/>
    <col min="17" max="17" width="15.44140625" customWidth="1"/>
    <col min="18" max="18" width="11" customWidth="1"/>
    <col min="19" max="19" width="12.77734375" bestFit="1" customWidth="1"/>
  </cols>
  <sheetData>
    <row r="3" spans="2:19" x14ac:dyDescent="0.3">
      <c r="B3" s="26" t="s">
        <v>229</v>
      </c>
      <c r="C3" t="s">
        <v>223</v>
      </c>
      <c r="P3" s="13"/>
      <c r="Q3" s="13" t="s">
        <v>248</v>
      </c>
      <c r="R3" s="13" t="s">
        <v>249</v>
      </c>
      <c r="S3" s="13" t="s">
        <v>250</v>
      </c>
    </row>
    <row r="4" spans="2:19" x14ac:dyDescent="0.3">
      <c r="B4" s="27" t="s">
        <v>232</v>
      </c>
      <c r="P4" s="24" cm="1">
        <f t="array" ref="P4:P39">_xlfn.SEQUENCE(36)</f>
        <v>1</v>
      </c>
      <c r="Q4" s="52" cm="1">
        <f t="array" ref="Q4:Q39">EDATE(DATE(2020,4,1),_xlfn.ANCHORARRAY(P4)+0)</f>
        <v>43952</v>
      </c>
      <c r="R4" s="24">
        <f>COUNTIFS(staff_data[Date Joined],"&gt;="&amp;Q4,staff_data[Date Joined],"&lt;="&amp;EOMONTH(Q4,0))</f>
        <v>3</v>
      </c>
      <c r="S4" s="24">
        <f>SUM($R$4:R4)</f>
        <v>3</v>
      </c>
    </row>
    <row r="5" spans="2:19" x14ac:dyDescent="0.3">
      <c r="B5" s="34" t="s">
        <v>233</v>
      </c>
      <c r="C5">
        <v>3</v>
      </c>
      <c r="P5" s="24">
        <v>2</v>
      </c>
      <c r="Q5" s="52">
        <v>43983</v>
      </c>
      <c r="R5" s="24">
        <f>COUNTIFS(staff_data[Date Joined],"&gt;="&amp;Q5,staff_data[Date Joined],"&lt;="&amp;EOMONTH(Q5,0))</f>
        <v>1</v>
      </c>
      <c r="S5" s="24">
        <f>SUM($R$4:R5)</f>
        <v>4</v>
      </c>
    </row>
    <row r="6" spans="2:19" x14ac:dyDescent="0.3">
      <c r="B6" s="34" t="s">
        <v>234</v>
      </c>
      <c r="C6">
        <v>1</v>
      </c>
      <c r="P6" s="24">
        <v>3</v>
      </c>
      <c r="Q6" s="52">
        <v>44013</v>
      </c>
      <c r="R6" s="24">
        <f>COUNTIFS(staff_data[Date Joined],"&gt;="&amp;Q6,staff_data[Date Joined],"&lt;="&amp;EOMONTH(Q6,0))</f>
        <v>5</v>
      </c>
      <c r="S6" s="24">
        <f>SUM($R$4:R6)</f>
        <v>9</v>
      </c>
    </row>
    <row r="7" spans="2:19" x14ac:dyDescent="0.3">
      <c r="B7" s="34" t="s">
        <v>235</v>
      </c>
      <c r="C7">
        <v>5</v>
      </c>
      <c r="P7" s="24">
        <v>4</v>
      </c>
      <c r="Q7" s="52">
        <v>44044</v>
      </c>
      <c r="R7" s="24">
        <f>COUNTIFS(staff_data[Date Joined],"&gt;="&amp;Q7,staff_data[Date Joined],"&lt;="&amp;EOMONTH(Q7,0))</f>
        <v>3</v>
      </c>
      <c r="S7" s="24">
        <f>SUM($R$4:R7)</f>
        <v>12</v>
      </c>
    </row>
    <row r="8" spans="2:19" x14ac:dyDescent="0.3">
      <c r="B8" s="34" t="s">
        <v>236</v>
      </c>
      <c r="C8">
        <v>3</v>
      </c>
      <c r="P8" s="24">
        <v>5</v>
      </c>
      <c r="Q8" s="52">
        <v>44075</v>
      </c>
      <c r="R8" s="24">
        <f>COUNTIFS(staff_data[Date Joined],"&gt;="&amp;Q8,staff_data[Date Joined],"&lt;="&amp;EOMONTH(Q8,0))</f>
        <v>6</v>
      </c>
      <c r="S8" s="24">
        <f>SUM($R$4:R8)</f>
        <v>18</v>
      </c>
    </row>
    <row r="9" spans="2:19" x14ac:dyDescent="0.3">
      <c r="B9" s="34" t="s">
        <v>237</v>
      </c>
      <c r="C9">
        <v>6</v>
      </c>
      <c r="P9" s="24">
        <v>6</v>
      </c>
      <c r="Q9" s="52">
        <v>44105</v>
      </c>
      <c r="R9" s="24">
        <f>COUNTIFS(staff_data[Date Joined],"&gt;="&amp;Q9,staff_data[Date Joined],"&lt;="&amp;EOMONTH(Q9,0))</f>
        <v>6</v>
      </c>
      <c r="S9" s="24">
        <f>SUM($R$4:R9)</f>
        <v>24</v>
      </c>
    </row>
    <row r="10" spans="2:19" x14ac:dyDescent="0.3">
      <c r="B10" s="34" t="s">
        <v>238</v>
      </c>
      <c r="C10">
        <v>6</v>
      </c>
      <c r="P10" s="24">
        <v>7</v>
      </c>
      <c r="Q10" s="52">
        <v>44136</v>
      </c>
      <c r="R10" s="24">
        <f>COUNTIFS(staff_data[Date Joined],"&gt;="&amp;Q10,staff_data[Date Joined],"&lt;="&amp;EOMONTH(Q10,0))</f>
        <v>6</v>
      </c>
      <c r="S10" s="24">
        <f>SUM($R$4:R10)</f>
        <v>30</v>
      </c>
    </row>
    <row r="11" spans="2:19" x14ac:dyDescent="0.3">
      <c r="B11" s="34" t="s">
        <v>239</v>
      </c>
      <c r="C11">
        <v>6</v>
      </c>
      <c r="P11" s="24">
        <v>8</v>
      </c>
      <c r="Q11" s="52">
        <v>44166</v>
      </c>
      <c r="R11" s="24">
        <f>COUNTIFS(staff_data[Date Joined],"&gt;="&amp;Q11,staff_data[Date Joined],"&lt;="&amp;EOMONTH(Q11,0))</f>
        <v>7</v>
      </c>
      <c r="S11" s="24">
        <f>SUM($R$4:R11)</f>
        <v>37</v>
      </c>
    </row>
    <row r="12" spans="2:19" x14ac:dyDescent="0.3">
      <c r="B12" s="34" t="s">
        <v>240</v>
      </c>
      <c r="C12">
        <v>7</v>
      </c>
      <c r="P12" s="24">
        <v>9</v>
      </c>
      <c r="Q12" s="52">
        <v>44197</v>
      </c>
      <c r="R12" s="24">
        <f>COUNTIFS(staff_data[Date Joined],"&gt;="&amp;Q12,staff_data[Date Joined],"&lt;="&amp;EOMONTH(Q12,0))</f>
        <v>6</v>
      </c>
      <c r="S12" s="24">
        <f>SUM($R$4:R12)</f>
        <v>43</v>
      </c>
    </row>
    <row r="13" spans="2:19" x14ac:dyDescent="0.3">
      <c r="B13" s="27" t="s">
        <v>241</v>
      </c>
      <c r="P13" s="24">
        <v>10</v>
      </c>
      <c r="Q13" s="52">
        <v>44228</v>
      </c>
      <c r="R13" s="24">
        <f>COUNTIFS(staff_data[Date Joined],"&gt;="&amp;Q13,staff_data[Date Joined],"&lt;="&amp;EOMONTH(Q13,0))</f>
        <v>4</v>
      </c>
      <c r="S13" s="24">
        <f>SUM($R$4:R13)</f>
        <v>47</v>
      </c>
    </row>
    <row r="14" spans="2:19" x14ac:dyDescent="0.3">
      <c r="B14" s="34" t="s">
        <v>242</v>
      </c>
      <c r="C14">
        <v>6</v>
      </c>
      <c r="P14" s="24">
        <v>11</v>
      </c>
      <c r="Q14" s="52">
        <v>44256</v>
      </c>
      <c r="R14" s="24">
        <f>COUNTIFS(staff_data[Date Joined],"&gt;="&amp;Q14,staff_data[Date Joined],"&lt;="&amp;EOMONTH(Q14,0))</f>
        <v>9</v>
      </c>
      <c r="S14" s="24">
        <f>SUM($R$4:R14)</f>
        <v>56</v>
      </c>
    </row>
    <row r="15" spans="2:19" x14ac:dyDescent="0.3">
      <c r="B15" s="34" t="s">
        <v>243</v>
      </c>
      <c r="C15">
        <v>4</v>
      </c>
      <c r="P15" s="24">
        <v>12</v>
      </c>
      <c r="Q15" s="52">
        <v>44287</v>
      </c>
      <c r="R15" s="24">
        <f>COUNTIFS(staff_data[Date Joined],"&gt;="&amp;Q15,staff_data[Date Joined],"&lt;="&amp;EOMONTH(Q15,0))</f>
        <v>5</v>
      </c>
      <c r="S15" s="24">
        <f>SUM($R$4:R15)</f>
        <v>61</v>
      </c>
    </row>
    <row r="16" spans="2:19" x14ac:dyDescent="0.3">
      <c r="B16" s="34" t="s">
        <v>244</v>
      </c>
      <c r="C16">
        <v>9</v>
      </c>
      <c r="P16" s="24">
        <v>13</v>
      </c>
      <c r="Q16" s="52">
        <v>44317</v>
      </c>
      <c r="R16" s="24">
        <f>COUNTIFS(staff_data[Date Joined],"&gt;="&amp;Q16,staff_data[Date Joined],"&lt;="&amp;EOMONTH(Q16,0))</f>
        <v>10</v>
      </c>
      <c r="S16" s="24">
        <f>SUM($R$4:R16)</f>
        <v>71</v>
      </c>
    </row>
    <row r="17" spans="2:19" x14ac:dyDescent="0.3">
      <c r="B17" s="34" t="s">
        <v>245</v>
      </c>
      <c r="C17">
        <v>5</v>
      </c>
      <c r="P17" s="24">
        <v>14</v>
      </c>
      <c r="Q17" s="52">
        <v>44348</v>
      </c>
      <c r="R17" s="24">
        <f>COUNTIFS(staff_data[Date Joined],"&gt;="&amp;Q17,staff_data[Date Joined],"&lt;="&amp;EOMONTH(Q17,0))</f>
        <v>6</v>
      </c>
      <c r="S17" s="24">
        <f>SUM($R$4:R17)</f>
        <v>77</v>
      </c>
    </row>
    <row r="18" spans="2:19" x14ac:dyDescent="0.3">
      <c r="B18" s="34" t="s">
        <v>233</v>
      </c>
      <c r="C18">
        <v>10</v>
      </c>
      <c r="P18" s="24">
        <v>15</v>
      </c>
      <c r="Q18" s="52">
        <v>44378</v>
      </c>
      <c r="R18" s="24">
        <f>COUNTIFS(staff_data[Date Joined],"&gt;="&amp;Q18,staff_data[Date Joined],"&lt;="&amp;EOMONTH(Q18,0))</f>
        <v>13</v>
      </c>
      <c r="S18" s="24">
        <f>SUM($R$4:R18)</f>
        <v>90</v>
      </c>
    </row>
    <row r="19" spans="2:19" x14ac:dyDescent="0.3">
      <c r="B19" s="34" t="s">
        <v>234</v>
      </c>
      <c r="C19">
        <v>6</v>
      </c>
      <c r="P19" s="24">
        <v>16</v>
      </c>
      <c r="Q19" s="52">
        <v>44409</v>
      </c>
      <c r="R19" s="24">
        <f>COUNTIFS(staff_data[Date Joined],"&gt;="&amp;Q19,staff_data[Date Joined],"&lt;="&amp;EOMONTH(Q19,0))</f>
        <v>4</v>
      </c>
      <c r="S19" s="24">
        <f>SUM($R$4:R19)</f>
        <v>94</v>
      </c>
    </row>
    <row r="20" spans="2:19" x14ac:dyDescent="0.3">
      <c r="B20" s="34" t="s">
        <v>235</v>
      </c>
      <c r="C20">
        <v>13</v>
      </c>
      <c r="P20" s="24">
        <v>17</v>
      </c>
      <c r="Q20" s="52">
        <v>44440</v>
      </c>
      <c r="R20" s="24">
        <f>COUNTIFS(staff_data[Date Joined],"&gt;="&amp;Q20,staff_data[Date Joined],"&lt;="&amp;EOMONTH(Q20,0))</f>
        <v>11</v>
      </c>
      <c r="S20" s="24">
        <f>SUM($R$4:R20)</f>
        <v>105</v>
      </c>
    </row>
    <row r="21" spans="2:19" x14ac:dyDescent="0.3">
      <c r="B21" s="34" t="s">
        <v>236</v>
      </c>
      <c r="C21">
        <v>4</v>
      </c>
      <c r="P21" s="24">
        <v>18</v>
      </c>
      <c r="Q21" s="52">
        <v>44470</v>
      </c>
      <c r="R21" s="24">
        <f>COUNTIFS(staff_data[Date Joined],"&gt;="&amp;Q21,staff_data[Date Joined],"&lt;="&amp;EOMONTH(Q21,0))</f>
        <v>3</v>
      </c>
      <c r="S21" s="24">
        <f>SUM($R$4:R21)</f>
        <v>108</v>
      </c>
    </row>
    <row r="22" spans="2:19" x14ac:dyDescent="0.3">
      <c r="B22" s="34" t="s">
        <v>237</v>
      </c>
      <c r="C22">
        <v>11</v>
      </c>
      <c r="P22" s="24">
        <v>19</v>
      </c>
      <c r="Q22" s="52">
        <v>44501</v>
      </c>
      <c r="R22" s="24">
        <f>COUNTIFS(staff_data[Date Joined],"&gt;="&amp;Q22,staff_data[Date Joined],"&lt;="&amp;EOMONTH(Q22,0))</f>
        <v>4</v>
      </c>
      <c r="S22" s="24">
        <f>SUM($R$4:R22)</f>
        <v>112</v>
      </c>
    </row>
    <row r="23" spans="2:19" x14ac:dyDescent="0.3">
      <c r="B23" s="34" t="s">
        <v>238</v>
      </c>
      <c r="C23">
        <v>3</v>
      </c>
      <c r="P23" s="24">
        <v>20</v>
      </c>
      <c r="Q23" s="52">
        <v>44531</v>
      </c>
      <c r="R23" s="24">
        <f>COUNTIFS(staff_data[Date Joined],"&gt;="&amp;Q23,staff_data[Date Joined],"&lt;="&amp;EOMONTH(Q23,0))</f>
        <v>7</v>
      </c>
      <c r="S23" s="24">
        <f>SUM($R$4:R23)</f>
        <v>119</v>
      </c>
    </row>
    <row r="24" spans="2:19" x14ac:dyDescent="0.3">
      <c r="B24" s="34" t="s">
        <v>239</v>
      </c>
      <c r="C24">
        <v>4</v>
      </c>
      <c r="P24" s="24">
        <v>21</v>
      </c>
      <c r="Q24" s="52">
        <v>44562</v>
      </c>
      <c r="R24" s="24">
        <f>COUNTIFS(staff_data[Date Joined],"&gt;="&amp;Q24,staff_data[Date Joined],"&lt;="&amp;EOMONTH(Q24,0))</f>
        <v>3</v>
      </c>
      <c r="S24" s="24">
        <f>SUM($R$4:R24)</f>
        <v>122</v>
      </c>
    </row>
    <row r="25" spans="2:19" x14ac:dyDescent="0.3">
      <c r="B25" s="34" t="s">
        <v>240</v>
      </c>
      <c r="C25">
        <v>7</v>
      </c>
      <c r="P25" s="24">
        <v>22</v>
      </c>
      <c r="Q25" s="52">
        <v>44593</v>
      </c>
      <c r="R25" s="24">
        <f>COUNTIFS(staff_data[Date Joined],"&gt;="&amp;Q25,staff_data[Date Joined],"&lt;="&amp;EOMONTH(Q25,0))</f>
        <v>10</v>
      </c>
      <c r="S25" s="24">
        <f>SUM($R$4:R25)</f>
        <v>132</v>
      </c>
    </row>
    <row r="26" spans="2:19" x14ac:dyDescent="0.3">
      <c r="B26" s="27" t="s">
        <v>246</v>
      </c>
      <c r="P26" s="24">
        <v>23</v>
      </c>
      <c r="Q26" s="52">
        <v>44621</v>
      </c>
      <c r="R26" s="24">
        <f>COUNTIFS(staff_data[Date Joined],"&gt;="&amp;Q26,staff_data[Date Joined],"&lt;="&amp;EOMONTH(Q26,0))</f>
        <v>9</v>
      </c>
      <c r="S26" s="24">
        <f>SUM($R$4:R26)</f>
        <v>141</v>
      </c>
    </row>
    <row r="27" spans="2:19" x14ac:dyDescent="0.3">
      <c r="B27" s="34" t="s">
        <v>242</v>
      </c>
      <c r="C27">
        <v>3</v>
      </c>
      <c r="P27" s="24">
        <v>24</v>
      </c>
      <c r="Q27" s="52">
        <v>44652</v>
      </c>
      <c r="R27" s="24">
        <f>COUNTIFS(staff_data[Date Joined],"&gt;="&amp;Q27,staff_data[Date Joined],"&lt;="&amp;EOMONTH(Q27,0))</f>
        <v>9</v>
      </c>
      <c r="S27" s="24">
        <f>SUM($R$4:R27)</f>
        <v>150</v>
      </c>
    </row>
    <row r="28" spans="2:19" x14ac:dyDescent="0.3">
      <c r="B28" s="34" t="s">
        <v>243</v>
      </c>
      <c r="C28">
        <v>10</v>
      </c>
      <c r="P28" s="24">
        <v>25</v>
      </c>
      <c r="Q28" s="52">
        <v>44682</v>
      </c>
      <c r="R28" s="24">
        <f>COUNTIFS(staff_data[Date Joined],"&gt;="&amp;Q28,staff_data[Date Joined],"&lt;="&amp;EOMONTH(Q28,0))</f>
        <v>9</v>
      </c>
      <c r="S28" s="24">
        <f>SUM($R$4:R28)</f>
        <v>159</v>
      </c>
    </row>
    <row r="29" spans="2:19" x14ac:dyDescent="0.3">
      <c r="B29" s="34" t="s">
        <v>244</v>
      </c>
      <c r="C29">
        <v>9</v>
      </c>
      <c r="P29" s="24">
        <v>26</v>
      </c>
      <c r="Q29" s="52">
        <v>44713</v>
      </c>
      <c r="R29" s="24">
        <f>COUNTIFS(staff_data[Date Joined],"&gt;="&amp;Q29,staff_data[Date Joined],"&lt;="&amp;EOMONTH(Q29,0))</f>
        <v>7</v>
      </c>
      <c r="S29" s="24">
        <f>SUM($R$4:R29)</f>
        <v>166</v>
      </c>
    </row>
    <row r="30" spans="2:19" x14ac:dyDescent="0.3">
      <c r="B30" s="34" t="s">
        <v>245</v>
      </c>
      <c r="C30">
        <v>9</v>
      </c>
      <c r="P30" s="24">
        <v>27</v>
      </c>
      <c r="Q30" s="52">
        <v>44743</v>
      </c>
      <c r="R30" s="24">
        <f>COUNTIFS(staff_data[Date Joined],"&gt;="&amp;Q30,staff_data[Date Joined],"&lt;="&amp;EOMONTH(Q30,0))</f>
        <v>5</v>
      </c>
      <c r="S30" s="24">
        <f>SUM($R$4:R30)</f>
        <v>171</v>
      </c>
    </row>
    <row r="31" spans="2:19" x14ac:dyDescent="0.3">
      <c r="B31" s="34" t="s">
        <v>233</v>
      </c>
      <c r="C31">
        <v>9</v>
      </c>
      <c r="P31" s="24">
        <v>28</v>
      </c>
      <c r="Q31" s="52">
        <v>44774</v>
      </c>
      <c r="R31" s="24">
        <f>COUNTIFS(staff_data[Date Joined],"&gt;="&amp;Q31,staff_data[Date Joined],"&lt;="&amp;EOMONTH(Q31,0))</f>
        <v>5</v>
      </c>
      <c r="S31" s="24">
        <f>SUM($R$4:R31)</f>
        <v>176</v>
      </c>
    </row>
    <row r="32" spans="2:19" x14ac:dyDescent="0.3">
      <c r="B32" s="34" t="s">
        <v>234</v>
      </c>
      <c r="C32">
        <v>7</v>
      </c>
      <c r="P32" s="24">
        <v>29</v>
      </c>
      <c r="Q32" s="52">
        <v>44805</v>
      </c>
      <c r="R32" s="24">
        <f>COUNTIFS(staff_data[Date Joined],"&gt;="&amp;Q32,staff_data[Date Joined],"&lt;="&amp;EOMONTH(Q32,0))</f>
        <v>2</v>
      </c>
      <c r="S32" s="24">
        <f>SUM($R$4:R32)</f>
        <v>178</v>
      </c>
    </row>
    <row r="33" spans="2:19" x14ac:dyDescent="0.3">
      <c r="B33" s="34" t="s">
        <v>235</v>
      </c>
      <c r="C33">
        <v>5</v>
      </c>
      <c r="P33" s="24">
        <v>30</v>
      </c>
      <c r="Q33" s="52">
        <v>44835</v>
      </c>
      <c r="R33" s="24">
        <f>COUNTIFS(staff_data[Date Joined],"&gt;="&amp;Q33,staff_data[Date Joined],"&lt;="&amp;EOMONTH(Q33,0))</f>
        <v>3</v>
      </c>
      <c r="S33" s="24">
        <f>SUM($R$4:R33)</f>
        <v>181</v>
      </c>
    </row>
    <row r="34" spans="2:19" x14ac:dyDescent="0.3">
      <c r="B34" s="34" t="s">
        <v>236</v>
      </c>
      <c r="C34">
        <v>5</v>
      </c>
      <c r="P34" s="24">
        <v>31</v>
      </c>
      <c r="Q34" s="52">
        <v>44866</v>
      </c>
      <c r="R34" s="24">
        <f>COUNTIFS(staff_data[Date Joined],"&gt;="&amp;Q34,staff_data[Date Joined],"&lt;="&amp;EOMONTH(Q34,0))</f>
        <v>0</v>
      </c>
      <c r="S34" s="24">
        <f>SUM($R$4:R34)</f>
        <v>181</v>
      </c>
    </row>
    <row r="35" spans="2:19" x14ac:dyDescent="0.3">
      <c r="B35" s="34" t="s">
        <v>237</v>
      </c>
      <c r="C35">
        <v>2</v>
      </c>
      <c r="P35" s="24">
        <v>32</v>
      </c>
      <c r="Q35" s="52">
        <v>44896</v>
      </c>
      <c r="R35" s="24">
        <f>COUNTIFS(staff_data[Date Joined],"&gt;="&amp;Q35,staff_data[Date Joined],"&lt;="&amp;EOMONTH(Q35,0))</f>
        <v>0</v>
      </c>
      <c r="S35" s="24">
        <f>SUM($R$4:R35)</f>
        <v>181</v>
      </c>
    </row>
    <row r="36" spans="2:19" x14ac:dyDescent="0.3">
      <c r="B36" s="34" t="s">
        <v>238</v>
      </c>
      <c r="C36">
        <v>3</v>
      </c>
      <c r="P36" s="24">
        <v>33</v>
      </c>
      <c r="Q36" s="52">
        <v>44927</v>
      </c>
      <c r="R36" s="24">
        <f>COUNTIFS(staff_data[Date Joined],"&gt;="&amp;Q36,staff_data[Date Joined],"&lt;="&amp;EOMONTH(Q36,0))</f>
        <v>0</v>
      </c>
      <c r="S36" s="24">
        <f>SUM($R$4:R36)</f>
        <v>181</v>
      </c>
    </row>
    <row r="37" spans="2:19" x14ac:dyDescent="0.3">
      <c r="B37" s="27" t="s">
        <v>247</v>
      </c>
      <c r="P37" s="24">
        <v>34</v>
      </c>
      <c r="Q37" s="52">
        <v>44958</v>
      </c>
      <c r="R37" s="24">
        <f>COUNTIFS(staff_data[Date Joined],"&gt;="&amp;Q37,staff_data[Date Joined],"&lt;="&amp;EOMONTH(Q37,0))</f>
        <v>1</v>
      </c>
      <c r="S37" s="24">
        <f>SUM($R$4:R37)</f>
        <v>182</v>
      </c>
    </row>
    <row r="38" spans="2:19" x14ac:dyDescent="0.3">
      <c r="B38" s="34" t="s">
        <v>243</v>
      </c>
      <c r="C38">
        <v>1</v>
      </c>
      <c r="P38" s="24">
        <v>35</v>
      </c>
      <c r="Q38" s="52">
        <v>44986</v>
      </c>
      <c r="R38" s="24">
        <f>COUNTIFS(staff_data[Date Joined],"&gt;="&amp;Q38,staff_data[Date Joined],"&lt;="&amp;EOMONTH(Q38,0))</f>
        <v>0</v>
      </c>
      <c r="S38" s="24">
        <f>SUM($R$4:R38)</f>
        <v>182</v>
      </c>
    </row>
    <row r="39" spans="2:19" x14ac:dyDescent="0.3">
      <c r="B39" s="34" t="s">
        <v>245</v>
      </c>
      <c r="C39">
        <v>1</v>
      </c>
      <c r="P39" s="25">
        <v>36</v>
      </c>
      <c r="Q39" s="53">
        <v>45017</v>
      </c>
      <c r="R39" s="25">
        <f>COUNTIFS(staff_data[Date Joined],"&gt;="&amp;Q39,staff_data[Date Joined],"&lt;="&amp;EOMONTH(Q39,0))</f>
        <v>1</v>
      </c>
      <c r="S39" s="25">
        <f>SUM($R$4:R39)</f>
        <v>183</v>
      </c>
    </row>
    <row r="40" spans="2:19" x14ac:dyDescent="0.3">
      <c r="B40" s="27" t="s">
        <v>230</v>
      </c>
      <c r="C40">
        <v>183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A194-45AF-4BB1-94ED-AF0654587BFF}">
  <sheetPr>
    <tabColor rgb="FFFF0000"/>
  </sheetPr>
  <dimension ref="B2:Z17"/>
  <sheetViews>
    <sheetView showGridLines="0" tabSelected="1" zoomScale="90" zoomScaleNormal="90" workbookViewId="0">
      <selection activeCell="N3" sqref="N3"/>
    </sheetView>
  </sheetViews>
  <sheetFormatPr defaultRowHeight="14.4" x14ac:dyDescent="0.3"/>
  <cols>
    <col min="2" max="2" width="20.88671875" customWidth="1"/>
    <col min="3" max="3" width="2.77734375" customWidth="1"/>
    <col min="4" max="4" width="20.88671875" customWidth="1"/>
    <col min="5" max="5" width="2.77734375" customWidth="1"/>
    <col min="6" max="6" width="20.88671875" customWidth="1"/>
    <col min="10" max="10" width="20.88671875" customWidth="1"/>
    <col min="11" max="11" width="2.77734375" customWidth="1"/>
    <col min="12" max="12" width="20.88671875" customWidth="1"/>
    <col min="13" max="13" width="2.77734375" customWidth="1"/>
    <col min="14" max="14" width="20.88671875" customWidth="1"/>
    <col min="22" max="22" width="12.5546875" bestFit="1" customWidth="1"/>
    <col min="23" max="23" width="13.88671875" bestFit="1" customWidth="1"/>
    <col min="25" max="25" width="12.5546875" bestFit="1" customWidth="1"/>
    <col min="26" max="26" width="13.88671875" bestFit="1" customWidth="1"/>
  </cols>
  <sheetData>
    <row r="2" spans="2:26" ht="39.6" customHeight="1" x14ac:dyDescent="0.3">
      <c r="B2" s="47" t="s">
        <v>252</v>
      </c>
      <c r="C2" s="47"/>
      <c r="D2" s="47"/>
      <c r="E2" s="47"/>
      <c r="F2" s="47"/>
      <c r="J2" s="47" t="s">
        <v>253</v>
      </c>
      <c r="K2" s="47"/>
      <c r="L2" s="47"/>
      <c r="M2" s="47"/>
      <c r="N2" s="47"/>
    </row>
    <row r="3" spans="2:26" ht="72.599999999999994" customHeight="1" x14ac:dyDescent="0.3">
      <c r="B3" s="40">
        <f>COUNTIFS(staff_data[Country],"NZ")</f>
        <v>91</v>
      </c>
      <c r="D3" s="41">
        <f>COUNTIFS(staff_data[Country],"NZ",staff_data[Gender],"Female")/B3</f>
        <v>0.47252747252747251</v>
      </c>
      <c r="F3" s="42">
        <f>AVERAGEIFS(staff_data[Salary],staff_data[Country],"NZ")</f>
        <v>76978.791208791212</v>
      </c>
      <c r="J3" s="43">
        <f>COUNTIFS(staff_data[Country],"IND")</f>
        <v>92</v>
      </c>
      <c r="L3" s="44">
        <f>COUNTIFS(staff_data[Country],"IND",staff_data[Gender],"Female")/J3</f>
        <v>0.46739130434782611</v>
      </c>
      <c r="N3" s="45">
        <f>AVERAGEIFS(staff_data[Salary],staff_data[Country],"IND")</f>
        <v>77366.521739130432</v>
      </c>
    </row>
    <row r="4" spans="2:26" x14ac:dyDescent="0.3">
      <c r="V4" s="26" t="s">
        <v>203</v>
      </c>
      <c r="W4" t="s" vm="1">
        <v>204</v>
      </c>
      <c r="Y4" s="26" t="s">
        <v>203</v>
      </c>
      <c r="Z4" t="s" vm="2">
        <v>206</v>
      </c>
    </row>
    <row r="5" spans="2:26" ht="42.6" customHeight="1" x14ac:dyDescent="0.3">
      <c r="B5" s="46" t="s">
        <v>251</v>
      </c>
      <c r="C5" s="46"/>
      <c r="D5" s="46"/>
      <c r="E5" s="46"/>
      <c r="F5" s="46"/>
      <c r="G5" s="46"/>
      <c r="H5" s="46"/>
      <c r="I5" s="46"/>
      <c r="J5" s="46"/>
      <c r="K5" s="46"/>
      <c r="L5" s="46"/>
      <c r="M5" s="46"/>
      <c r="N5" s="46"/>
    </row>
    <row r="6" spans="2:26" x14ac:dyDescent="0.3">
      <c r="B6" s="35"/>
      <c r="F6" s="36"/>
      <c r="J6" s="35"/>
      <c r="N6" s="36"/>
      <c r="V6" s="26" t="s">
        <v>229</v>
      </c>
      <c r="W6" t="s">
        <v>223</v>
      </c>
      <c r="Y6" s="26" t="s">
        <v>229</v>
      </c>
      <c r="Z6" t="s">
        <v>223</v>
      </c>
    </row>
    <row r="7" spans="2:26" x14ac:dyDescent="0.3">
      <c r="B7" s="35"/>
      <c r="F7" s="36"/>
      <c r="J7" s="35"/>
      <c r="N7" s="36"/>
      <c r="V7" s="27" t="s">
        <v>9</v>
      </c>
      <c r="W7">
        <v>28</v>
      </c>
      <c r="Y7" s="27" t="s">
        <v>12</v>
      </c>
      <c r="Z7">
        <v>27</v>
      </c>
    </row>
    <row r="8" spans="2:26" x14ac:dyDescent="0.3">
      <c r="B8" s="35"/>
      <c r="F8" s="36"/>
      <c r="J8" s="35"/>
      <c r="N8" s="36"/>
      <c r="V8" s="27" t="s">
        <v>12</v>
      </c>
      <c r="W8">
        <v>27</v>
      </c>
      <c r="Y8" s="27" t="s">
        <v>9</v>
      </c>
      <c r="Z8">
        <v>27</v>
      </c>
    </row>
    <row r="9" spans="2:26" x14ac:dyDescent="0.3">
      <c r="B9" s="35"/>
      <c r="F9" s="36"/>
      <c r="J9" s="35"/>
      <c r="N9" s="36"/>
      <c r="V9" s="27" t="s">
        <v>21</v>
      </c>
      <c r="W9">
        <v>19</v>
      </c>
      <c r="Y9" s="27" t="s">
        <v>21</v>
      </c>
      <c r="Z9">
        <v>19</v>
      </c>
    </row>
    <row r="10" spans="2:26" x14ac:dyDescent="0.3">
      <c r="B10" s="35"/>
      <c r="F10" s="36"/>
      <c r="J10" s="35"/>
      <c r="N10" s="36"/>
      <c r="V10" s="27" t="s">
        <v>19</v>
      </c>
      <c r="W10">
        <v>14</v>
      </c>
      <c r="Y10" s="27" t="s">
        <v>19</v>
      </c>
      <c r="Z10">
        <v>14</v>
      </c>
    </row>
    <row r="11" spans="2:26" x14ac:dyDescent="0.3">
      <c r="B11" s="35"/>
      <c r="F11" s="36"/>
      <c r="J11" s="35"/>
      <c r="N11" s="36"/>
      <c r="V11" s="27" t="s">
        <v>56</v>
      </c>
      <c r="W11">
        <v>4</v>
      </c>
      <c r="Y11" s="27" t="s">
        <v>56</v>
      </c>
      <c r="Z11">
        <v>4</v>
      </c>
    </row>
    <row r="12" spans="2:26" x14ac:dyDescent="0.3">
      <c r="B12" s="35"/>
      <c r="F12" s="36"/>
      <c r="J12" s="35"/>
      <c r="N12" s="36"/>
      <c r="V12" s="27" t="s">
        <v>230</v>
      </c>
      <c r="W12">
        <v>92</v>
      </c>
      <c r="Y12" s="27" t="s">
        <v>230</v>
      </c>
      <c r="Z12">
        <v>91</v>
      </c>
    </row>
    <row r="13" spans="2:26" x14ac:dyDescent="0.3">
      <c r="B13" s="35"/>
      <c r="F13" s="36"/>
      <c r="J13" s="35"/>
      <c r="N13" s="36"/>
    </row>
    <row r="14" spans="2:26" x14ac:dyDescent="0.3">
      <c r="B14" s="35"/>
      <c r="F14" s="36"/>
      <c r="J14" s="35"/>
      <c r="N14" s="36"/>
    </row>
    <row r="15" spans="2:26" x14ac:dyDescent="0.3">
      <c r="B15" s="37"/>
      <c r="C15" s="38"/>
      <c r="D15" s="38"/>
      <c r="E15" s="38"/>
      <c r="F15" s="39"/>
      <c r="J15" s="35"/>
      <c r="N15" s="36"/>
    </row>
    <row r="16" spans="2:26" x14ac:dyDescent="0.3">
      <c r="J16" s="35"/>
      <c r="N16" s="36"/>
    </row>
    <row r="17" spans="10:14" x14ac:dyDescent="0.3">
      <c r="J17" s="37"/>
      <c r="K17" s="38"/>
      <c r="L17" s="38"/>
      <c r="M17" s="38"/>
      <c r="N17" s="39"/>
    </row>
  </sheetData>
  <mergeCells count="3">
    <mergeCell ref="B5:N5"/>
    <mergeCell ref="B2:F2"/>
    <mergeCell ref="J2:N2"/>
  </mergeCells>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BA9646-FB94-4F84-80CA-D681BDC0C4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India Staff</vt:lpstr>
      <vt:lpstr>all_staff</vt:lpstr>
      <vt:lpstr>Info Finder</vt:lpstr>
      <vt:lpstr>Male vs Female</vt:lpstr>
      <vt:lpstr>salary viz</vt:lpstr>
      <vt:lpstr>Salary vs Rating</vt:lpstr>
      <vt:lpstr>Employee Trend</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Aarti poojari</cp:lastModifiedBy>
  <dcterms:created xsi:type="dcterms:W3CDTF">2021-03-14T20:21:32Z</dcterms:created>
  <dcterms:modified xsi:type="dcterms:W3CDTF">2023-09-21T05:40:52Z</dcterms:modified>
</cp:coreProperties>
</file>